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forestiersfransylva.sharepoint.com/sites/FransylvaServices/Shared Documents/Financements innovants/CLIENTS 2023-2024/BLIT - 14208493 LE/"/>
    </mc:Choice>
  </mc:AlternateContent>
  <xr:revisionPtr revIDLastSave="134" documentId="13_ncr:1_{91C62E09-7A97-40C6-8A6D-8C8B5668C142}" xr6:coauthVersionLast="47" xr6:coauthVersionMax="47" xr10:uidLastSave="{BD04F184-AE62-4A06-9BE5-C7947AD694FA}"/>
  <bookViews>
    <workbookView xWindow="-83" yWindow="0" windowWidth="9766" windowHeight="11363" tabRatio="866" firstSheet="1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BQ4" i="2"/>
  <c r="EA4" i="2"/>
  <c r="FR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EX5" i="2" s="1"/>
  <c r="DV5" i="2"/>
  <c r="DM5" i="2"/>
  <c r="DA5" i="2"/>
  <c r="CR5" i="2"/>
  <c r="CQ5" i="2"/>
  <c r="EU5" i="2"/>
  <c r="EG5" i="2"/>
  <c r="DW5" i="2"/>
  <c r="EC5" i="2" s="1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A7" i="2" l="1"/>
  <c r="EB7" i="2"/>
  <c r="HI7" i="2"/>
  <c r="EW7" i="2"/>
  <c r="EV7" i="2"/>
  <c r="EX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EX8" i="2" s="1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HG8" i="2" l="1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G10" i="2"/>
  <c r="FS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HG13" i="2" s="1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EX14" i="2" s="1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C14" i="2" l="1"/>
  <c r="HH14" i="2"/>
  <c r="HG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FS15" i="2" s="1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FS18" i="2" l="1"/>
  <c r="EA18" i="2"/>
  <c r="EV18" i="2"/>
  <c r="EW18" i="2"/>
  <c r="EX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C20" i="2" l="1"/>
  <c r="EW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W21" i="2" s="1"/>
  <c r="ES21" i="2"/>
  <c r="EV21" i="2" s="1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H21" i="2" l="1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A22" i="2"/>
  <c r="EW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FR24" i="2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C27" i="2" l="1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EV28" i="2" s="1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EC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HG33" i="2" l="1"/>
  <c r="EW33" i="2"/>
  <c r="HH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EA35" i="2" s="1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CM35" i="2"/>
  <c r="FQ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S38" i="2" s="1"/>
  <c r="FP38" i="2"/>
  <c r="DZ38" i="2"/>
  <c r="DL38" i="2"/>
  <c r="DE38" i="2"/>
  <c r="FX38" i="2"/>
  <c r="EQ38" i="2"/>
  <c r="EH38" i="2"/>
  <c r="CJ38" i="2"/>
  <c r="GG38" i="2"/>
  <c r="FB38" i="2"/>
  <c r="ER38" i="2"/>
  <c r="EX38" i="2" s="1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I38" i="2" l="1"/>
  <c r="EW38" i="2"/>
  <c r="EA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G43" i="2" l="1"/>
  <c r="DG43" i="2"/>
  <c r="EX43" i="2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H44" i="2"/>
  <c r="EC44" i="2"/>
  <c r="HG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EC48" i="2" l="1"/>
  <c r="HH48" i="2"/>
  <c r="HG48" i="2"/>
  <c r="HI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EC50" i="2" l="1"/>
  <c r="HI50" i="2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A51" i="2" l="1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EV52" i="2" s="1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FS55" i="2" l="1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HG56" i="2" s="1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FS56" i="2" l="1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EB59" i="2"/>
  <c r="EA59" i="2"/>
  <c r="HH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G60" i="2" s="1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H60" i="2"/>
  <c r="EV60" i="2"/>
  <c r="HI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EV61" i="2" s="1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X61" i="2" l="1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S62" i="2"/>
  <c r="DX62" i="2"/>
  <c r="EA62" i="2" s="1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B62" i="2" l="1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C63" i="2" l="1"/>
  <c r="HG63" i="2"/>
  <c r="EB63" i="2"/>
  <c r="EX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C64" i="2" l="1"/>
  <c r="EA64" i="2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HH67" i="2" s="1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HI70" i="2"/>
  <c r="EW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HH71" i="2" s="1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A75" i="2" l="1"/>
  <c r="HH75" i="2"/>
  <c r="EB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H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HI77" i="2"/>
  <c r="EB77" i="2"/>
  <c r="EA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C78" i="2" l="1"/>
  <c r="EB78" i="2"/>
  <c r="HI78" i="2"/>
  <c r="EW78" i="2"/>
  <c r="EV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HH82" i="2" s="1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G82" i="2" l="1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W85" i="2" s="1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H85" i="2" l="1"/>
  <c r="EV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EA86" i="2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EX92" i="2" s="1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EX98" i="2" s="1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EX100" i="2" s="1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EX104" i="2" s="1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FS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G106" i="2" s="1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I106" i="2" l="1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C107" i="2" l="1"/>
  <c r="EB107" i="2"/>
  <c r="EX107" i="2"/>
  <c r="EA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FS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X112" i="2" l="1"/>
  <c r="EB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HG113" i="2" s="1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EX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HH114" i="2"/>
  <c r="EW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EA116" i="2" s="1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C116" i="2" l="1"/>
  <c r="EV116" i="2"/>
  <c r="HG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A117" i="2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S118" i="2" s="1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C118" i="2" l="1"/>
  <c r="FQ118" i="2"/>
  <c r="EX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R120" i="2" l="1"/>
  <c r="FQ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EA121" i="2" s="1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B121" i="2" l="1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I122" i="2" s="1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HG124" i="2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V127" i="2" s="1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I127" i="2" s="1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G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EV129" i="2" s="1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X129" i="2" l="1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G130" i="2" s="1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FS130" i="2" l="1"/>
  <c r="HI130" i="2"/>
  <c r="EW130" i="2"/>
  <c r="EX130" i="2"/>
  <c r="EB130" i="2"/>
  <c r="HH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G132" i="2" s="1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EV134" i="2" s="1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G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HI136" i="2" l="1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EX137" i="2" s="1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C138" i="2" l="1"/>
  <c r="EV138" i="2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DY139" i="2"/>
  <c r="EB139" i="2" s="1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A139" i="2" l="1"/>
  <c r="FS139" i="2"/>
  <c r="EW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HG141" i="2" s="1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A141" i="2" l="1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G142" i="2" s="1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FR144" i="2" s="1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A144" i="2" l="1"/>
  <c r="HH144" i="2"/>
  <c r="EX144" i="2"/>
  <c r="HG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FR145" i="2"/>
  <c r="EA145" i="2"/>
  <c r="EB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EA146" i="2" s="1"/>
  <c r="DC146" i="2"/>
  <c r="W146" i="2"/>
  <c r="X146" i="2"/>
  <c r="DY146" i="2"/>
  <c r="BM146" i="2"/>
  <c r="AR146" i="2"/>
  <c r="CI146" i="2"/>
  <c r="AS146" i="2"/>
  <c r="HC146" i="2"/>
  <c r="HI146" i="2" s="1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H146" i="2" l="1"/>
  <c r="FR146" i="2"/>
  <c r="HG146" i="2"/>
  <c r="FS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C149" i="2" l="1"/>
  <c r="EX149" i="2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FS150" i="2"/>
  <c r="HI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X151" i="2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EA153" i="2" s="1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B153" i="2" l="1"/>
  <c r="EX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HG154" i="2"/>
  <c r="EX154" i="2"/>
  <c r="AA154" i="2"/>
  <c r="EV154" i="2"/>
  <c r="EY154" i="2" s="1"/>
  <c r="EC154" i="2"/>
  <c r="EA154" i="2"/>
  <c r="ED154" i="2" s="1"/>
  <c r="FS154" i="2"/>
  <c r="HI154" i="2"/>
  <c r="GN154" i="2"/>
  <c r="DF154" i="2"/>
  <c r="DG154" i="2"/>
  <c r="DI154" i="2" s="1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3" i="2"/>
  <c r="FT153" i="2"/>
  <c r="CN153" i="2"/>
  <c r="HJ153" i="2"/>
  <c r="GO153" i="2"/>
  <c r="EY153" i="2"/>
  <c r="ED153" i="2"/>
  <c r="AC153" i="2"/>
  <c r="AX151" i="2"/>
  <c r="AC154" i="2" l="1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HI156" i="2" s="1"/>
  <c r="GI156" i="2"/>
  <c r="FP156" i="2"/>
  <c r="HD156" i="2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D155" i="2"/>
  <c r="AX152" i="2"/>
  <c r="EB156" i="2" l="1"/>
  <c r="AB156" i="2"/>
  <c r="DH156" i="2"/>
  <c r="EX156" i="2"/>
  <c r="HG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EB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H158" i="2" l="1"/>
  <c r="EV158" i="2"/>
  <c r="HG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HH159" i="2" s="1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HI159" i="2" s="1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EC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FS160" i="2" l="1"/>
  <c r="EC160" i="2"/>
  <c r="HG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D160" i="2" l="1"/>
  <c r="EB161" i="2"/>
  <c r="FS161" i="2"/>
  <c r="AB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B162" i="2" s="1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 l="1"/>
  <c r="HH162" i="2"/>
  <c r="EC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A163" i="2" l="1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HH164" i="2" s="1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HG164" i="2" l="1"/>
  <c r="EX164" i="2"/>
  <c r="EV164" i="2"/>
  <c r="FS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B165" i="2" l="1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EC166" i="2" l="1"/>
  <c r="CN165" i="2"/>
  <c r="FS166" i="2"/>
  <c r="HG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EB167" i="2" s="1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A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EB168" i="2" s="1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C168" i="2" l="1"/>
  <c r="EV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B169" i="2" l="1"/>
  <c r="EX169" i="2"/>
  <c r="EA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D171" i="2" s="1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A172" i="2" l="1"/>
  <c r="HG172" i="2"/>
  <c r="EW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EB173" i="2" s="1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C173" i="2" l="1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C174" i="2" l="1"/>
  <c r="HH174" i="2"/>
  <c r="HG174" i="2"/>
  <c r="EA174" i="2"/>
  <c r="ED174" i="2" s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EB175" i="2" l="1"/>
  <c r="AA175" i="2"/>
  <c r="EW175" i="2"/>
  <c r="EA175" i="2"/>
  <c r="FS175" i="2"/>
  <c r="HI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C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I177" i="2" l="1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H178" i="2"/>
  <c r="HG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EB179" i="2" l="1"/>
  <c r="HH179" i="2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 l="1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HG181" i="2" l="1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C182" i="2" l="1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ED182" i="2" s="1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Y182" i="2"/>
  <c r="FS183" i="2" l="1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Y184" i="2" s="1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EW185" i="2" s="1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B185" i="2" l="1"/>
  <c r="HH185" i="2"/>
  <c r="HG185" i="2"/>
  <c r="EA185" i="2"/>
  <c r="EV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B186" i="2" l="1"/>
  <c r="ED185" i="2"/>
  <c r="FR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EC187" i="2" l="1"/>
  <c r="HG187" i="2"/>
  <c r="EB187" i="2"/>
  <c r="HH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EV189" i="2"/>
  <c r="EC189" i="2"/>
  <c r="FS189" i="2"/>
  <c r="HI189" i="2"/>
  <c r="EX189" i="2"/>
  <c r="EA189" i="2"/>
  <c r="ED189" i="2" s="1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EW190" i="2" s="1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Y189" i="2"/>
  <c r="AX187" i="2"/>
  <c r="EB190" i="2" l="1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ED190" i="2" s="1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HH191" i="2" l="1"/>
  <c r="EW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C192" i="2" l="1"/>
  <c r="EW192" i="2"/>
  <c r="HG192" i="2"/>
  <c r="EA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EB193" i="2" s="1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HI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AW194" i="2" l="1"/>
  <c r="DI193" i="2"/>
  <c r="FS194" i="2"/>
  <c r="DF194" i="2"/>
  <c r="EX194" i="2"/>
  <c r="EC194" i="2"/>
  <c r="ED194" i="2" s="1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A195" i="2" s="1"/>
  <c r="AX192" i="2"/>
  <c r="DH195" i="2" l="1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EW196" i="2"/>
  <c r="HG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EA197" i="2" s="1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W197" i="2" l="1"/>
  <c r="EC197" i="2"/>
  <c r="EX197" i="2"/>
  <c r="EB197" i="2"/>
  <c r="ED197" i="2" s="1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H199" i="2" l="1"/>
  <c r="EB199" i="2"/>
  <c r="HG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BC5" i="2" s="1" a="1"/>
  <c r="BC5" i="2" s="1"/>
  <c r="BD5" i="2" s="1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AH5" i="2" s="1" a="1"/>
  <c r="AH5" i="2" s="1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AH4" i="2" a="1"/>
  <c r="AH4" i="2" s="1"/>
  <c r="AI4" i="2" s="1"/>
  <c r="EI4" i="2" a="1"/>
  <c r="EI4" i="2" s="1"/>
  <c r="EJ4" i="2" s="1"/>
  <c r="AX198" i="2"/>
  <c r="EY200" i="2"/>
  <c r="DI200" i="2"/>
  <c r="EA201" i="2" l="1"/>
  <c r="EB201" i="2"/>
  <c r="HH201" i="2"/>
  <c r="HI201" i="2"/>
  <c r="EX201" i="2"/>
  <c r="AI5" i="2"/>
  <c r="EW201" i="2"/>
  <c r="EC201" i="2"/>
  <c r="ED201" i="2" s="1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HG202" i="2" l="1"/>
  <c r="FR202" i="2"/>
  <c r="EX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50" i="2" a="1"/>
  <c r="FY50" i="2" s="1"/>
  <c r="FY35" i="2" a="1"/>
  <c r="FY35" i="2" s="1"/>
  <c r="FY69" i="2" a="1"/>
  <c r="FY69" i="2" s="1"/>
  <c r="FY186" i="2" a="1"/>
  <c r="FY186" i="2" s="1"/>
  <c r="FY78" i="2" a="1"/>
  <c r="FY78" i="2" s="1"/>
  <c r="FY190" i="2" a="1"/>
  <c r="FY190" i="2" s="1"/>
  <c r="FY104" i="2" a="1"/>
  <c r="FY104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66" i="2" a="1"/>
  <c r="EI166" i="2" s="1"/>
  <c r="EI106" i="2" a="1"/>
  <c r="EI106" i="2" s="1"/>
  <c r="EI142" i="2" a="1"/>
  <c r="EI142" i="2" s="1"/>
  <c r="DN155" i="2" a="1"/>
  <c r="DN155" i="2" s="1"/>
  <c r="CS66" i="2" a="1"/>
  <c r="CS66" i="2" s="1"/>
  <c r="DN170" i="2" a="1"/>
  <c r="DN170" i="2" s="1"/>
  <c r="DN153" i="2" a="1"/>
  <c r="DN153" i="2" s="1"/>
  <c r="DN115" i="2" a="1"/>
  <c r="DN115" i="2" s="1"/>
  <c r="DN177" i="2" a="1"/>
  <c r="DN177" i="2" s="1"/>
  <c r="CS116" i="2" a="1"/>
  <c r="CS116" i="2" s="1"/>
  <c r="EI195" i="2" a="1"/>
  <c r="EI195" i="2" s="1"/>
  <c r="CS137" i="2" a="1"/>
  <c r="CS137" i="2" s="1"/>
  <c r="AH151" i="2" a="1"/>
  <c r="AH151" i="2" s="1"/>
  <c r="CS77" i="2" a="1"/>
  <c r="CS77" i="2" s="1"/>
  <c r="CS161" i="2" a="1"/>
  <c r="CS161" i="2" s="1"/>
  <c r="FY196" i="2" a="1"/>
  <c r="FY196" i="2" s="1"/>
  <c r="FY30" i="2" a="1"/>
  <c r="FY30" i="2" s="1"/>
  <c r="FY142" i="2" a="1"/>
  <c r="FY142" i="2" s="1"/>
  <c r="FD188" i="2" a="1"/>
  <c r="FD188" i="2" s="1"/>
  <c r="FD48" i="2" a="1"/>
  <c r="FD48" i="2" s="1"/>
  <c r="FD189" i="2" a="1"/>
  <c r="FD189" i="2" s="1"/>
  <c r="FD167" i="2" a="1"/>
  <c r="FD167" i="2" s="1"/>
  <c r="FD159" i="2" a="1"/>
  <c r="FD159" i="2" s="1"/>
  <c r="FD160" i="2" a="1"/>
  <c r="FD160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CS185" i="2" a="1"/>
  <c r="CS185" i="2" s="1"/>
  <c r="CS56" i="2" a="1"/>
  <c r="CS56" i="2" s="1"/>
  <c r="CS114" i="2" a="1"/>
  <c r="CS114" i="2" s="1"/>
  <c r="DN135" i="2" a="1"/>
  <c r="DN135" i="2" s="1"/>
  <c r="DN164" i="2" a="1"/>
  <c r="DN164" i="2" s="1"/>
  <c r="DN49" i="2" a="1"/>
  <c r="DN49" i="2" s="1"/>
  <c r="DN162" i="2" a="1"/>
  <c r="DN162" i="2" s="1"/>
  <c r="DN6" i="2" a="1"/>
  <c r="DN6" i="2" s="1"/>
  <c r="DO6" i="2" s="1"/>
  <c r="DN30" i="2" a="1"/>
  <c r="DN30" i="2" s="1"/>
  <c r="DN132" i="2" a="1"/>
  <c r="DN132" i="2" s="1"/>
  <c r="CS134" i="2" a="1"/>
  <c r="CS134" i="2" s="1"/>
  <c r="DN45" i="2" a="1"/>
  <c r="DN45" i="2" s="1"/>
  <c r="CS72" i="2" a="1"/>
  <c r="CS72" i="2" s="1"/>
  <c r="FD82" i="2" a="1"/>
  <c r="FD82" i="2" s="1"/>
  <c r="HJ202" i="2"/>
  <c r="EY202" i="2"/>
  <c r="AX200" i="2"/>
  <c r="DN46" i="2" l="1" a="1"/>
  <c r="DN46" i="2" s="1"/>
  <c r="DN38" i="2" a="1"/>
  <c r="DN38" i="2" s="1"/>
  <c r="DN114" i="2" a="1"/>
  <c r="DN114" i="2" s="1"/>
  <c r="DN129" i="2" a="1"/>
  <c r="DN129" i="2" s="1"/>
  <c r="DN103" i="2" a="1"/>
  <c r="DN103" i="2" s="1"/>
  <c r="DN50" i="2" a="1"/>
  <c r="DN50" i="2" s="1"/>
  <c r="DN176" i="2" a="1"/>
  <c r="DN176" i="2" s="1"/>
  <c r="DN113" i="2" a="1"/>
  <c r="DN113" i="2" s="1"/>
  <c r="DN190" i="2" a="1"/>
  <c r="DN190" i="2" s="1"/>
  <c r="DN80" i="2" a="1"/>
  <c r="DN80" i="2" s="1"/>
  <c r="DN25" i="2" a="1"/>
  <c r="DN25" i="2" s="1"/>
  <c r="DN133" i="2" a="1"/>
  <c r="DN133" i="2" s="1"/>
  <c r="DN123" i="2" a="1"/>
  <c r="DN123" i="2" s="1"/>
  <c r="DN184" i="2" a="1"/>
  <c r="DN184" i="2" s="1"/>
  <c r="DN65" i="2" a="1"/>
  <c r="DN65" i="2" s="1"/>
  <c r="DN168" i="2" a="1"/>
  <c r="DN168" i="2" s="1"/>
  <c r="DN152" i="2" a="1"/>
  <c r="DN152" i="2" s="1"/>
  <c r="DN70" i="2" a="1"/>
  <c r="DN70" i="2" s="1"/>
  <c r="DN63" i="2" a="1"/>
  <c r="DN63" i="2" s="1"/>
  <c r="DN29" i="2" a="1"/>
  <c r="DN29" i="2" s="1"/>
  <c r="DN55" i="2" a="1"/>
  <c r="DN55" i="2" s="1"/>
  <c r="DN150" i="2" a="1"/>
  <c r="DN150" i="2" s="1"/>
  <c r="DN41" i="2" a="1"/>
  <c r="DN41" i="2" s="1"/>
  <c r="DN110" i="2" a="1"/>
  <c r="DN110" i="2" s="1"/>
  <c r="DN192" i="2" a="1"/>
  <c r="DN192" i="2" s="1"/>
  <c r="DN43" i="2" a="1"/>
  <c r="DN43" i="2" s="1"/>
  <c r="DN187" i="2" a="1"/>
  <c r="DN187" i="2" s="1"/>
  <c r="DN31" i="2" a="1"/>
  <c r="DN31" i="2" s="1"/>
  <c r="DN66" i="2" a="1"/>
  <c r="DN66" i="2" s="1"/>
  <c r="DN186" i="2" a="1"/>
  <c r="DN186" i="2" s="1"/>
  <c r="DN167" i="2" a="1"/>
  <c r="DN167" i="2" s="1"/>
  <c r="DN188" i="2" a="1"/>
  <c r="DN188" i="2" s="1"/>
  <c r="DN137" i="2" a="1"/>
  <c r="DN137" i="2" s="1"/>
  <c r="DN16" i="2" a="1"/>
  <c r="DN16" i="2" s="1"/>
  <c r="DN86" i="2" a="1"/>
  <c r="DN86" i="2" s="1"/>
  <c r="DN124" i="2" a="1"/>
  <c r="DN124" i="2" s="1"/>
  <c r="CS24" i="2" a="1"/>
  <c r="CS24" i="2" s="1"/>
  <c r="CS129" i="2" a="1"/>
  <c r="CS129" i="2" s="1"/>
  <c r="CS52" i="2" a="1"/>
  <c r="CS52" i="2" s="1"/>
  <c r="CS38" i="2" a="1"/>
  <c r="CS38" i="2" s="1"/>
  <c r="CS105" i="2" a="1"/>
  <c r="CS105" i="2" s="1"/>
  <c r="BX107" i="2" a="1"/>
  <c r="BX107" i="2" s="1"/>
  <c r="AH163" i="2" a="1"/>
  <c r="AH163" i="2" s="1"/>
  <c r="AH62" i="2" a="1"/>
  <c r="AH62" i="2" s="1"/>
  <c r="AH199" i="2" a="1"/>
  <c r="AH199" i="2" s="1"/>
  <c r="AH166" i="2" a="1"/>
  <c r="AH166" i="2" s="1"/>
  <c r="AH92" i="2" a="1"/>
  <c r="AH92" i="2" s="1"/>
  <c r="AH19" i="2" a="1"/>
  <c r="AH19" i="2" s="1"/>
  <c r="AH90" i="2" a="1"/>
  <c r="AH90" i="2" s="1"/>
  <c r="FD107" i="2" a="1"/>
  <c r="FD107" i="2" s="1"/>
  <c r="FD44" i="2" a="1"/>
  <c r="FD44" i="2" s="1"/>
  <c r="FY42" i="2" a="1"/>
  <c r="FY42" i="2" s="1"/>
  <c r="EI153" i="2" a="1"/>
  <c r="EI153" i="2" s="1"/>
  <c r="FY34" i="2" a="1"/>
  <c r="FY34" i="2" s="1"/>
  <c r="FY72" i="2" a="1"/>
  <c r="FY72" i="2" s="1"/>
  <c r="FY174" i="2" a="1"/>
  <c r="FY174" i="2" s="1"/>
  <c r="FY173" i="2" a="1"/>
  <c r="FY173" i="2" s="1"/>
  <c r="FY66" i="2" a="1"/>
  <c r="FY66" i="2" s="1"/>
  <c r="FY165" i="2" a="1"/>
  <c r="FY165" i="2" s="1"/>
  <c r="FY109" i="2" a="1"/>
  <c r="FY109" i="2" s="1"/>
  <c r="HG203" i="2"/>
  <c r="FY164" i="2" a="1"/>
  <c r="FY164" i="2" s="1"/>
  <c r="FY99" i="2" a="1"/>
  <c r="FY99" i="2" s="1"/>
  <c r="FY159" i="2" a="1"/>
  <c r="FY159" i="2" s="1"/>
  <c r="FY120" i="2" a="1"/>
  <c r="FY120" i="2" s="1"/>
  <c r="FY146" i="2" a="1"/>
  <c r="FY146" i="2" s="1"/>
  <c r="FY79" i="2" a="1"/>
  <c r="FY79" i="2" s="1"/>
  <c r="FD187" i="2" a="1"/>
  <c r="FD187" i="2" s="1"/>
  <c r="FD131" i="2" a="1"/>
  <c r="FD131" i="2" s="1"/>
  <c r="FD60" i="2" a="1"/>
  <c r="FD60" i="2" s="1"/>
  <c r="FY82" i="2" a="1"/>
  <c r="FY82" i="2" s="1"/>
  <c r="EI178" i="2" a="1"/>
  <c r="EI178" i="2" s="1"/>
  <c r="EI198" i="2" a="1"/>
  <c r="EI198" i="2" s="1"/>
  <c r="FY149" i="2" a="1"/>
  <c r="FY149" i="2" s="1"/>
  <c r="FY178" i="2" a="1"/>
  <c r="FY178" i="2" s="1"/>
  <c r="FY116" i="2" a="1"/>
  <c r="FY116" i="2" s="1"/>
  <c r="FY143" i="2" a="1"/>
  <c r="FY143" i="2" s="1"/>
  <c r="FY71" i="2" a="1"/>
  <c r="FY71" i="2" s="1"/>
  <c r="FY32" i="2" a="1"/>
  <c r="FY32" i="2" s="1"/>
  <c r="FY47" i="2" a="1"/>
  <c r="FY47" i="2" s="1"/>
  <c r="FD194" i="2" a="1"/>
  <c r="FD194" i="2" s="1"/>
  <c r="FD43" i="2" a="1"/>
  <c r="FD43" i="2" s="1"/>
  <c r="FY121" i="2" a="1"/>
  <c r="FY121" i="2" s="1"/>
  <c r="FY182" i="2" a="1"/>
  <c r="FY182" i="2" s="1"/>
  <c r="EI145" i="2" a="1"/>
  <c r="EI145" i="2" s="1"/>
  <c r="FD59" i="2" a="1"/>
  <c r="FD59" i="2" s="1"/>
  <c r="FY24" i="2" a="1"/>
  <c r="FY24" i="2" s="1"/>
  <c r="FY55" i="2" a="1"/>
  <c r="FY55" i="2" s="1"/>
  <c r="FY92" i="2" a="1"/>
  <c r="FY92" i="2" s="1"/>
  <c r="FY191" i="2" a="1"/>
  <c r="FY191" i="2" s="1"/>
  <c r="FY18" i="2" a="1"/>
  <c r="FY18" i="2" s="1"/>
  <c r="FY22" i="2" a="1"/>
  <c r="FY22" i="2" s="1"/>
  <c r="FR203" i="2"/>
  <c r="FD19" i="2" a="1"/>
  <c r="FD19" i="2" s="1"/>
  <c r="FD64" i="2" a="1"/>
  <c r="FD64" i="2" s="1"/>
  <c r="FY167" i="2" a="1"/>
  <c r="FY167" i="2" s="1"/>
  <c r="FY115" i="2" a="1"/>
  <c r="FY115" i="2" s="1"/>
  <c r="EI162" i="2" a="1"/>
  <c r="EI162" i="2" s="1"/>
  <c r="FD144" i="2" a="1"/>
  <c r="FD144" i="2" s="1"/>
  <c r="FY124" i="2" a="1"/>
  <c r="FY124" i="2" s="1"/>
  <c r="FY126" i="2" a="1"/>
  <c r="FY126" i="2" s="1"/>
  <c r="FY111" i="2" a="1"/>
  <c r="FY111" i="2" s="1"/>
  <c r="FY110" i="2" a="1"/>
  <c r="FY110" i="2" s="1"/>
  <c r="FY133" i="2" a="1"/>
  <c r="FY133" i="2" s="1"/>
  <c r="FY90" i="2" a="1"/>
  <c r="FY90" i="2" s="1"/>
  <c r="FY86" i="2" a="1"/>
  <c r="FY86" i="2" s="1"/>
  <c r="EI150" i="2" a="1"/>
  <c r="EI150" i="2" s="1"/>
  <c r="FD21" i="2" a="1"/>
  <c r="FD21" i="2" s="1"/>
  <c r="FY169" i="2" a="1"/>
  <c r="FY169" i="2" s="1"/>
  <c r="FY188" i="2" a="1"/>
  <c r="FY188" i="2" s="1"/>
  <c r="FY73" i="2" a="1"/>
  <c r="FY73" i="2" s="1"/>
  <c r="FY153" i="2" a="1"/>
  <c r="FY153" i="2" s="1"/>
  <c r="FY140" i="2" a="1"/>
  <c r="FY140" i="2" s="1"/>
  <c r="FY57" i="2" a="1"/>
  <c r="FY57" i="2" s="1"/>
  <c r="FD137" i="2" a="1"/>
  <c r="FD137" i="2" s="1"/>
  <c r="FD14" i="2" a="1"/>
  <c r="FD14" i="2" s="1"/>
  <c r="FY80" i="2" a="1"/>
  <c r="FY80" i="2" s="1"/>
  <c r="FY58" i="2" a="1"/>
  <c r="FY58" i="2" s="1"/>
  <c r="EI29" i="2" a="1"/>
  <c r="EI29" i="2" s="1"/>
  <c r="FY172" i="2" a="1"/>
  <c r="FY172" i="2" s="1"/>
  <c r="FY62" i="2" a="1"/>
  <c r="FY62" i="2" s="1"/>
  <c r="FY28" i="2" a="1"/>
  <c r="FY28" i="2" s="1"/>
  <c r="FY152" i="2" a="1"/>
  <c r="FY152" i="2" s="1"/>
  <c r="FY102" i="2" a="1"/>
  <c r="FY102" i="2" s="1"/>
  <c r="FY29" i="2" a="1"/>
  <c r="FY29" i="2" s="1"/>
  <c r="FY54" i="2" a="1"/>
  <c r="FY54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ED203" i="2" s="1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Z8" i="2" s="1"/>
  <c r="FZ9" i="2" s="1"/>
  <c r="FZ10" i="2" s="1"/>
  <c r="FZ11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CN203" i="2" l="1"/>
  <c r="FZ12" i="2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I10" i="2" l="1"/>
  <c r="BI25" i="2"/>
  <c r="BI156" i="2"/>
  <c r="BI148" i="2"/>
  <c r="BI141" i="2"/>
  <c r="BI47" i="2"/>
  <c r="BI143" i="2"/>
  <c r="BI159" i="2"/>
  <c r="BI73" i="2"/>
  <c r="BI126" i="2"/>
  <c r="BI24" i="2"/>
  <c r="BI88" i="2"/>
  <c r="BI43" i="2"/>
  <c r="BI51" i="2"/>
  <c r="BI164" i="2"/>
  <c r="BI96" i="2"/>
  <c r="BI113" i="2"/>
  <c r="BI112" i="2"/>
  <c r="BI3" i="2"/>
  <c r="C8" i="4" s="1"/>
  <c r="E8" i="4" s="1"/>
  <c r="F8" i="4" s="1"/>
  <c r="G8" i="4" s="1"/>
  <c r="L8" i="4" s="1"/>
  <c r="BI194" i="2"/>
  <c r="BI200" i="2"/>
  <c r="BI130" i="2"/>
  <c r="BI166" i="2"/>
  <c r="BI198" i="2"/>
  <c r="BI18" i="2"/>
  <c r="BI62" i="2"/>
  <c r="BI117" i="2"/>
  <c r="BI191" i="2"/>
  <c r="BI111" i="2"/>
  <c r="BI50" i="2"/>
  <c r="BI82" i="2"/>
  <c r="BI124" i="2"/>
  <c r="BI190" i="2"/>
  <c r="BI170" i="2"/>
  <c r="BI44" i="2"/>
  <c r="BI109" i="2"/>
  <c r="BI152" i="2"/>
  <c r="BI64" i="2"/>
  <c r="BI145" i="2"/>
  <c r="BI4" i="2"/>
  <c r="BI116" i="2"/>
  <c r="BI69" i="2"/>
  <c r="BI103" i="2"/>
  <c r="BI87" i="2"/>
  <c r="BI81" i="2"/>
  <c r="BI75" i="2"/>
  <c r="BI184" i="2"/>
  <c r="BI8" i="2"/>
  <c r="BI201" i="2"/>
  <c r="BI176" i="2"/>
  <c r="BI178" i="2"/>
  <c r="BI21" i="2"/>
  <c r="BI144" i="2"/>
  <c r="BI91" i="2"/>
  <c r="BI79" i="2"/>
  <c r="BI115" i="2"/>
  <c r="BI23" i="2"/>
  <c r="BI89" i="2"/>
  <c r="BI136" i="2"/>
  <c r="BI146" i="2"/>
  <c r="BI157" i="2"/>
  <c r="BI13" i="2"/>
  <c r="BI52" i="2"/>
  <c r="BI53" i="2"/>
  <c r="BI105" i="2"/>
  <c r="BI128" i="2"/>
  <c r="BI85" i="2"/>
  <c r="BI182" i="2"/>
  <c r="BI46" i="2"/>
  <c r="BI202" i="2"/>
  <c r="BI167" i="2"/>
  <c r="BI6" i="2"/>
  <c r="BI14" i="2"/>
  <c r="BI40" i="2"/>
  <c r="BI67" i="2"/>
  <c r="BI56" i="2"/>
  <c r="BI37" i="2"/>
  <c r="BI12" i="2"/>
  <c r="BI114" i="2"/>
  <c r="BI165" i="2"/>
  <c r="BI168" i="2"/>
  <c r="BI95" i="2"/>
  <c r="BI72" i="2"/>
  <c r="BI106" i="2"/>
  <c r="BI150" i="2"/>
  <c r="BI7" i="2"/>
  <c r="BI110" i="2"/>
  <c r="BI169" i="2"/>
  <c r="BI134" i="2"/>
  <c r="BI70" i="2"/>
  <c r="BI172" i="2"/>
  <c r="BI119" i="2"/>
  <c r="BI133" i="2"/>
  <c r="BI80" i="2"/>
  <c r="BI151" i="2"/>
  <c r="BI36" i="2"/>
  <c r="BI66" i="2"/>
  <c r="BI41" i="2"/>
  <c r="BI57" i="2"/>
  <c r="BI63" i="2"/>
  <c r="BI104" i="2"/>
  <c r="BI185" i="2"/>
  <c r="BI58" i="2"/>
  <c r="BI99" i="2"/>
  <c r="BI158" i="2"/>
  <c r="BI54" i="2"/>
  <c r="BI181" i="2"/>
  <c r="BI189" i="2"/>
  <c r="BI187" i="2"/>
  <c r="BI154" i="2"/>
  <c r="BI140" i="2"/>
  <c r="BI108" i="2"/>
  <c r="BI149" i="2"/>
  <c r="BI76" i="2"/>
  <c r="BI71" i="2"/>
  <c r="BI39" i="2"/>
  <c r="BI197" i="2"/>
  <c r="BI86" i="2"/>
  <c r="BI65" i="2"/>
  <c r="BI129" i="2"/>
  <c r="BI180" i="2"/>
  <c r="BI97" i="2"/>
  <c r="BI175" i="2"/>
  <c r="BI59" i="2"/>
  <c r="BI127" i="2"/>
  <c r="BI27" i="2"/>
  <c r="BI135" i="2"/>
  <c r="BI193" i="2"/>
  <c r="BI188" i="2"/>
  <c r="BI199" i="2"/>
  <c r="BI45" i="2"/>
  <c r="BI9" i="2"/>
  <c r="BI77" i="2"/>
  <c r="BI38" i="2"/>
  <c r="BI92" i="2"/>
  <c r="BI122" i="2"/>
  <c r="BI118" i="2"/>
  <c r="BI138" i="2"/>
  <c r="BI131" i="2"/>
  <c r="BI186" i="2"/>
  <c r="BI94" i="2"/>
  <c r="BI147" i="2"/>
  <c r="BI32" i="2"/>
  <c r="BI155" i="2"/>
  <c r="BI137" i="2"/>
  <c r="BI196" i="2"/>
  <c r="BI93" i="2"/>
  <c r="BI174" i="2"/>
  <c r="BI173" i="2"/>
  <c r="BI121" i="2"/>
  <c r="BI192" i="2"/>
  <c r="BI78" i="2"/>
  <c r="BI183" i="2"/>
  <c r="BI28" i="2"/>
  <c r="BI100" i="2"/>
  <c r="BI26" i="2"/>
  <c r="BI68" i="2"/>
  <c r="BI42" i="2"/>
  <c r="BI84" i="2"/>
  <c r="BI11" i="2"/>
  <c r="BI16" i="2"/>
  <c r="BI61" i="2"/>
  <c r="BI15" i="2"/>
  <c r="BI31" i="2"/>
  <c r="BI203" i="2"/>
  <c r="BI74" i="2"/>
  <c r="BI98" i="2"/>
  <c r="BI49" i="2"/>
  <c r="BI22" i="2"/>
  <c r="BI179" i="2"/>
  <c r="BI20" i="2"/>
  <c r="BI120" i="2"/>
  <c r="BI139" i="2"/>
  <c r="BI17" i="2"/>
  <c r="BI161" i="2"/>
  <c r="BI60" i="2"/>
  <c r="BI30" i="2"/>
  <c r="BI107" i="2"/>
  <c r="BI162" i="2"/>
  <c r="BI153" i="2"/>
  <c r="BI125" i="2"/>
  <c r="BI33" i="2"/>
  <c r="BI163" i="2"/>
  <c r="BI102" i="2"/>
  <c r="BI29" i="2"/>
  <c r="BI132" i="2"/>
  <c r="BI101" i="2"/>
  <c r="BI34" i="2"/>
  <c r="BI19" i="2"/>
  <c r="BI123" i="2"/>
  <c r="BI160" i="2"/>
  <c r="BI171" i="2"/>
  <c r="BI195" i="2"/>
  <c r="BI142" i="2"/>
  <c r="BI5" i="2"/>
  <c r="BI177" i="2"/>
  <c r="BI48" i="2"/>
  <c r="BI55" i="2"/>
  <c r="BI35" i="2"/>
  <c r="BI90" i="2"/>
  <c r="BI83" i="2"/>
  <c r="BS152" i="2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<sst xmlns="http://schemas.openxmlformats.org/spreadsheetml/2006/main" count="1179" uniqueCount="328">
  <si>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</si>
  <si>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</si>
  <si>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</si>
  <si>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</si>
  <si>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</si>
  <si>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</si>
  <si>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</si>
  <si>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</si>
  <si>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</si>
  <si>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</si>
  <si>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</si>
  <si>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</si>
  <si>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</si>
  <si>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</si>
  <si>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</si>
  <si>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</si>
  <si>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</si>
  <si>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</si>
  <si>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</si>
  <si>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</si>
  <si>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</si>
  <si>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</si>
  <si>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</si>
  <si>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</si>
  <si>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</si>
  <si>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</si>
  <si>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</si>
  <si>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</si>
  <si>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</si>
  <si>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</si>
  <si>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</si>
  <si>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</si>
  <si>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</si>
  <si>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</si>
  <si>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</si>
  <si>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</si>
  <si>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</si>
  <si>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</si>
  <si>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</si>
  <si>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</si>
  <si>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</si>
  <si>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</si>
  <si>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</si>
  <si>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</si>
  <si>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</si>
  <si>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</si>
  <si>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</si>
  <si>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</si>
  <si>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</si>
  <si>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</si>
  <si>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</si>
  <si>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</si>
  <si>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</si>
  <si>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</si>
  <si>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</si>
  <si>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</si>
  <si>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</si>
  <si>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</si>
  <si>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</si>
  <si>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</si>
  <si>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</si>
  <si>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</si>
  <si>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</si>
  <si>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</si>
  <si>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</si>
  <si>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</si>
  <si>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</si>
  <si>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</si>
  <si>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</si>
  <si>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</si>
  <si>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</si>
  <si>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</si>
  <si>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</si>
  <si>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</si>
  <si>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</si>
  <si>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</si>
  <si>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</si>
  <si>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</si>
  <si>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</si>
  <si>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</si>
  <si>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</si>
  <si>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</si>
  <si>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</si>
  <si>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</si>
  <si>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</si>
  <si>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</si>
  <si>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</si>
  <si>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</si>
  <si>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</si>
  <si>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</si>
  <si>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</si>
  <si>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</si>
  <si>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</si>
  <si>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</si>
  <si>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</si>
  <si>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</si>
  <si>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</si>
  <si>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</si>
  <si>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</si>
  <si>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</si>
  <si>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</si>
  <si>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</si>
  <si>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</si>
  <si>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</si>
  <si>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</si>
  <si>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</si>
  <si>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</si>
  <si>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</si>
  <si>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</si>
  <si>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</si>
  <si>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</si>
  <si>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</si>
  <si>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</si>
  <si>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</si>
  <si>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</si>
  <si>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</si>
  <si>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</si>
  <si>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</si>
  <si>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</si>
  <si>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</si>
  <si>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</si>
  <si>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</si>
  <si>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</si>
  <si>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</si>
  <si>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</si>
  <si>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</si>
  <si>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</si>
  <si>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</si>
  <si>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</si>
  <si>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</si>
  <si>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</si>
  <si>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</si>
  <si>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</si>
  <si>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</si>
  <si>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</si>
  <si>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</si>
  <si>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</si>
  <si>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</si>
  <si>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</si>
  <si>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</si>
  <si>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</si>
  <si>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</si>
  <si>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</si>
  <si>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</si>
  <si>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</si>
  <si>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</si>
  <si>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</si>
  <si>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</si>
  <si>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</si>
  <si>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</si>
  <si>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</si>
  <si>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</si>
  <si>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</si>
  <si>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</si>
  <si>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</si>
  <si>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</si>
  <si>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</si>
  <si>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</si>
  <si>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</si>
  <si>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</si>
  <si>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</si>
  <si>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</si>
  <si>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</si>
  <si>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</si>
  <si>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</si>
  <si>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</si>
  <si>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</si>
  <si>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</si>
  <si>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</si>
  <si>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</si>
  <si>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</si>
  <si>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</si>
  <si>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</si>
  <si>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</si>
  <si>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</si>
  <si>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</si>
  <si>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</si>
  <si>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</si>
  <si>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</si>
  <si>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</si>
  <si>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</si>
  <si>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</si>
  <si>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</si>
  <si>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</si>
  <si>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</si>
  <si>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</si>
  <si>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</si>
  <si>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</si>
  <si>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</si>
  <si>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</si>
  <si>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</si>
  <si>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</si>
  <si>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</si>
  <si>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</si>
  <si>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</si>
  <si>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</si>
  <si>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</si>
  <si>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</si>
  <si>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</si>
  <si>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</si>
  <si>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</si>
  <si>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</si>
  <si>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</si>
  <si>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</si>
  <si>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</si>
  <si>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</si>
  <si>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</si>
  <si>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</si>
  <si>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</si>
  <si>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</si>
  <si>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</si>
  <si>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</si>
  <si>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</si>
  <si>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</si>
  <si>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</si>
  <si>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</si>
  <si>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</si>
  <si>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</si>
  <si>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</si>
  <si>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</si>
  <si>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</si>
  <si>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</si>
  <si>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</si>
  <si>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</si>
  <si>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</si>
  <si>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</si>
  <si>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</si>
  <si>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</si>
  <si>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</si>
  <si>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</si>
  <si>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</si>
  <si>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</si>
  <si>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</si>
  <si>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</si>
  <si>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</si>
  <si>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</si>
  <si>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</si>
  <si>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</si>
  <si>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</si>
  <si>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</si>
  <si>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</si>
  <si>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</si>
  <si>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</si>
  <si>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</si>
  <si>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</si>
  <si>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</si>
  <si>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</si>
  <si>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</si>
  <si>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</si>
  <si>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</si>
  <si>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</si>
  <si>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</si>
  <si>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</si>
  <si>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</si>
  <si>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</si>
  <si>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</si>
  <si>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</si>
  <si>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</si>
  <si>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</si>
  <si>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</si>
  <si>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</si>
  <si>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</si>
  <si>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</si>
  <si>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</si>
  <si>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</si>
  <si>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</si>
  <si>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</si>
  <si>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</si>
  <si>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</si>
  <si>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</si>
  <si>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</si>
  <si>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</si>
  <si>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</si>
  <si>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</si>
  <si>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</si>
  <si>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</si>
  <si>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</si>
  <si>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</si>
  <si>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</si>
  <si>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</si>
  <si>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</si>
  <si>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</si>
  <si>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</si>
  <si>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</si>
  <si>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</si>
  <si>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</si>
  <si>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</si>
  <si>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</si>
  <si>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</si>
  <si>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</si>
  <si>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</si>
  <si>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</si>
  <si>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</si>
  <si>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</si>
  <si>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</si>
  <si>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</si>
  <si>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</si>
  <si>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</si>
  <si>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</si>
  <si>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</si>
  <si>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</si>
  <si>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</si>
  <si>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</si>
  <si>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</si>
  <si>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</si>
  <si>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</si>
  <si>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</si>
  <si>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</si>
  <si>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</si>
  <si>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</si>
  <si>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</si>
  <si>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</si>
  <si>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</si>
  <si>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</si>
  <si>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</si>
  <si>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</si>
  <si>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</si>
  <si>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</si>
  <si>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</si>
  <si>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</si>
  <si>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</si>
  <si>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</si>
  <si>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</si>
  <si>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</si>
  <si>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UK For Com_F10_SAB</t>
  </si>
  <si>
    <t>CHS_ONF_F3_Northeast</t>
  </si>
  <si>
    <t>ONF_F3_1100 st/ha</t>
  </si>
  <si>
    <t>ONF_F2_Loire basin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</si>
</sst>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9.0050020993719304</c:v>
                </c:pt>
                <c:pt idx="2">
                  <c:v>17.614224179099281</c:v>
                </c:pt>
                <c:pt idx="3">
                  <c:v>26.095629179395626</c:v>
                </c:pt>
                <c:pt idx="4">
                  <c:v>34.49824475795532</c:v>
                </c:pt>
                <c:pt idx="5">
                  <c:v>42.84429185647835</c:v>
                </c:pt>
                <c:pt idx="6">
                  <c:v>51.146446227860601</c:v>
                </c:pt>
                <c:pt idx="7">
                  <c:v>59.412879439878935</c:v>
                </c:pt>
                <c:pt idx="8">
                  <c:v>67.649283312103222</c:v>
                </c:pt>
                <c:pt idx="9">
                  <c:v>75.85984140432312</c:v>
                </c:pt>
                <c:pt idx="10">
                  <c:v>84.04775305657931</c:v>
                </c:pt>
                <c:pt idx="11">
                  <c:v>92.215540713452924</c:v>
                </c:pt>
                <c:pt idx="12">
                  <c:v>100.36524188794243</c:v>
                </c:pt>
                <c:pt idx="13">
                  <c:v>108.4985351429486</c:v>
                </c:pt>
                <c:pt idx="14">
                  <c:v>116.61682613120678</c:v>
                </c:pt>
                <c:pt idx="15">
                  <c:v>124.72130831921697</c:v>
                </c:pt>
                <c:pt idx="16">
                  <c:v>132.81300704195772</c:v>
                </c:pt>
                <c:pt idx="17">
                  <c:v>140.89281222352039</c:v>
                </c:pt>
                <c:pt idx="18">
                  <c:v>148.96150317663719</c:v>
                </c:pt>
                <c:pt idx="19">
                  <c:v>157.01976773320771</c:v>
                </c:pt>
                <c:pt idx="20">
                  <c:v>165.06821723245113</c:v>
                </c:pt>
                <c:pt idx="21">
                  <c:v>173.10739842624028</c:v>
                </c:pt>
                <c:pt idx="22">
                  <c:v>181.13780305250211</c:v>
                </c:pt>
                <c:pt idx="23">
                  <c:v>189.15987561879626</c:v>
                </c:pt>
                <c:pt idx="24">
                  <c:v>197.17401979403192</c:v>
                </c:pt>
                <c:pt idx="25">
                  <c:v>205.18060370488044</c:v>
                </c:pt>
                <c:pt idx="26">
                  <c:v>213.1799643609078</c:v>
                </c:pt>
                <c:pt idx="27">
                  <c:v>221.17241137976885</c:v>
                </c:pt>
                <c:pt idx="28">
                  <c:v>229.15823014500677</c:v>
                </c:pt>
                <c:pt idx="29">
                  <c:v>237.13768450006134</c:v>
                </c:pt>
                <c:pt idx="30">
                  <c:v>245.11101906025024</c:v>
                </c:pt>
                <c:pt idx="31">
                  <c:v>253.07846120782642</c:v>
                </c:pt>
                <c:pt idx="32">
                  <c:v>261.04022282237821</c:v>
                </c:pt>
                <c:pt idx="33">
                  <c:v>268.99650178885196</c:v>
                </c:pt>
                <c:pt idx="34">
                  <c:v>276.94748331764885</c:v>
                </c:pt>
                <c:pt idx="35">
                  <c:v>284.89334110505234</c:v>
                </c:pt>
                <c:pt idx="36">
                  <c:v>292.83423835730713</c:v>
                </c:pt>
                <c:pt idx="37">
                  <c:v>300.77032869771307</c:v>
                </c:pt>
                <c:pt idx="38">
                  <c:v>308.70175697289704</c:v>
                </c:pt>
                <c:pt idx="39">
                  <c:v>316.62865997182678</c:v>
                </c:pt>
                <c:pt idx="40">
                  <c:v>324.55116706900372</c:v>
                </c:pt>
                <c:pt idx="41">
                  <c:v>332.46940080152797</c:v>
                </c:pt>
                <c:pt idx="42">
                  <c:v>340.3834773882773</c:v>
                </c:pt>
                <c:pt idx="43">
                  <c:v>273.75218029395825</c:v>
                </c:pt>
                <c:pt idx="44">
                  <c:v>293.36881382704775</c:v>
                </c:pt>
                <c:pt idx="45">
                  <c:v>312.95617609403075</c:v>
                </c:pt>
                <c:pt idx="46">
                  <c:v>332.51635617745427</c:v>
                </c:pt>
                <c:pt idx="47">
                  <c:v>352.05117734371078</c:v>
                </c:pt>
                <c:pt idx="48">
                  <c:v>371.56224404609662</c:v>
                </c:pt>
                <c:pt idx="49">
                  <c:v>391.0509785343383</c:v>
                </c:pt>
                <c:pt idx="50">
                  <c:v>410.51864978264985</c:v>
                </c:pt>
                <c:pt idx="51">
                  <c:v>358.14000932688845</c:v>
                </c:pt>
                <c:pt idx="52">
                  <c:v>378.133205362853</c:v>
                </c:pt>
                <c:pt idx="53">
                  <c:v>398.10339955589421</c:v>
                </c:pt>
                <c:pt idx="54">
                  <c:v>418.05190742655623</c:v>
                </c:pt>
                <c:pt idx="55">
                  <c:v>437.97990876559203</c:v>
                </c:pt>
                <c:pt idx="56">
                  <c:v>457.88846730300457</c:v>
                </c:pt>
                <c:pt idx="57">
                  <c:v>477.7785467783458</c:v>
                </c:pt>
                <c:pt idx="58">
                  <c:v>497.651024196067</c:v>
                </c:pt>
                <c:pt idx="59">
                  <c:v>425.3081979788314</c:v>
                </c:pt>
                <c:pt idx="60">
                  <c:v>444.73668447776726</c:v>
                </c:pt>
                <c:pt idx="61">
                  <c:v>464.14699911725734</c:v>
                </c:pt>
                <c:pt idx="62">
                  <c:v>483.54000828600118</c:v>
                </c:pt>
                <c:pt idx="63">
                  <c:v>502.91650325255364</c:v>
                </c:pt>
                <c:pt idx="64">
                  <c:v>522.27720938092455</c:v>
                </c:pt>
                <c:pt idx="65">
                  <c:v>541.62279390908645</c:v>
                </c:pt>
                <c:pt idx="66">
                  <c:v>560.95387255882349</c:v>
                </c:pt>
                <c:pt idx="67">
                  <c:v>476.79537882809342</c:v>
                </c:pt>
                <c:pt idx="68">
                  <c:v>495.46111981441936</c:v>
                </c:pt>
                <c:pt idx="69">
                  <c:v>514.11196622588784</c:v>
                </c:pt>
                <c:pt idx="70">
                  <c:v>532.74853410341427</c:v>
                </c:pt>
                <c:pt idx="71">
                  <c:v>551.37139290172445</c:v>
                </c:pt>
                <c:pt idx="72">
                  <c:v>569.98107049885277</c:v>
                </c:pt>
                <c:pt idx="73">
                  <c:v>588.57805751771946</c:v>
                </c:pt>
                <c:pt idx="74">
                  <c:v>607.16281107343082</c:v>
                </c:pt>
                <c:pt idx="75">
                  <c:v>527.27795667733812</c:v>
                </c:pt>
                <c:pt idx="76">
                  <c:v>545.54754028313835</c:v>
                </c:pt>
                <c:pt idx="77">
                  <c:v>563.80428892622592</c:v>
                </c:pt>
                <c:pt idx="78">
                  <c:v>582.04867643370324</c:v>
                </c:pt>
                <c:pt idx="79">
                  <c:v>600.28114452830425</c:v>
                </c:pt>
                <c:pt idx="80">
                  <c:v>618.50210593255088</c:v>
                </c:pt>
                <c:pt idx="81">
                  <c:v>636.71194708833502</c:v>
                </c:pt>
                <c:pt idx="82">
                  <c:v>654.91103054942675</c:v>
                </c:pt>
                <c:pt idx="83">
                  <c:v>673.09969709441123</c:v>
                </c:pt>
                <c:pt idx="84">
                  <c:v>691.27826759955133</c:v>
                </c:pt>
                <c:pt idx="85">
                  <c:v>581.59973453568659</c:v>
                </c:pt>
                <c:pt idx="86">
                  <c:v>599.11844918899601</c:v>
                </c:pt>
                <c:pt idx="87">
                  <c:v>616.62651763378562</c:v>
                </c:pt>
                <c:pt idx="88">
                  <c:v>634.12428449003357</c:v>
                </c:pt>
                <c:pt idx="89">
                  <c:v>651.61207382332452</c:v>
                </c:pt>
                <c:pt idx="90">
                  <c:v>669.09019090077402</c:v>
                </c:pt>
                <c:pt idx="91">
                  <c:v>686.55892375407859</c:v>
                </c:pt>
                <c:pt idx="92">
                  <c:v>704.01854457534034</c:v>
                </c:pt>
                <c:pt idx="93">
                  <c:v>721.46931096734397</c:v>
                </c:pt>
                <c:pt idx="94">
                  <c:v>738.91146706668712</c:v>
                </c:pt>
                <c:pt idx="95">
                  <c:v>627.697086725389</c:v>
                </c:pt>
                <c:pt idx="96">
                  <c:v>644.74814711906788</c:v>
                </c:pt>
                <c:pt idx="97">
                  <c:v>661.78990449197136</c:v>
                </c:pt>
                <c:pt idx="98">
                  <c:v>678.82263195520943</c:v>
                </c:pt>
                <c:pt idx="99">
                  <c:v>695.84658780820121</c:v>
                </c:pt>
                <c:pt idx="100">
                  <c:v>712.86201669207321</c:v>
                </c:pt>
                <c:pt idx="101">
                  <c:v>729.86915062730213</c:v>
                </c:pt>
                <c:pt idx="102">
                  <c:v>746.86820994969855</c:v>
                </c:pt>
                <c:pt idx="103">
                  <c:v>763.85940415682887</c:v>
                </c:pt>
                <c:pt idx="104">
                  <c:v>780.84293267527562</c:v>
                </c:pt>
                <c:pt idx="105">
                  <c:v>671.97975155410234</c:v>
                </c:pt>
                <c:pt idx="106">
                  <c:v>688.82254008714096</c:v>
                </c:pt>
                <c:pt idx="107">
                  <c:v>705.65688844321483</c:v>
                </c:pt>
                <c:pt idx="108">
                  <c:v>722.4830261622709</c:v>
                </c:pt>
                <c:pt idx="109">
                  <c:v>739.30117123035416</c:v>
                </c:pt>
                <c:pt idx="110">
                  <c:v>756.11153091614267</c:v>
                </c:pt>
                <c:pt idx="111">
                  <c:v>772.91430252928774</c:v>
                </c:pt>
                <c:pt idx="112">
                  <c:v>789.70967410944593</c:v>
                </c:pt>
                <c:pt idx="113">
                  <c:v>806.49782505370615</c:v>
                </c:pt>
                <c:pt idx="114">
                  <c:v>823.27892668911102</c:v>
                </c:pt>
                <c:pt idx="115">
                  <c:v>722.72266190929292</c:v>
                </c:pt>
                <c:pt idx="116">
                  <c:v>739.67566348659057</c:v>
                </c:pt>
                <c:pt idx="117">
                  <c:v>756.62075875063954</c:v>
                </c:pt>
                <c:pt idx="118">
                  <c:v>773.55814954391769</c:v>
                </c:pt>
                <c:pt idx="119">
                  <c:v>790.48802815801503</c:v>
                </c:pt>
                <c:pt idx="120">
                  <c:v>807.41057798460258</c:v>
                </c:pt>
                <c:pt idx="121">
                  <c:v>824.32597410904464</c:v>
                </c:pt>
                <c:pt idx="122">
                  <c:v>841.23438385280679</c:v>
                </c:pt>
                <c:pt idx="123">
                  <c:v>858.13596727003414</c:v>
                </c:pt>
                <c:pt idx="124">
                  <c:v>875.03087760302014</c:v>
                </c:pt>
                <c:pt idx="125">
                  <c:v>782.50061686170341</c:v>
                </c:pt>
                <c:pt idx="126">
                  <c:v>799.62968518227046</c:v>
                </c:pt>
                <c:pt idx="127">
                  <c:v>816.75134561555353</c:v>
                </c:pt>
                <c:pt idx="128">
                  <c:v>833.86577516673162</c:v>
                </c:pt>
                <c:pt idx="129">
                  <c:v>850.97314299064567</c:v>
                </c:pt>
                <c:pt idx="130">
                  <c:v>868.07361089398819</c:v>
                </c:pt>
                <c:pt idx="131">
                  <c:v>885.16733379591051</c:v>
                </c:pt>
                <c:pt idx="132">
                  <c:v>902.2544601512418</c:v>
                </c:pt>
                <c:pt idx="133">
                  <c:v>919.33513234002146</c:v>
                </c:pt>
                <c:pt idx="134">
                  <c:v>936.40948702661092</c:v>
                </c:pt>
                <c:pt idx="135">
                  <c:v>838.6102011221443</c:v>
                </c:pt>
                <c:pt idx="136">
                  <c:v>855.94497971688827</c:v>
                </c:pt>
                <c:pt idx="137">
                  <c:v>873.27271903682515</c:v>
                </c:pt>
                <c:pt idx="138">
                  <c:v>890.5935782737007</c:v>
                </c:pt>
                <c:pt idx="139">
                  <c:v>907.90770992953412</c:v>
                </c:pt>
                <c:pt idx="140">
                  <c:v>925.21526022253431</c:v>
                </c:pt>
                <c:pt idx="141">
                  <c:v>942.51636946110614</c:v>
                </c:pt>
                <c:pt idx="142">
                  <c:v>959.81117238899981</c:v>
                </c:pt>
                <c:pt idx="143">
                  <c:v>977.0997985043233</c:v>
                </c:pt>
                <c:pt idx="144">
                  <c:v>994.38237235483496</c:v>
                </c:pt>
                <c:pt idx="145">
                  <c:v>895.13672120800663</c:v>
                </c:pt>
                <c:pt idx="146">
                  <c:v>912.81066349155742</c:v>
                </c:pt>
                <c:pt idx="147">
                  <c:v>930.4777886047126</c:v>
                </c:pt>
                <c:pt idx="148">
                  <c:v>948.13824405935259</c:v>
                </c:pt>
                <c:pt idx="149">
                  <c:v>965.79217143106382</c:v>
                </c:pt>
                <c:pt idx="150">
                  <c:v>983.43970670436431</c:v>
                </c:pt>
                <c:pt idx="151">
                  <c:v>1001.0809805918944</c:v>
                </c:pt>
                <c:pt idx="152">
                  <c:v>1018.71611882997</c:v>
                </c:pt>
                <c:pt idx="153">
                  <c:v>1036.3452424526342</c:v>
                </c:pt>
                <c:pt idx="154">
                  <c:v>1053.9684680461214</c:v>
                </c:pt>
                <c:pt idx="155">
                  <c:v>956.55090506127237</c:v>
                </c:pt>
                <c:pt idx="156">
                  <c:v>974.49101342927031</c:v>
                </c:pt>
                <c:pt idx="157">
                  <c:v>992.4245856504881</c:v>
                </c:pt>
                <c:pt idx="158">
                  <c:v>1010.3517563163817</c:v>
                </c:pt>
                <c:pt idx="159">
                  <c:v>1028.272654859283</c:v>
                </c:pt>
                <c:pt idx="160">
                  <c:v>1046.1874058384321</c:v>
                </c:pt>
                <c:pt idx="161">
                  <c:v>1064.0961292054305</c:v>
                </c:pt>
                <c:pt idx="162">
                  <c:v>1081.9989405509189</c:v>
                </c:pt>
                <c:pt idx="163">
                  <c:v>1099.8959513341035</c:v>
                </c:pt>
                <c:pt idx="164">
                  <c:v>1117.7872690965953</c:v>
                </c:pt>
                <c:pt idx="165">
                  <c:v>1011.3529825308154</c:v>
                </c:pt>
                <c:pt idx="166">
                  <c:v>1029.5265839652609</c:v>
                </c:pt>
                <c:pt idx="167">
                  <c:v>1047.6938717377543</c:v>
                </c:pt>
                <c:pt idx="168">
                  <c:v>1065.8549705958526</c:v>
                </c:pt>
                <c:pt idx="169">
                  <c:v>1084.0100006955302</c:v>
                </c:pt>
                <c:pt idx="170">
                  <c:v>1102.1590778457946</c:v>
                </c:pt>
                <c:pt idx="171">
                  <c:v>1120.3023137363737</c:v>
                </c:pt>
                <c:pt idx="172">
                  <c:v>1138.4398161499098</c:v>
                </c:pt>
                <c:pt idx="173">
                  <c:v>1156.5716891599543</c:v>
                </c:pt>
                <c:pt idx="174">
                  <c:v>1174.698033315914</c:v>
                </c:pt>
                <c:pt idx="175">
                  <c:v>732.31437435591215</c:v>
                </c:pt>
                <c:pt idx="176">
                  <c:v>743.98679945215974</c:v>
                </c:pt>
                <c:pt idx="177">
                  <c:v>755.65550007785635</c:v>
                </c:pt>
                <c:pt idx="178">
                  <c:v>517.46121739591933</c:v>
                </c:pt>
                <c:pt idx="179">
                  <c:v>524.66092206348958</c:v>
                </c:pt>
                <c:pt idx="180">
                  <c:v>531.85854549909652</c:v>
                </c:pt>
                <c:pt idx="181">
                  <c:v>369.1961442433323</c:v>
                </c:pt>
                <c:pt idx="182">
                  <c:v>373.61945496476648</c:v>
                </c:pt>
                <c:pt idx="183">
                  <c:v>378.04162441819318</c:v>
                </c:pt>
                <c:pt idx="184">
                  <c:v>1.6226126790761848E-11</c:v>
                </c:pt>
                <c:pt idx="185">
                  <c:v>1.6226126790761848E-11</c:v>
                </c:pt>
                <c:pt idx="186">
                  <c:v>1.6226126790761848E-11</c:v>
                </c:pt>
                <c:pt idx="187">
                  <c:v>1.6226126790761848E-11</c:v>
                </c:pt>
                <c:pt idx="188">
                  <c:v>1.6226126790761848E-11</c:v>
                </c:pt>
                <c:pt idx="189">
                  <c:v>1.6226126790761848E-11</c:v>
                </c:pt>
                <c:pt idx="190">
                  <c:v>1.6226126790761848E-11</c:v>
                </c:pt>
                <c:pt idx="191">
                  <c:v>1.6226126790761848E-11</c:v>
                </c:pt>
                <c:pt idx="192">
                  <c:v>1.6226126790761848E-11</c:v>
                </c:pt>
                <c:pt idx="193">
                  <c:v>1.6226126790761848E-11</c:v>
                </c:pt>
                <c:pt idx="194">
                  <c:v>1.6226126790761848E-11</c:v>
                </c:pt>
                <c:pt idx="195">
                  <c:v>1.6226126790761848E-11</c:v>
                </c:pt>
                <c:pt idx="196">
                  <c:v>1.6226126790761848E-11</c:v>
                </c:pt>
                <c:pt idx="197">
                  <c:v>1.6226126790761848E-11</c:v>
                </c:pt>
                <c:pt idx="198">
                  <c:v>1.6226126790761848E-11</c:v>
                </c:pt>
                <c:pt idx="199">
                  <c:v>1.6226126790761848E-11</c:v>
                </c:pt>
                <c:pt idx="200">
                  <c:v>1.6226126790761848E-11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7.3800406658039828</c:v>
                </c:pt>
                <c:pt idx="2">
                  <c:v>14.430122778312859</c:v>
                </c:pt>
                <c:pt idx="3">
                  <c:v>21.373644840990689</c:v>
                </c:pt>
                <c:pt idx="4">
                  <c:v>28.251480809573795</c:v>
                </c:pt>
                <c:pt idx="5">
                  <c:v>35.082156100738764</c:v>
                </c:pt>
                <c:pt idx="6">
                  <c:v>41.876238385615665</c:v>
                </c:pt>
                <c:pt idx="7">
                  <c:v>48.640540233177099</c:v>
                </c:pt>
                <c:pt idx="8">
                  <c:v>55.379806866672531</c:v>
                </c:pt>
                <c:pt idx="9">
                  <c:v>62.097526085554399</c:v>
                </c:pt>
                <c:pt idx="10">
                  <c:v>68.796365153350322</c:v>
                </c:pt>
                <c:pt idx="11">
                  <c:v>75.47842701139993</c:v>
                </c:pt>
                <c:pt idx="12">
                  <c:v>82.145410317563559</c:v>
                </c:pt>
                <c:pt idx="13">
                  <c:v>88.79871447595167</c:v>
                </c:pt>
                <c:pt idx="14">
                  <c:v>95.439511367710338</c:v>
                </c:pt>
                <c:pt idx="15">
                  <c:v>102.06879597606302</c:v>
                </c:pt>
                <c:pt idx="16">
                  <c:v>108.68742311436408</c:v>
                </c:pt>
                <c:pt idx="17">
                  <c:v>115.29613470502277</c:v>
                </c:pt>
                <c:pt idx="18">
                  <c:v>121.89558045466629</c:v>
                </c:pt>
                <c:pt idx="19">
                  <c:v>128.48633380310281</c:v>
                </c:pt>
                <c:pt idx="20">
                  <c:v>135.06890441882061</c:v>
                </c:pt>
                <c:pt idx="21">
                  <c:v>141.64374812436762</c:v>
                </c:pt>
                <c:pt idx="22">
                  <c:v>148.21127487761666</c:v>
                </c:pt>
                <c:pt idx="23">
                  <c:v>154.77185526087118</c:v>
                </c:pt>
                <c:pt idx="24">
                  <c:v>161.32582580958686</c:v>
                </c:pt>
                <c:pt idx="25">
                  <c:v>167.87349342794758</c:v>
                </c:pt>
                <c:pt idx="26">
                  <c:v>174.41513907806188</c:v>
                </c:pt>
                <c:pt idx="27">
                  <c:v>180.95102088562683</c:v>
                </c:pt>
                <c:pt idx="28">
                  <c:v>187.48137677255966</c:v>
                </c:pt>
                <c:pt idx="29">
                  <c:v>194.00642670297006</c:v>
                </c:pt>
                <c:pt idx="30">
                  <c:v>200.52637461064015</c:v>
                </c:pt>
                <c:pt idx="31">
                  <c:v>207.04141006228784</c:v>
                </c:pt>
                <c:pt idx="32">
                  <c:v>213.55170970018628</c:v>
                </c:pt>
                <c:pt idx="33">
                  <c:v>220.05743849939086</c:v>
                </c:pt>
                <c:pt idx="34">
                  <c:v>226.55875086829255</c:v>
                </c:pt>
                <c:pt idx="35">
                  <c:v>233.05579161605704</c:v>
                </c:pt>
                <c:pt idx="36">
                  <c:v>239.5486968063905</c:v>
                </c:pt>
                <c:pt idx="37">
                  <c:v>246.03759451377718</c:v>
                </c:pt>
                <c:pt idx="38">
                  <c:v>252.5226054956606</c:v>
                </c:pt>
                <c:pt idx="39">
                  <c:v>259.00384379188023</c:v>
                </c:pt>
                <c:pt idx="40">
                  <c:v>265.48141726089602</c:v>
                </c:pt>
                <c:pt idx="41">
                  <c:v>271.95542806088224</c:v>
                </c:pt>
                <c:pt idx="42">
                  <c:v>278.42597308256319</c:v>
                </c:pt>
                <c:pt idx="43">
                  <c:v>284.89314433966507</c:v>
                </c:pt>
                <c:pt idx="44">
                  <c:v>291.35702932202412</c:v>
                </c:pt>
                <c:pt idx="45">
                  <c:v>297.8177113156882</c:v>
                </c:pt>
                <c:pt idx="46">
                  <c:v>304.27526969376351</c:v>
                </c:pt>
                <c:pt idx="47">
                  <c:v>310.72978018125599</c:v>
                </c:pt>
                <c:pt idx="48">
                  <c:v>317.1813150967381</c:v>
                </c:pt>
                <c:pt idx="49">
                  <c:v>323.62994357330712</c:v>
                </c:pt>
                <c:pt idx="50">
                  <c:v>330.0757317609972</c:v>
                </c:pt>
                <c:pt idx="51">
                  <c:v>336.51874301254134</c:v>
                </c:pt>
                <c:pt idx="52">
                  <c:v>247.01200248677006</c:v>
                </c:pt>
                <c:pt idx="53">
                  <c:v>259.43488785150095</c:v>
                </c:pt>
                <c:pt idx="54">
                  <c:v>271.84433604206578</c:v>
                </c:pt>
                <c:pt idx="55">
                  <c:v>284.24104711596163</c:v>
                </c:pt>
                <c:pt idx="56">
                  <c:v>296.6256550515152</c:v>
                </c:pt>
                <c:pt idx="57">
                  <c:v>308.99873654266725</c:v>
                </c:pt>
                <c:pt idx="58">
                  <c:v>321.36081831054946</c:v>
                </c:pt>
                <c:pt idx="59">
                  <c:v>333.71238323059265</c:v>
                </c:pt>
                <c:pt idx="60">
                  <c:v>346.05387550468822</c:v>
                </c:pt>
                <c:pt idx="61">
                  <c:v>358.3857050566765</c:v>
                </c:pt>
                <c:pt idx="62">
                  <c:v>370.70825129105378</c:v>
                </c:pt>
                <c:pt idx="63">
                  <c:v>383.02186632567759</c:v>
                </c:pt>
                <c:pt idx="64">
                  <c:v>278.73116194548425</c:v>
                </c:pt>
                <c:pt idx="65">
                  <c:v>290.09879353244492</c:v>
                </c:pt>
                <c:pt idx="66">
                  <c:v>301.4564733796521</c:v>
                </c:pt>
                <c:pt idx="67">
                  <c:v>312.80462944093028</c:v>
                </c:pt>
                <c:pt idx="68">
                  <c:v>324.1436560691223</c:v>
                </c:pt>
                <c:pt idx="69">
                  <c:v>335.47391776262225</c:v>
                </c:pt>
                <c:pt idx="70">
                  <c:v>346.7957523790833</c:v>
                </c:pt>
                <c:pt idx="71">
                  <c:v>358.10947390735413</c:v>
                </c:pt>
                <c:pt idx="72">
                  <c:v>369.41537487070042</c:v>
                </c:pt>
                <c:pt idx="73">
                  <c:v>380.71372842036959</c:v>
                </c:pt>
                <c:pt idx="74">
                  <c:v>392.00479016759505</c:v>
                </c:pt>
                <c:pt idx="75">
                  <c:v>403.28879979346425</c:v>
                </c:pt>
                <c:pt idx="76">
                  <c:v>320.09055988993907</c:v>
                </c:pt>
                <c:pt idx="77">
                  <c:v>330.51376496417566</c:v>
                </c:pt>
                <c:pt idx="78">
                  <c:v>340.9297203238948</c:v>
                </c:pt>
                <c:pt idx="79">
                  <c:v>351.33867878828346</c:v>
                </c:pt>
                <c:pt idx="80">
                  <c:v>361.74087696659825</c:v>
                </c:pt>
                <c:pt idx="81">
                  <c:v>372.13653674377588</c:v>
                </c:pt>
                <c:pt idx="82">
                  <c:v>382.52586659131663</c:v>
                </c:pt>
                <c:pt idx="83">
                  <c:v>392.90906272827596</c:v>
                </c:pt>
                <c:pt idx="84">
                  <c:v>403.28631015309378</c:v>
                </c:pt>
                <c:pt idx="85">
                  <c:v>413.6577835636549</c:v>
                </c:pt>
                <c:pt idx="86">
                  <c:v>424.02364818024301</c:v>
                </c:pt>
                <c:pt idx="87">
                  <c:v>434.38406048380944</c:v>
                </c:pt>
                <c:pt idx="88">
                  <c:v>351.58422801050841</c:v>
                </c:pt>
                <c:pt idx="89">
                  <c:v>360.99635900937443</c:v>
                </c:pt>
                <c:pt idx="90">
                  <c:v>370.40312470931332</c:v>
                </c:pt>
                <c:pt idx="91">
                  <c:v>379.80468065192116</c:v>
                </c:pt>
                <c:pt idx="92">
                  <c:v>389.20117404606736</c:v>
                </c:pt>
                <c:pt idx="93">
                  <c:v>398.59274440905824</c:v>
                </c:pt>
                <c:pt idx="94">
                  <c:v>407.97952414419888</c:v>
                </c:pt>
                <c:pt idx="95">
                  <c:v>417.36163906241222</c:v>
                </c:pt>
                <c:pt idx="96">
                  <c:v>426.73920885449638</c:v>
                </c:pt>
                <c:pt idx="97">
                  <c:v>436.11234751969567</c:v>
                </c:pt>
                <c:pt idx="98">
                  <c:v>445.48116375549813</c:v>
                </c:pt>
                <c:pt idx="99">
                  <c:v>454.84576131292738</c:v>
                </c:pt>
                <c:pt idx="100">
                  <c:v>238.64812478518766</c:v>
                </c:pt>
                <c:pt idx="101">
                  <c:v>245.25745220730889</c:v>
                </c:pt>
                <c:pt idx="102">
                  <c:v>251.86273322597432</c:v>
                </c:pt>
                <c:pt idx="103">
                  <c:v>258.46408908205132</c:v>
                </c:pt>
                <c:pt idx="104">
                  <c:v>265.06163430905343</c:v>
                </c:pt>
                <c:pt idx="105">
                  <c:v>271.65547726567394</c:v>
                </c:pt>
                <c:pt idx="106">
                  <c:v>278.2457206138526</c:v>
                </c:pt>
                <c:pt idx="107">
                  <c:v>284.83246174913438</c:v>
                </c:pt>
                <c:pt idx="108">
                  <c:v>291.41579318909641</c:v>
                </c:pt>
                <c:pt idx="109">
                  <c:v>297.99580292480601</c:v>
                </c:pt>
                <c:pt idx="110">
                  <c:v>4.2330868906469593E-12</c:v>
                </c:pt>
                <c:pt idx="111">
                  <c:v>4.2330868906469593E-12</c:v>
                </c:pt>
                <c:pt idx="112">
                  <c:v>4.2330868906469593E-12</c:v>
                </c:pt>
                <c:pt idx="113">
                  <c:v>4.2330868906469593E-12</c:v>
                </c:pt>
                <c:pt idx="114">
                  <c:v>4.2330868906469593E-12</c:v>
                </c:pt>
                <c:pt idx="115">
                  <c:v>4.2330868906469593E-12</c:v>
                </c:pt>
                <c:pt idx="116">
                  <c:v>4.2330868906469593E-12</c:v>
                </c:pt>
                <c:pt idx="117">
                  <c:v>4.2330868906469593E-12</c:v>
                </c:pt>
                <c:pt idx="118">
                  <c:v>4.2330868906469593E-12</c:v>
                </c:pt>
                <c:pt idx="119">
                  <c:v>4.2330868906469593E-12</c:v>
                </c:pt>
                <c:pt idx="120">
                  <c:v>4.2330868906469593E-12</c:v>
                </c:pt>
                <c:pt idx="121">
                  <c:v>4.2330868906469593E-12</c:v>
                </c:pt>
                <c:pt idx="122">
                  <c:v>4.2330868906469593E-12</c:v>
                </c:pt>
                <c:pt idx="123">
                  <c:v>4.2330868906469593E-12</c:v>
                </c:pt>
                <c:pt idx="124">
                  <c:v>4.2330868906469593E-12</c:v>
                </c:pt>
                <c:pt idx="125">
                  <c:v>4.2330868906469593E-12</c:v>
                </c:pt>
                <c:pt idx="126">
                  <c:v>4.2330868906469593E-12</c:v>
                </c:pt>
                <c:pt idx="127">
                  <c:v>4.2330868906469593E-12</c:v>
                </c:pt>
                <c:pt idx="128">
                  <c:v>4.2330868906469593E-12</c:v>
                </c:pt>
                <c:pt idx="129">
                  <c:v>4.2330868906469593E-12</c:v>
                </c:pt>
                <c:pt idx="130">
                  <c:v>4.2330868906469593E-12</c:v>
                </c:pt>
                <c:pt idx="131">
                  <c:v>4.2330868906469593E-12</c:v>
                </c:pt>
                <c:pt idx="132">
                  <c:v>4.2330868906469593E-12</c:v>
                </c:pt>
                <c:pt idx="133">
                  <c:v>4.2330868906469593E-12</c:v>
                </c:pt>
                <c:pt idx="134">
                  <c:v>4.2330868906469593E-12</c:v>
                </c:pt>
                <c:pt idx="135">
                  <c:v>4.2330868906469593E-12</c:v>
                </c:pt>
                <c:pt idx="136">
                  <c:v>4.2330868906469593E-12</c:v>
                </c:pt>
                <c:pt idx="137">
                  <c:v>4.2330868906469593E-12</c:v>
                </c:pt>
                <c:pt idx="138">
                  <c:v>4.2330868906469593E-12</c:v>
                </c:pt>
                <c:pt idx="139">
                  <c:v>4.2330868906469593E-12</c:v>
                </c:pt>
                <c:pt idx="140">
                  <c:v>4.2330868906469593E-12</c:v>
                </c:pt>
                <c:pt idx="141">
                  <c:v>4.2330868906469593E-12</c:v>
                </c:pt>
                <c:pt idx="142">
                  <c:v>4.2330868906469593E-12</c:v>
                </c:pt>
                <c:pt idx="143">
                  <c:v>4.2330868906469593E-12</c:v>
                </c:pt>
                <c:pt idx="144">
                  <c:v>4.2330868906469593E-12</c:v>
                </c:pt>
                <c:pt idx="145">
                  <c:v>4.2330868906469593E-12</c:v>
                </c:pt>
                <c:pt idx="146">
                  <c:v>4.2330868906469593E-12</c:v>
                </c:pt>
                <c:pt idx="147">
                  <c:v>4.2330868906469593E-12</c:v>
                </c:pt>
                <c:pt idx="148">
                  <c:v>4.2330868906469593E-12</c:v>
                </c:pt>
                <c:pt idx="149">
                  <c:v>4.2330868906469593E-12</c:v>
                </c:pt>
                <c:pt idx="150">
                  <c:v>4.2330868906469593E-12</c:v>
                </c:pt>
                <c:pt idx="151">
                  <c:v>4.2330868906469593E-12</c:v>
                </c:pt>
                <c:pt idx="152">
                  <c:v>4.2330868906469593E-12</c:v>
                </c:pt>
                <c:pt idx="153">
                  <c:v>4.2330868906469593E-12</c:v>
                </c:pt>
                <c:pt idx="154">
                  <c:v>4.2330868906469593E-12</c:v>
                </c:pt>
                <c:pt idx="155">
                  <c:v>4.2330868906469593E-12</c:v>
                </c:pt>
                <c:pt idx="156">
                  <c:v>4.2330868906469593E-12</c:v>
                </c:pt>
                <c:pt idx="157">
                  <c:v>4.2330868906469593E-12</c:v>
                </c:pt>
                <c:pt idx="158">
                  <c:v>4.2330868906469593E-12</c:v>
                </c:pt>
                <c:pt idx="159">
                  <c:v>4.2330868906469593E-12</c:v>
                </c:pt>
                <c:pt idx="160">
                  <c:v>4.2330868906469593E-12</c:v>
                </c:pt>
                <c:pt idx="161">
                  <c:v>4.2330868906469593E-12</c:v>
                </c:pt>
                <c:pt idx="162">
                  <c:v>4.2330868906469593E-12</c:v>
                </c:pt>
                <c:pt idx="163">
                  <c:v>4.2330868906469593E-12</c:v>
                </c:pt>
                <c:pt idx="164">
                  <c:v>4.2330868906469593E-12</c:v>
                </c:pt>
                <c:pt idx="165">
                  <c:v>4.2330868906469593E-12</c:v>
                </c:pt>
                <c:pt idx="166">
                  <c:v>4.2330868906469593E-12</c:v>
                </c:pt>
                <c:pt idx="167">
                  <c:v>4.2330868906469593E-12</c:v>
                </c:pt>
                <c:pt idx="168">
                  <c:v>4.2330868906469593E-12</c:v>
                </c:pt>
                <c:pt idx="169">
                  <c:v>4.2330868906469593E-12</c:v>
                </c:pt>
                <c:pt idx="170">
                  <c:v>4.2330868906469593E-12</c:v>
                </c:pt>
                <c:pt idx="171">
                  <c:v>4.2330868906469593E-12</c:v>
                </c:pt>
                <c:pt idx="172">
                  <c:v>4.2330868906469593E-12</c:v>
                </c:pt>
                <c:pt idx="173">
                  <c:v>4.2330868906469593E-12</c:v>
                </c:pt>
                <c:pt idx="174">
                  <c:v>4.2330868906469593E-12</c:v>
                </c:pt>
                <c:pt idx="175">
                  <c:v>4.2330868906469593E-12</c:v>
                </c:pt>
                <c:pt idx="176">
                  <c:v>4.2330868906469593E-12</c:v>
                </c:pt>
                <c:pt idx="177">
                  <c:v>4.2330868906469593E-12</c:v>
                </c:pt>
                <c:pt idx="178">
                  <c:v>4.2330868906469593E-12</c:v>
                </c:pt>
                <c:pt idx="179">
                  <c:v>4.2330868906469593E-12</c:v>
                </c:pt>
                <c:pt idx="180">
                  <c:v>4.2330868906469593E-12</c:v>
                </c:pt>
                <c:pt idx="181">
                  <c:v>4.2330868906469593E-12</c:v>
                </c:pt>
                <c:pt idx="182">
                  <c:v>4.2330868906469593E-12</c:v>
                </c:pt>
                <c:pt idx="183">
                  <c:v>4.2330868906469593E-12</c:v>
                </c:pt>
                <c:pt idx="184">
                  <c:v>4.2330868906469593E-12</c:v>
                </c:pt>
                <c:pt idx="185">
                  <c:v>4.2330868906469593E-12</c:v>
                </c:pt>
                <c:pt idx="186">
                  <c:v>4.2330868906469593E-12</c:v>
                </c:pt>
                <c:pt idx="187">
                  <c:v>4.2330868906469593E-12</c:v>
                </c:pt>
                <c:pt idx="188">
                  <c:v>4.2330868906469593E-12</c:v>
                </c:pt>
                <c:pt idx="189">
                  <c:v>4.2330868906469593E-12</c:v>
                </c:pt>
                <c:pt idx="190">
                  <c:v>4.2330868906469593E-12</c:v>
                </c:pt>
                <c:pt idx="191">
                  <c:v>4.2330868906469593E-12</c:v>
                </c:pt>
                <c:pt idx="192">
                  <c:v>4.2330868906469593E-12</c:v>
                </c:pt>
                <c:pt idx="193">
                  <c:v>4.2330868906469593E-12</c:v>
                </c:pt>
                <c:pt idx="194">
                  <c:v>4.2330868906469593E-12</c:v>
                </c:pt>
                <c:pt idx="195">
                  <c:v>4.2330868906469593E-12</c:v>
                </c:pt>
                <c:pt idx="196">
                  <c:v>4.2330868906469593E-12</c:v>
                </c:pt>
                <c:pt idx="197">
                  <c:v>4.2330868906469593E-12</c:v>
                </c:pt>
                <c:pt idx="198">
                  <c:v>4.2330868906469593E-12</c:v>
                </c:pt>
                <c:pt idx="199">
                  <c:v>4.2330868906469593E-12</c:v>
                </c:pt>
                <c:pt idx="200">
                  <c:v>4.2330868906469593E-12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8.3056921630164542</c:v>
                </c:pt>
                <c:pt idx="2">
                  <c:v>16.243789003972445</c:v>
                </c:pt>
                <c:pt idx="3">
                  <c:v>24.063171008033788</c:v>
                </c:pt>
                <c:pt idx="4">
                  <c:v>31.8093744244437</c:v>
                </c:pt>
                <c:pt idx="5">
                  <c:v>39.503037774136196</c:v>
                </c:pt>
                <c:pt idx="6">
                  <c:v>47.15593413113433</c:v>
                </c:pt>
                <c:pt idx="7">
                  <c:v>54.775653141048224</c:v>
                </c:pt>
                <c:pt idx="8">
                  <c:v>62.367481291684378</c:v>
                </c:pt>
                <c:pt idx="9">
                  <c:v>69.935304218830069</c:v>
                </c:pt>
                <c:pt idx="10">
                  <c:v>77.482093427802084</c:v>
                </c:pt>
                <c:pt idx="11">
                  <c:v>85.01019173223969</c:v>
                </c:pt>
                <c:pt idx="12">
                  <c:v>92.52149154765074</c:v>
                </c:pt>
                <c:pt idx="13">
                  <c:v>100.01755190137233</c:v>
                </c:pt>
                <c:pt idx="14">
                  <c:v>107.49967834533821</c:v>
                </c:pt>
                <c:pt idx="15">
                  <c:v>114.96897935567303</c:v>
                </c:pt>
                <c:pt idx="16">
                  <c:v>122.42640725013666</c:v>
                </c:pt>
                <c:pt idx="17">
                  <c:v>129.87278857862222</c:v>
                </c:pt>
                <c:pt idx="18">
                  <c:v>137.30884715663467</c:v>
                </c:pt>
                <c:pt idx="19">
                  <c:v>144.73522183347453</c:v>
                </c:pt>
                <c:pt idx="20">
                  <c:v>152.15248041303775</c:v>
                </c:pt>
                <c:pt idx="21">
                  <c:v>159.56113071133535</c:v>
                </c:pt>
                <c:pt idx="22">
                  <c:v>166.96162944814259</c:v>
                </c:pt>
                <c:pt idx="23">
                  <c:v>174.35438947628532</c:v>
                </c:pt>
                <c:pt idx="24">
                  <c:v>181.7397857181835</c:v>
                </c:pt>
                <c:pt idx="25">
                  <c:v>189.1181600850897</c:v>
                </c:pt>
                <c:pt idx="26">
                  <c:v>196.48982558709483</c:v>
                </c:pt>
                <c:pt idx="27">
                  <c:v>203.85506979304003</c:v>
                </c:pt>
                <c:pt idx="28">
                  <c:v>211.21415776343937</c:v>
                </c:pt>
                <c:pt idx="29">
                  <c:v>218.56733455263964</c:v>
                </c:pt>
                <c:pt idx="30">
                  <c:v>225.91482735615861</c:v>
                </c:pt>
                <c:pt idx="31">
                  <c:v>233.25684736366836</c:v>
                </c:pt>
                <c:pt idx="32">
                  <c:v>240.59359136616786</c:v>
                </c:pt>
                <c:pt idx="33">
                  <c:v>247.92524315661532</c:v>
                </c:pt>
                <c:pt idx="34">
                  <c:v>255.25197475601655</c:v>
                </c:pt>
                <c:pt idx="35">
                  <c:v>262.57394749121505</c:v>
                </c:pt>
                <c:pt idx="36">
                  <c:v>269.89131294604289</c:v>
                </c:pt>
                <c:pt idx="37">
                  <c:v>277.20421380381816</c:v>
                </c:pt>
                <c:pt idx="38">
                  <c:v>284.51278459619942</c:v>
                </c:pt>
                <c:pt idx="39">
                  <c:v>291.81715237099615</c:v>
                </c:pt>
                <c:pt idx="40">
                  <c:v>299.11743728955889</c:v>
                </c:pt>
                <c:pt idx="41">
                  <c:v>306.41375316274832</c:v>
                </c:pt>
                <c:pt idx="42">
                  <c:v>313.70620793314299</c:v>
                </c:pt>
                <c:pt idx="43">
                  <c:v>320.99490411002768</c:v>
                </c:pt>
                <c:pt idx="44">
                  <c:v>328.27993916277887</c:v>
                </c:pt>
                <c:pt idx="45">
                  <c:v>335.5614058774795</c:v>
                </c:pt>
                <c:pt idx="46">
                  <c:v>342.83939268093991</c:v>
                </c:pt>
                <c:pt idx="47">
                  <c:v>350.11398393574996</c:v>
                </c:pt>
                <c:pt idx="48">
                  <c:v>357.38526020950985</c:v>
                </c:pt>
                <c:pt idx="49">
                  <c:v>364.65329852099347</c:v>
                </c:pt>
                <c:pt idx="50">
                  <c:v>371.91817256564792</c:v>
                </c:pt>
                <c:pt idx="51">
                  <c:v>379.17995292254449</c:v>
                </c:pt>
                <c:pt idx="52">
                  <c:v>386.43870724463926</c:v>
                </c:pt>
                <c:pt idx="53">
                  <c:v>393.69450043398388</c:v>
                </c:pt>
                <c:pt idx="54">
                  <c:v>400.94739480334033</c:v>
                </c:pt>
                <c:pt idx="55">
                  <c:v>408.19745022548432</c:v>
                </c:pt>
                <c:pt idx="56">
                  <c:v>415.44472427134343</c:v>
                </c:pt>
                <c:pt idx="57">
                  <c:v>422.68927233798996</c:v>
                </c:pt>
                <c:pt idx="58">
                  <c:v>429.93114776739526</c:v>
                </c:pt>
                <c:pt idx="59">
                  <c:v>437.17040195676424</c:v>
                </c:pt>
                <c:pt idx="60">
                  <c:v>444.40708446117736</c:v>
                </c:pt>
                <c:pt idx="61">
                  <c:v>301.78859980380139</c:v>
                </c:pt>
                <c:pt idx="62">
                  <c:v>316.74909882186188</c:v>
                </c:pt>
                <c:pt idx="63">
                  <c:v>331.6939492220003</c:v>
                </c:pt>
                <c:pt idx="64">
                  <c:v>346.6239553389085</c:v>
                </c:pt>
                <c:pt idx="65">
                  <c:v>361.539846559446</c:v>
                </c:pt>
                <c:pt idx="66">
                  <c:v>376.44228717513016</c:v>
                </c:pt>
                <c:pt idx="67">
                  <c:v>391.33188459265767</c:v>
                </c:pt>
                <c:pt idx="68">
                  <c:v>406.20919622941773</c:v>
                </c:pt>
                <c:pt idx="69">
                  <c:v>421.07473534602883</c:v>
                </c:pt>
                <c:pt idx="70">
                  <c:v>344.43823643912452</c:v>
                </c:pt>
                <c:pt idx="71">
                  <c:v>359.03258357048571</c:v>
                </c:pt>
                <c:pt idx="72">
                  <c:v>373.61395480477341</c:v>
                </c:pt>
                <c:pt idx="73">
                  <c:v>388.18292785095059</c:v>
                </c:pt>
                <c:pt idx="74">
                  <c:v>402.74003351764833</c:v>
                </c:pt>
                <c:pt idx="75">
                  <c:v>417.28576111378544</c:v>
                </c:pt>
                <c:pt idx="76">
                  <c:v>431.8205630568612</c:v>
                </c:pt>
                <c:pt idx="77">
                  <c:v>446.34485882845661</c:v>
                </c:pt>
                <c:pt idx="78">
                  <c:v>387.68504212740351</c:v>
                </c:pt>
                <c:pt idx="79">
                  <c:v>402.24404369441692</c:v>
                </c:pt>
                <c:pt idx="80">
                  <c:v>416.79164879683066</c:v>
                </c:pt>
                <c:pt idx="81">
                  <c:v>431.32831117955783</c:v>
                </c:pt>
                <c:pt idx="82">
                  <c:v>445.85445151299149</c:v>
                </c:pt>
                <c:pt idx="83">
                  <c:v>460.37046082542201</c:v>
                </c:pt>
                <c:pt idx="84">
                  <c:v>474.87670348003502</c:v>
                </c:pt>
                <c:pt idx="85">
                  <c:v>489.37351976925379</c:v>
                </c:pt>
                <c:pt idx="86">
                  <c:v>503.86122818572488</c:v>
                </c:pt>
                <c:pt idx="87">
                  <c:v>437.66652036266078</c:v>
                </c:pt>
                <c:pt idx="88">
                  <c:v>452.22167614044662</c:v>
                </c:pt>
                <c:pt idx="89">
                  <c:v>466.76681776608552</c:v>
                </c:pt>
                <c:pt idx="90">
                  <c:v>481.30230117242854</c:v>
                </c:pt>
                <c:pt idx="91">
                  <c:v>495.82845904603795</c:v>
                </c:pt>
                <c:pt idx="92">
                  <c:v>510.34560299616987</c:v>
                </c:pt>
                <c:pt idx="93">
                  <c:v>524.85402546418084</c:v>
                </c:pt>
                <c:pt idx="94">
                  <c:v>539.35400141087905</c:v>
                </c:pt>
                <c:pt idx="95">
                  <c:v>553.84578981304333</c:v>
                </c:pt>
                <c:pt idx="96">
                  <c:v>477.81503001597611</c:v>
                </c:pt>
                <c:pt idx="97">
                  <c:v>492.38159188749614</c:v>
                </c:pt>
                <c:pt idx="98">
                  <c:v>506.93901981766635</c:v>
                </c:pt>
                <c:pt idx="99">
                  <c:v>521.48761296117152</c:v>
                </c:pt>
                <c:pt idx="100">
                  <c:v>536.02765242552857</c:v>
                </c:pt>
                <c:pt idx="101">
                  <c:v>550.55940283000689</c:v>
                </c:pt>
                <c:pt idx="102">
                  <c:v>565.08311369145497</c:v>
                </c:pt>
                <c:pt idx="103">
                  <c:v>579.59902066029906</c:v>
                </c:pt>
                <c:pt idx="104">
                  <c:v>594.10734662633229</c:v>
                </c:pt>
                <c:pt idx="105">
                  <c:v>524.42728878652235</c:v>
                </c:pt>
                <c:pt idx="106">
                  <c:v>539.18721769684169</c:v>
                </c:pt>
                <c:pt idx="107">
                  <c:v>553.93866001674166</c:v>
                </c:pt>
                <c:pt idx="108">
                  <c:v>568.68187348266281</c:v>
                </c:pt>
                <c:pt idx="109">
                  <c:v>583.41710138371138</c:v>
                </c:pt>
                <c:pt idx="110">
                  <c:v>598.14457372350319</c:v>
                </c:pt>
                <c:pt idx="111">
                  <c:v>612.86450826168243</c:v>
                </c:pt>
                <c:pt idx="112">
                  <c:v>627.57711145022802</c:v>
                </c:pt>
                <c:pt idx="113">
                  <c:v>642.2825792774405</c:v>
                </c:pt>
                <c:pt idx="114">
                  <c:v>568.18207427282073</c:v>
                </c:pt>
                <c:pt idx="115">
                  <c:v>583.1744725407691</c:v>
                </c:pt>
                <c:pt idx="116">
                  <c:v>598.15883853648563</c:v>
                </c:pt>
                <c:pt idx="117">
                  <c:v>613.13540171236571</c:v>
                </c:pt>
                <c:pt idx="118">
                  <c:v>628.10437940382712</c:v>
                </c:pt>
                <c:pt idx="119">
                  <c:v>643.06597774867816</c:v>
                </c:pt>
                <c:pt idx="120">
                  <c:v>658.020392516524</c:v>
                </c:pt>
                <c:pt idx="121">
                  <c:v>672.96780985890575</c:v>
                </c:pt>
                <c:pt idx="122">
                  <c:v>687.90840698936972</c:v>
                </c:pt>
                <c:pt idx="123">
                  <c:v>605.19695132921026</c:v>
                </c:pt>
                <c:pt idx="124">
                  <c:v>620.40915446659915</c:v>
                </c:pt>
                <c:pt idx="125">
                  <c:v>635.61363246553321</c:v>
                </c:pt>
                <c:pt idx="126">
                  <c:v>650.81059603610004</c:v>
                </c:pt>
                <c:pt idx="127">
                  <c:v>666.00024525190713</c:v>
                </c:pt>
                <c:pt idx="128">
                  <c:v>681.18277032234562</c:v>
                </c:pt>
                <c:pt idx="129">
                  <c:v>696.35835229247311</c:v>
                </c:pt>
                <c:pt idx="130">
                  <c:v>711.52716367875882</c:v>
                </c:pt>
                <c:pt idx="131">
                  <c:v>726.68936904783868</c:v>
                </c:pt>
                <c:pt idx="132">
                  <c:v>741.84512554449418</c:v>
                </c:pt>
                <c:pt idx="133">
                  <c:v>653.62036176110962</c:v>
                </c:pt>
                <c:pt idx="134">
                  <c:v>669.28793557733968</c:v>
                </c:pt>
                <c:pt idx="135">
                  <c:v>684.94797090998281</c:v>
                </c:pt>
                <c:pt idx="136">
                  <c:v>700.60066426424748</c:v>
                </c:pt>
                <c:pt idx="137">
                  <c:v>716.24620265561543</c:v>
                </c:pt>
                <c:pt idx="138">
                  <c:v>731.88476426965838</c:v>
                </c:pt>
                <c:pt idx="139">
                  <c:v>747.51651906257723</c:v>
                </c:pt>
                <c:pt idx="140">
                  <c:v>763.14162930893906</c:v>
                </c:pt>
                <c:pt idx="141">
                  <c:v>778.76025010226238</c:v>
                </c:pt>
                <c:pt idx="142">
                  <c:v>794.37252981339236</c:v>
                </c:pt>
                <c:pt idx="143">
                  <c:v>809.97861051100574</c:v>
                </c:pt>
                <c:pt idx="144">
                  <c:v>825.57862834804939</c:v>
                </c:pt>
                <c:pt idx="145">
                  <c:v>711.83666917952871</c:v>
                </c:pt>
                <c:pt idx="146">
                  <c:v>727.86433034101958</c:v>
                </c:pt>
                <c:pt idx="147">
                  <c:v>743.88479832061319</c:v>
                </c:pt>
                <c:pt idx="148">
                  <c:v>759.89824972185613</c:v>
                </c:pt>
                <c:pt idx="149">
                  <c:v>775.904853104891</c:v>
                </c:pt>
                <c:pt idx="150">
                  <c:v>791.90476951455923</c:v>
                </c:pt>
                <c:pt idx="151">
                  <c:v>807.89815296364668</c:v>
                </c:pt>
                <c:pt idx="152">
                  <c:v>823.88515087591293</c:v>
                </c:pt>
                <c:pt idx="153">
                  <c:v>839.8659044929808</c:v>
                </c:pt>
                <c:pt idx="154">
                  <c:v>855.84054924867905</c:v>
                </c:pt>
                <c:pt idx="155">
                  <c:v>871.80921511401391</c:v>
                </c:pt>
                <c:pt idx="156">
                  <c:v>887.77202691557977</c:v>
                </c:pt>
                <c:pt idx="157">
                  <c:v>764.45806346280631</c:v>
                </c:pt>
                <c:pt idx="158">
                  <c:v>780.80146292138977</c:v>
                </c:pt>
                <c:pt idx="159">
                  <c:v>797.13793918329975</c:v>
                </c:pt>
                <c:pt idx="160">
                  <c:v>813.46765398238688</c:v>
                </c:pt>
                <c:pt idx="161">
                  <c:v>829.79076203620934</c:v>
                </c:pt>
                <c:pt idx="162">
                  <c:v>846.10741148525494</c:v>
                </c:pt>
                <c:pt idx="163">
                  <c:v>862.41774429655925</c:v>
                </c:pt>
                <c:pt idx="164">
                  <c:v>878.72189663523716</c:v>
                </c:pt>
                <c:pt idx="165">
                  <c:v>895.0199992070369</c:v>
                </c:pt>
                <c:pt idx="166">
                  <c:v>911.31217757467437</c:v>
                </c:pt>
                <c:pt idx="167">
                  <c:v>927.59855245039887</c:v>
                </c:pt>
                <c:pt idx="168">
                  <c:v>943.879239966966</c:v>
                </c:pt>
                <c:pt idx="169">
                  <c:v>808.6725777976294</c:v>
                </c:pt>
                <c:pt idx="170">
                  <c:v>825.01886738881649</c:v>
                </c:pt>
                <c:pt idx="171">
                  <c:v>841.35863877127156</c:v>
                </c:pt>
                <c:pt idx="172">
                  <c:v>857.69203623567989</c:v>
                </c:pt>
                <c:pt idx="173">
                  <c:v>874.01919813493544</c:v>
                </c:pt>
                <c:pt idx="174">
                  <c:v>890.34025723710477</c:v>
                </c:pt>
                <c:pt idx="175">
                  <c:v>906.65534105119139</c:v>
                </c:pt>
                <c:pt idx="176">
                  <c:v>922.96457212826181</c:v>
                </c:pt>
                <c:pt idx="177">
                  <c:v>939.26806834020806</c:v>
                </c:pt>
                <c:pt idx="178">
                  <c:v>955.56594313817016</c:v>
                </c:pt>
                <c:pt idx="179">
                  <c:v>971.85830579243668</c:v>
                </c:pt>
                <c:pt idx="180">
                  <c:v>988.145261615442</c:v>
                </c:pt>
                <c:pt idx="181">
                  <c:v>624.85927956155399</c:v>
                </c:pt>
                <c:pt idx="182">
                  <c:v>635.11356363549817</c:v>
                </c:pt>
                <c:pt idx="183">
                  <c:v>645.36442647554566</c:v>
                </c:pt>
                <c:pt idx="184">
                  <c:v>655.61193007140548</c:v>
                </c:pt>
                <c:pt idx="185">
                  <c:v>445.27372254357095</c:v>
                </c:pt>
                <c:pt idx="186">
                  <c:v>451.90957876828219</c:v>
                </c:pt>
                <c:pt idx="187">
                  <c:v>458.54335148038626</c:v>
                </c:pt>
                <c:pt idx="188">
                  <c:v>465.17507509285309</c:v>
                </c:pt>
                <c:pt idx="189">
                  <c:v>313.55288913052675</c:v>
                </c:pt>
                <c:pt idx="190">
                  <c:v>317.8336225639469</c:v>
                </c:pt>
                <c:pt idx="191">
                  <c:v>322.11307915685478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3.171537705264786</c:v>
                </c:pt>
                <c:pt idx="2">
                  <c:v>4.1478376386178262</c:v>
                </c:pt>
                <c:pt idx="3">
                  <c:v>5.4258756086438202</c:v>
                </c:pt>
                <c:pt idx="4">
                  <c:v>7.0992568922991808</c:v>
                </c:pt>
                <c:pt idx="5">
                  <c:v>9.2907261115114661</c:v>
                </c:pt>
                <c:pt idx="6">
                  <c:v>12.161267465036687</c:v>
                </c:pt>
                <c:pt idx="7">
                  <c:v>15.922055342361537</c:v>
                </c:pt>
                <c:pt idx="8">
                  <c:v>20.850150517464684</c:v>
                </c:pt>
                <c:pt idx="9">
                  <c:v>27.309118953279931</c:v>
                </c:pt>
                <c:pt idx="10">
                  <c:v>35.776121004679347</c:v>
                </c:pt>
                <c:pt idx="11">
                  <c:v>46.877506601434355</c:v>
                </c:pt>
                <c:pt idx="12">
                  <c:v>61.435593838998706</c:v>
                </c:pt>
                <c:pt idx="13">
                  <c:v>80.530153047704303</c:v>
                </c:pt>
                <c:pt idx="14">
                  <c:v>105.57923004246095</c:v>
                </c:pt>
                <c:pt idx="15">
                  <c:v>138.44540542012751</c:v>
                </c:pt>
                <c:pt idx="16">
                  <c:v>100.54272832946701</c:v>
                </c:pt>
                <c:pt idx="17">
                  <c:v>129.3083151232984</c:v>
                </c:pt>
                <c:pt idx="18">
                  <c:v>157.91830320040603</c:v>
                </c:pt>
                <c:pt idx="19">
                  <c:v>186.40498132674267</c:v>
                </c:pt>
                <c:pt idx="20">
                  <c:v>214.78988574334596</c:v>
                </c:pt>
                <c:pt idx="21">
                  <c:v>173.20754892119149</c:v>
                </c:pt>
                <c:pt idx="22">
                  <c:v>203.6937850409083</c:v>
                </c:pt>
                <c:pt idx="23">
                  <c:v>234.07428927207073</c:v>
                </c:pt>
                <c:pt idx="24">
                  <c:v>264.36472206956597</c:v>
                </c:pt>
                <c:pt idx="25">
                  <c:v>294.5768533264087</c:v>
                </c:pt>
                <c:pt idx="26">
                  <c:v>252.09484919970495</c:v>
                </c:pt>
                <c:pt idx="27">
                  <c:v>281.11291365958584</c:v>
                </c:pt>
                <c:pt idx="28">
                  <c:v>310.06382318143233</c:v>
                </c:pt>
                <c:pt idx="29">
                  <c:v>338.95472510936924</c:v>
                </c:pt>
                <c:pt idx="30">
                  <c:v>367.79144865380209</c:v>
                </c:pt>
                <c:pt idx="31">
                  <c:v>322.68517169265391</c:v>
                </c:pt>
                <c:pt idx="32">
                  <c:v>348.70815209801594</c:v>
                </c:pt>
                <c:pt idx="33">
                  <c:v>374.68853067082654</c:v>
                </c:pt>
                <c:pt idx="34">
                  <c:v>400.62967395850939</c:v>
                </c:pt>
                <c:pt idx="35">
                  <c:v>426.53447718930823</c:v>
                </c:pt>
                <c:pt idx="36">
                  <c:v>378.74434206791716</c:v>
                </c:pt>
                <c:pt idx="37">
                  <c:v>401.84475247496647</c:v>
                </c:pt>
                <c:pt idx="38">
                  <c:v>424.91644236173039</c:v>
                </c:pt>
                <c:pt idx="39">
                  <c:v>447.96118916963223</c:v>
                </c:pt>
                <c:pt idx="40">
                  <c:v>470.98057267368972</c:v>
                </c:pt>
                <c:pt idx="41">
                  <c:v>420.06153993571371</c:v>
                </c:pt>
                <c:pt idx="42">
                  <c:v>439.87827870613796</c:v>
                </c:pt>
                <c:pt idx="43">
                  <c:v>459.67588238780223</c:v>
                </c:pt>
                <c:pt idx="44">
                  <c:v>479.45529052095412</c:v>
                </c:pt>
                <c:pt idx="45">
                  <c:v>499.21735885305537</c:v>
                </c:pt>
                <c:pt idx="46">
                  <c:v>468.15494792329127</c:v>
                </c:pt>
                <c:pt idx="47">
                  <c:v>485.50670733159899</c:v>
                </c:pt>
                <c:pt idx="48">
                  <c:v>502.84530459139006</c:v>
                </c:pt>
                <c:pt idx="49">
                  <c:v>520.17125719416083</c:v>
                </c:pt>
                <c:pt idx="50">
                  <c:v>537.48504536608027</c:v>
                </c:pt>
                <c:pt idx="51">
                  <c:v>514.12872559596792</c:v>
                </c:pt>
                <c:pt idx="52">
                  <c:v>529.03096526266245</c:v>
                </c:pt>
                <c:pt idx="53">
                  <c:v>543.92437106523573</c:v>
                </c:pt>
                <c:pt idx="54">
                  <c:v>558.8092188560729</c:v>
                </c:pt>
                <c:pt idx="55">
                  <c:v>573.68576860024848</c:v>
                </c:pt>
                <c:pt idx="56">
                  <c:v>553.9826221295549</c:v>
                </c:pt>
                <c:pt idx="57">
                  <c:v>566.44954889170663</c:v>
                </c:pt>
                <c:pt idx="58">
                  <c:v>578.91074057866115</c:v>
                </c:pt>
                <c:pt idx="59">
                  <c:v>591.36633800009133</c:v>
                </c:pt>
                <c:pt idx="60">
                  <c:v>603.81647555227892</c:v>
                </c:pt>
                <c:pt idx="61">
                  <c:v>586.14369528207681</c:v>
                </c:pt>
                <c:pt idx="62">
                  <c:v>596.58802062611369</c:v>
                </c:pt>
                <c:pt idx="63">
                  <c:v>607.02854378886241</c:v>
                </c:pt>
                <c:pt idx="64">
                  <c:v>617.46533937261336</c:v>
                </c:pt>
                <c:pt idx="65">
                  <c:v>627.89847925254264</c:v>
                </c:pt>
                <c:pt idx="66">
                  <c:v>611.04313308566145</c:v>
                </c:pt>
                <c:pt idx="67">
                  <c:v>620.27461834045573</c:v>
                </c:pt>
                <c:pt idx="68">
                  <c:v>629.50325767404001</c:v>
                </c:pt>
                <c:pt idx="69">
                  <c:v>638.72909868554518</c:v>
                </c:pt>
                <c:pt idx="70">
                  <c:v>647.95218748710613</c:v>
                </c:pt>
                <c:pt idx="71">
                  <c:v>630.30561513176042</c:v>
                </c:pt>
                <c:pt idx="72">
                  <c:v>638.72909868554518</c:v>
                </c:pt>
                <c:pt idx="73">
                  <c:v>647.15028788033294</c:v>
                </c:pt>
                <c:pt idx="74">
                  <c:v>655.56921677912885</c:v>
                </c:pt>
                <c:pt idx="75">
                  <c:v>663.98591849879494</c:v>
                </c:pt>
                <c:pt idx="76">
                  <c:v>647.15028788033294</c:v>
                </c:pt>
                <c:pt idx="77">
                  <c:v>654.36664977103567</c:v>
                </c:pt>
                <c:pt idx="78">
                  <c:v>661.5813719473548</c:v>
                </c:pt>
                <c:pt idx="79">
                  <c:v>668.79447481225372</c:v>
                </c:pt>
                <c:pt idx="80">
                  <c:v>676.00597829271317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2.9205980688266564</c:v>
                </c:pt>
                <c:pt idx="2">
                  <c:v>3.8193886180668186</c:v>
                </c:pt>
                <c:pt idx="3">
                  <c:v>4.9958857422955205</c:v>
                </c:pt>
                <c:pt idx="4">
                  <c:v>6.5362176188514516</c:v>
                </c:pt>
                <c:pt idx="5">
                  <c:v>8.5533177888034189</c:v>
                </c:pt>
                <c:pt idx="6">
                  <c:v>11.195294658284743</c:v>
                </c:pt>
                <c:pt idx="7">
                  <c:v>14.656421978560983</c:v>
                </c:pt>
                <c:pt idx="8">
                  <c:v>19.191573306246756</c:v>
                </c:pt>
                <c:pt idx="9">
                  <c:v>25.135182506128984</c:v>
                </c:pt>
                <c:pt idx="10">
                  <c:v>32.9261531469324</c:v>
                </c:pt>
                <c:pt idx="11">
                  <c:v>43.140587989048477</c:v>
                </c:pt>
                <c:pt idx="12">
                  <c:v>56.534799687422179</c:v>
                </c:pt>
                <c:pt idx="13">
                  <c:v>74.101840122506715</c:v>
                </c:pt>
                <c:pt idx="14">
                  <c:v>97.145807411654872</c:v>
                </c:pt>
                <c:pt idx="15">
                  <c:v>127.37953432582198</c:v>
                </c:pt>
                <c:pt idx="16">
                  <c:v>92.512559752041952</c:v>
                </c:pt>
                <c:pt idx="17">
                  <c:v>118.97444364040366</c:v>
                </c:pt>
                <c:pt idx="18">
                  <c:v>145.29205371594367</c:v>
                </c:pt>
                <c:pt idx="19">
                  <c:v>171.49532867914351</c:v>
                </c:pt>
                <c:pt idx="20">
                  <c:v>197.6042373039995</c:v>
                </c:pt>
                <c:pt idx="21">
                  <c:v>159.35586286360191</c:v>
                </c:pt>
                <c:pt idx="22">
                  <c:v>187.39794043392263</c:v>
                </c:pt>
                <c:pt idx="23">
                  <c:v>215.34198157425362</c:v>
                </c:pt>
                <c:pt idx="24">
                  <c:v>243.20250692836802</c:v>
                </c:pt>
                <c:pt idx="25">
                  <c:v>270.99042974399345</c:v>
                </c:pt>
                <c:pt idx="26">
                  <c:v>231.91700149088217</c:v>
                </c:pt>
                <c:pt idx="27">
                  <c:v>258.60689820869135</c:v>
                </c:pt>
                <c:pt idx="28">
                  <c:v>285.23452771013774</c:v>
                </c:pt>
                <c:pt idx="29">
                  <c:v>311.80651713592084</c:v>
                </c:pt>
                <c:pt idx="30">
                  <c:v>338.32827143043039</c:v>
                </c:pt>
                <c:pt idx="31">
                  <c:v>296.842883014341</c:v>
                </c:pt>
                <c:pt idx="32">
                  <c:v>320.77699701276748</c:v>
                </c:pt>
                <c:pt idx="33">
                  <c:v>344.67160985755481</c:v>
                </c:pt>
                <c:pt idx="34">
                  <c:v>368.52984306951663</c:v>
                </c:pt>
                <c:pt idx="35">
                  <c:v>392.35438115419714</c:v>
                </c:pt>
                <c:pt idx="36">
                  <c:v>348.40178403373949</c:v>
                </c:pt>
                <c:pt idx="37">
                  <c:v>369.64735159591169</c:v>
                </c:pt>
                <c:pt idx="38">
                  <c:v>390.86628899650526</c:v>
                </c:pt>
                <c:pt idx="39">
                  <c:v>412.06024430985258</c:v>
                </c:pt>
                <c:pt idx="40">
                  <c:v>433.23068233058711</c:v>
                </c:pt>
                <c:pt idx="41">
                  <c:v>386.40127265666041</c:v>
                </c:pt>
                <c:pt idx="42">
                  <c:v>404.62651852552534</c:v>
                </c:pt>
                <c:pt idx="43">
                  <c:v>422.83402201018424</c:v>
                </c:pt>
                <c:pt idx="44">
                  <c:v>441.02465426855332</c:v>
                </c:pt>
                <c:pt idx="45">
                  <c:v>459.19920876443285</c:v>
                </c:pt>
                <c:pt idx="46">
                  <c:v>430.63202519963079</c:v>
                </c:pt>
                <c:pt idx="47">
                  <c:v>446.58996615169781</c:v>
                </c:pt>
                <c:pt idx="48">
                  <c:v>462.53570293273191</c:v>
                </c:pt>
                <c:pt idx="49">
                  <c:v>478.46971536977009</c:v>
                </c:pt>
                <c:pt idx="50">
                  <c:v>494.3924487367965</c:v>
                </c:pt>
                <c:pt idx="51">
                  <c:v>472.91264200880101</c:v>
                </c:pt>
                <c:pt idx="52">
                  <c:v>486.61761247073986</c:v>
                </c:pt>
                <c:pt idx="53">
                  <c:v>500.3143920215611</c:v>
                </c:pt>
                <c:pt idx="54">
                  <c:v>514.00323643635181</c:v>
                </c:pt>
                <c:pt idx="55">
                  <c:v>527.68438675921152</c:v>
                </c:pt>
                <c:pt idx="56">
                  <c:v>509.56446562910031</c:v>
                </c:pt>
                <c:pt idx="57">
                  <c:v>521.02963842518261</c:v>
                </c:pt>
                <c:pt idx="58">
                  <c:v>532.48949356066385</c:v>
                </c:pt>
                <c:pt idx="59">
                  <c:v>543.94416159669981</c:v>
                </c:pt>
                <c:pt idx="60">
                  <c:v>555.39376714784089</c:v>
                </c:pt>
                <c:pt idx="61">
                  <c:v>539.1412145256478</c:v>
                </c:pt>
                <c:pt idx="62">
                  <c:v>548.74621845390379</c:v>
                </c:pt>
                <c:pt idx="63">
                  <c:v>558.34769693411636</c:v>
                </c:pt>
                <c:pt idx="64">
                  <c:v>567.94571913881475</c:v>
                </c:pt>
                <c:pt idx="65">
                  <c:v>577.54035171190208</c:v>
                </c:pt>
                <c:pt idx="66">
                  <c:v>562.03964926820083</c:v>
                </c:pt>
                <c:pt idx="67">
                  <c:v>570.52922017836795</c:v>
                </c:pt>
                <c:pt idx="68">
                  <c:v>579.01615230132256</c:v>
                </c:pt>
                <c:pt idx="69">
                  <c:v>587.50048977179972</c:v>
                </c:pt>
                <c:pt idx="70">
                  <c:v>595.98227534576563</c:v>
                </c:pt>
                <c:pt idx="71">
                  <c:v>579.75402315407757</c:v>
                </c:pt>
                <c:pt idx="72">
                  <c:v>587.50048977179972</c:v>
                </c:pt>
                <c:pt idx="73">
                  <c:v>595.24482902030275</c:v>
                </c:pt>
                <c:pt idx="74">
                  <c:v>602.98707248339201</c:v>
                </c:pt>
                <c:pt idx="75">
                  <c:v>610.72725086759363</c:v>
                </c:pt>
                <c:pt idx="76">
                  <c:v>595.24482902030275</c:v>
                </c:pt>
                <c:pt idx="77">
                  <c:v>601.88116484326292</c:v>
                </c:pt>
                <c:pt idx="78">
                  <c:v>608.51598029477634</c:v>
                </c:pt>
                <c:pt idx="79">
                  <c:v>615.14929429282256</c:v>
                </c:pt>
                <c:pt idx="80">
                  <c:v>621.78112531404156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2.6184761586988996</c:v>
                </c:pt>
                <c:pt idx="2">
                  <c:v>3.4239782523437792</c:v>
                </c:pt>
                <c:pt idx="3">
                  <c:v>4.4782718932017138</c:v>
                </c:pt>
                <c:pt idx="4">
                  <c:v>5.8584911974102418</c:v>
                </c:pt>
                <c:pt idx="5">
                  <c:v>7.6657688621638007</c:v>
                </c:pt>
                <c:pt idx="6">
                  <c:v>10.032727116351175</c:v>
                </c:pt>
                <c:pt idx="7">
                  <c:v>13.133313899270847</c:v>
                </c:pt>
                <c:pt idx="8">
                  <c:v>17.19572050306477</c:v>
                </c:pt>
                <c:pt idx="9">
                  <c:v>22.519348612900952</c:v>
                </c:pt>
                <c:pt idx="10">
                  <c:v>29.497099457519852</c:v>
                </c:pt>
                <c:pt idx="11">
                  <c:v>38.644658738193797</c:v>
                </c:pt>
                <c:pt idx="12">
                  <c:v>50.638978545826575</c:v>
                </c:pt>
                <c:pt idx="13">
                  <c:v>66.368851645018722</c:v>
                </c:pt>
                <c:pt idx="14">
                  <c:v>87.001387028916199</c:v>
                </c:pt>
                <c:pt idx="15">
                  <c:v>114.06939797149329</c:v>
                </c:pt>
                <c:pt idx="16">
                  <c:v>82.85309935773347</c:v>
                </c:pt>
                <c:pt idx="17">
                  <c:v>106.54457398371414</c:v>
                </c:pt>
                <c:pt idx="18">
                  <c:v>130.10552217830411</c:v>
                </c:pt>
                <c:pt idx="19">
                  <c:v>153.56302988078724</c:v>
                </c:pt>
                <c:pt idx="20">
                  <c:v>176.93516310576447</c:v>
                </c:pt>
                <c:pt idx="21">
                  <c:v>142.69574583435204</c:v>
                </c:pt>
                <c:pt idx="22">
                  <c:v>167.79880331835713</c:v>
                </c:pt>
                <c:pt idx="23">
                  <c:v>192.81316594428253</c:v>
                </c:pt>
                <c:pt idx="24">
                  <c:v>217.75197073107935</c:v>
                </c:pt>
                <c:pt idx="25">
                  <c:v>242.62509103866606</c:v>
                </c:pt>
                <c:pt idx="26">
                  <c:v>207.65006023420588</c:v>
                </c:pt>
                <c:pt idx="27">
                  <c:v>231.54060536306474</c:v>
                </c:pt>
                <c:pt idx="28">
                  <c:v>255.37481651567725</c:v>
                </c:pt>
                <c:pt idx="29">
                  <c:v>279.15868935410367</c:v>
                </c:pt>
                <c:pt idx="30">
                  <c:v>302.89711380319778</c:v>
                </c:pt>
                <c:pt idx="31">
                  <c:v>265.76520570407013</c:v>
                </c:pt>
                <c:pt idx="32">
                  <c:v>287.1878127127286</c:v>
                </c:pt>
                <c:pt idx="33">
                  <c:v>308.57468250394254</c:v>
                </c:pt>
                <c:pt idx="34">
                  <c:v>329.92863915898073</c:v>
                </c:pt>
                <c:pt idx="35">
                  <c:v>351.25211138560275</c:v>
                </c:pt>
                <c:pt idx="36">
                  <c:v>311.91334190386982</c:v>
                </c:pt>
                <c:pt idx="37">
                  <c:v>330.92884034916193</c:v>
                </c:pt>
                <c:pt idx="38">
                  <c:v>349.92024613418363</c:v>
                </c:pt>
                <c:pt idx="39">
                  <c:v>368.88905029363553</c:v>
                </c:pt>
                <c:pt idx="40">
                  <c:v>387.83657804664421</c:v>
                </c:pt>
                <c:pt idx="41">
                  <c:v>345.92398101265053</c:v>
                </c:pt>
                <c:pt idx="42">
                  <c:v>362.23581728407822</c:v>
                </c:pt>
                <c:pt idx="43">
                  <c:v>378.53160178526809</c:v>
                </c:pt>
                <c:pt idx="44">
                  <c:v>394.81212266433727</c:v>
                </c:pt>
                <c:pt idx="45">
                  <c:v>411.07809777850667</c:v>
                </c:pt>
                <c:pt idx="46">
                  <c:v>385.51079352962591</c:v>
                </c:pt>
                <c:pt idx="47">
                  <c:v>399.79301616201775</c:v>
                </c:pt>
                <c:pt idx="48">
                  <c:v>414.06419751906054</c:v>
                </c:pt>
                <c:pt idx="49">
                  <c:v>428.32477170663691</c:v>
                </c:pt>
                <c:pt idx="50">
                  <c:v>442.57514157002379</c:v>
                </c:pt>
                <c:pt idx="51">
                  <c:v>423.35133170920335</c:v>
                </c:pt>
                <c:pt idx="52">
                  <c:v>435.61690924842782</c:v>
                </c:pt>
                <c:pt idx="53">
                  <c:v>447.87507636176088</c:v>
                </c:pt>
                <c:pt idx="54">
                  <c:v>460.12606445231467</c:v>
                </c:pt>
                <c:pt idx="55">
                  <c:v>472.37009159588246</c:v>
                </c:pt>
                <c:pt idx="56">
                  <c:v>456.15354401210885</c:v>
                </c:pt>
                <c:pt idx="57">
                  <c:v>466.41439408694367</c:v>
                </c:pt>
                <c:pt idx="58">
                  <c:v>476.67043320372545</c:v>
                </c:pt>
                <c:pt idx="59">
                  <c:v>486.92177948286343</c:v>
                </c:pt>
                <c:pt idx="60">
                  <c:v>497.16854566479333</c:v>
                </c:pt>
                <c:pt idx="61">
                  <c:v>482.62339181174929</c:v>
                </c:pt>
                <c:pt idx="62">
                  <c:v>491.21936176570597</c:v>
                </c:pt>
                <c:pt idx="63">
                  <c:v>499.81214220007342</c:v>
                </c:pt>
                <c:pt idx="64">
                  <c:v>508.40179569615702</c:v>
                </c:pt>
                <c:pt idx="65">
                  <c:v>516.98838254757811</c:v>
                </c:pt>
                <c:pt idx="66">
                  <c:v>503.11622179266823</c:v>
                </c:pt>
                <c:pt idx="67">
                  <c:v>510.71386829632746</c:v>
                </c:pt>
                <c:pt idx="68">
                  <c:v>518.30912745420756</c:v>
                </c:pt>
                <c:pt idx="69">
                  <c:v>525.90203919558905</c:v>
                </c:pt>
                <c:pt idx="70">
                  <c:v>533.49264220236114</c:v>
                </c:pt>
                <c:pt idx="71">
                  <c:v>518.96947327099531</c:v>
                </c:pt>
                <c:pt idx="72">
                  <c:v>525.90203919558905</c:v>
                </c:pt>
                <c:pt idx="73">
                  <c:v>532.83268046104354</c:v>
                </c:pt>
                <c:pt idx="74">
                  <c:v>539.76142564164627</c:v>
                </c:pt>
                <c:pt idx="75">
                  <c:v>546.68830251799852</c:v>
                </c:pt>
                <c:pt idx="76">
                  <c:v>532.83268046104354</c:v>
                </c:pt>
                <c:pt idx="77">
                  <c:v>538.77171992708634</c:v>
                </c:pt>
                <c:pt idx="78">
                  <c:v>544.70938389292269</c:v>
                </c:pt>
                <c:pt idx="79">
                  <c:v>550.64568947389932</c:v>
                </c:pt>
                <c:pt idx="80">
                  <c:v>556.58065338607753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topLeftCell="A12" zoomScale="80" zoomScaleNormal="80" workbookViewId="0">
      <selection activeCell="B18" sqref="B18:M31"/>
    </sheetView>
  </sheetViews>
  <sheetFormatPr baseColWidth="10" defaultRowHeight="14.25" x14ac:dyDescent="0.45"/>
  <cols>
    <col min="1" max="1" width="6.59765625" customWidth="1"/>
    <col min="2" max="13" width="15.9296875" customWidth="1"/>
  </cols>
  <sheetData>
    <row r="12" spans="2:13" ht="15" customHeight="1" x14ac:dyDescent="0.45">
      <c r="B12" s="257" t="s">
        <v>291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45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45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45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45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45">
      <c r="B18" s="257" t="s">
        <v>292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45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45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45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45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45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45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45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45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45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45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45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45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45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zoomScale="80" zoomScaleNormal="80" workbookViewId="0">
      <selection activeCell="K36" sqref="K36"/>
    </sheetView>
  </sheetViews>
  <sheetFormatPr baseColWidth="10" defaultColWidth="11.46484375" defaultRowHeight="14.25" x14ac:dyDescent="0.45"/>
  <cols>
    <col min="1" max="1" width="13.59765625" style="23" customWidth="1"/>
    <col min="2" max="2" width="36.06640625" style="23" customWidth="1"/>
    <col min="3" max="3" width="14.9296875" style="23" bestFit="1" customWidth="1"/>
    <col min="4" max="4" width="16.46484375" style="23" customWidth="1"/>
    <col min="5" max="5" width="23.33203125" style="23" customWidth="1"/>
    <col min="6" max="6" width="28.9296875" style="23" bestFit="1" customWidth="1"/>
    <col min="7" max="8" width="14.59765625" style="23" customWidth="1"/>
    <col min="9" max="9" width="17" style="23" customWidth="1"/>
    <col min="10" max="10" width="13.9296875" style="23" customWidth="1"/>
    <col min="11" max="16384" width="11.46484375" style="23"/>
  </cols>
  <sheetData>
    <row r="1" spans="1:38" x14ac:dyDescent="0.45">
      <c r="A1" s="4"/>
      <c r="B1" s="4"/>
      <c r="C1" s="258" t="s">
        <v>190</v>
      </c>
      <c r="D1" s="258"/>
      <c r="E1" s="258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4.65" thickBot="1" x14ac:dyDescent="0.5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5.9" thickBot="1" x14ac:dyDescent="0.5">
      <c r="A3" s="4"/>
      <c r="B3" s="263" t="s">
        <v>192</v>
      </c>
      <c r="C3" s="264"/>
      <c r="D3" s="264"/>
      <c r="E3" s="264"/>
      <c r="F3" s="265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5" x14ac:dyDescent="0.45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5" x14ac:dyDescent="0.45">
      <c r="A5" s="268" t="s">
        <v>231</v>
      </c>
      <c r="B5" s="268"/>
      <c r="C5" s="24">
        <v>8.1999999999999993</v>
      </c>
      <c r="D5" s="269" t="s">
        <v>229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45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5" x14ac:dyDescent="0.45">
      <c r="A7" s="267" t="s">
        <v>226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45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45">
      <c r="A9" s="30" t="s">
        <v>165</v>
      </c>
      <c r="B9" s="31" t="s">
        <v>14</v>
      </c>
      <c r="C9" s="32">
        <v>0.68</v>
      </c>
      <c r="D9" s="33">
        <f t="shared" ref="D9:D18" si="0">C9*$C$5</f>
        <v>5.5759999999999996</v>
      </c>
      <c r="E9" s="34">
        <v>183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45">
      <c r="A10" s="30" t="s">
        <v>166</v>
      </c>
      <c r="B10" s="31" t="s">
        <v>164</v>
      </c>
      <c r="C10" s="32">
        <v>0.1</v>
      </c>
      <c r="D10" s="33">
        <f t="shared" si="0"/>
        <v>0.82</v>
      </c>
      <c r="E10" s="34">
        <v>109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45">
      <c r="A11" s="30" t="s">
        <v>167</v>
      </c>
      <c r="B11" s="31" t="s">
        <v>12</v>
      </c>
      <c r="C11" s="32">
        <v>0.09</v>
      </c>
      <c r="D11" s="33">
        <f t="shared" si="0"/>
        <v>0.73799999999999988</v>
      </c>
      <c r="E11" s="34">
        <v>191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45">
      <c r="A12" s="30" t="s">
        <v>168</v>
      </c>
      <c r="B12" s="31" t="s">
        <v>6</v>
      </c>
      <c r="C12" s="32">
        <v>4.2718288001306871E-2</v>
      </c>
      <c r="D12" s="33">
        <f t="shared" si="0"/>
        <v>0.35028996161071629</v>
      </c>
      <c r="E12" s="34">
        <v>80</v>
      </c>
      <c r="F12" s="35" t="str">
        <f t="array" ref="F12">IF(E12="","",IF(INDEX(A:A,MAX(IF(ISNUMBER($A$114:$A$133),ROW($A$114:$A$133),"")))&lt;&gt;E12,"Corrigez : révolution incorrecte","OK"))</f>
        <v>OK</v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45">
      <c r="A13" s="30" t="s">
        <v>169</v>
      </c>
      <c r="B13" s="31" t="s">
        <v>21</v>
      </c>
      <c r="C13" s="32">
        <v>4.2718288001306871E-2</v>
      </c>
      <c r="D13" s="33">
        <f t="shared" si="0"/>
        <v>0.35028996161071629</v>
      </c>
      <c r="E13" s="34">
        <v>80</v>
      </c>
      <c r="F13" s="35" t="str">
        <f t="array" ref="F13">IF(E13="","",IF(INDEX(A:A,MAX(IF(ISNUMBER($A$140:$A$159),ROW($A$140:$A$159),"")))&lt;&gt;E13,"Corrigez : révolution incorrecte","OK"))</f>
        <v>OK</v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45">
      <c r="A14" s="30" t="s">
        <v>170</v>
      </c>
      <c r="B14" s="31" t="s">
        <v>29</v>
      </c>
      <c r="C14" s="32">
        <v>4.2718288001306871E-2</v>
      </c>
      <c r="D14" s="33">
        <f t="shared" si="0"/>
        <v>0.35028996161071629</v>
      </c>
      <c r="E14" s="34">
        <v>80</v>
      </c>
      <c r="F14" s="35" t="str">
        <f t="array" ref="F14">IF(E14="","",IF(INDEX(A:A,MAX(IF(ISNUMBER($A$166:$A$185),ROW($A$166:$A$185),"")))&lt;&gt;E14,"Corrigez : révolution incorrecte","OK"))</f>
        <v>OK</v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45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45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45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45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45">
      <c r="A19" s="78"/>
      <c r="B19" s="36" t="s">
        <v>175</v>
      </c>
      <c r="C19" s="37">
        <f>SUM(C9:C18)</f>
        <v>0.99815486400392051</v>
      </c>
      <c r="D19" s="38">
        <f>SUM(D9:D18)</f>
        <v>8.1848698848321479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45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45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65">
      <c r="A22" s="266" t="s">
        <v>232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4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45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45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45">
      <c r="A26" s="41" t="s">
        <v>222</v>
      </c>
      <c r="B26" s="42" t="s">
        <v>221</v>
      </c>
      <c r="C26" s="43">
        <v>0.1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45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4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4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45">
      <c r="A30" s="267" t="s">
        <v>227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45">
      <c r="A31" s="4"/>
      <c r="B31" s="4"/>
      <c r="C31" s="23" t="s">
        <v>327</v>
      </c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45">
      <c r="A32" s="46" t="s">
        <v>165</v>
      </c>
      <c r="B32" s="47" t="str">
        <f>IF(B9="","",B9)</f>
        <v>Chêne sessile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45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45">
      <c r="A34" s="4"/>
      <c r="B34" s="85" t="s">
        <v>185</v>
      </c>
      <c r="C34" s="259" t="s">
        <v>186</v>
      </c>
      <c r="D34" s="259"/>
      <c r="E34" s="260" t="s">
        <v>187</v>
      </c>
      <c r="F34" s="261"/>
      <c r="G34" s="261"/>
      <c r="H34" s="262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28.5" x14ac:dyDescent="0.45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45">
      <c r="A36" s="50">
        <v>42</v>
      </c>
      <c r="B36" s="60">
        <v>171.96</v>
      </c>
      <c r="C36" s="60">
        <v>1</v>
      </c>
      <c r="D36" s="60">
        <v>44.510000000000005</v>
      </c>
      <c r="E36" s="51">
        <v>0</v>
      </c>
      <c r="F36" s="51">
        <v>0.8</v>
      </c>
      <c r="G36" s="51">
        <v>0.2</v>
      </c>
      <c r="H36" s="51">
        <v>0</v>
      </c>
      <c r="I36" s="49">
        <f>IFERROR(B36/A36,"")</f>
        <v>4.0942857142857143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45">
      <c r="A37" s="50">
        <v>50</v>
      </c>
      <c r="B37" s="60">
        <v>208.33</v>
      </c>
      <c r="C37" s="60">
        <v>2</v>
      </c>
      <c r="D37" s="60">
        <v>37.54000000000002</v>
      </c>
      <c r="E37" s="51">
        <v>0</v>
      </c>
      <c r="F37" s="51">
        <v>0.8</v>
      </c>
      <c r="G37" s="51">
        <v>0.2</v>
      </c>
      <c r="H37" s="51">
        <v>0</v>
      </c>
      <c r="I37" s="53">
        <f t="shared" ref="I37:I55" si="1">IF(A37&lt;&gt;0,(B37-(B36-D36))/(A37-A36),"")</f>
        <v>10.110000000000001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45">
      <c r="A38" s="50">
        <v>58</v>
      </c>
      <c r="B38" s="60">
        <v>253.7</v>
      </c>
      <c r="C38" s="60">
        <v>3</v>
      </c>
      <c r="D38" s="60">
        <v>47.789999999999992</v>
      </c>
      <c r="E38" s="51">
        <v>0</v>
      </c>
      <c r="F38" s="51">
        <v>0.8</v>
      </c>
      <c r="G38" s="51">
        <v>0.2</v>
      </c>
      <c r="H38" s="51">
        <v>0</v>
      </c>
      <c r="I38" s="53">
        <f t="shared" si="1"/>
        <v>10.36375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45">
      <c r="A39" s="50">
        <v>66</v>
      </c>
      <c r="B39" s="60">
        <v>286.77</v>
      </c>
      <c r="C39" s="60">
        <v>4</v>
      </c>
      <c r="D39" s="60">
        <v>53.679999999999978</v>
      </c>
      <c r="E39" s="51">
        <v>0.35</v>
      </c>
      <c r="F39" s="51">
        <v>0.2</v>
      </c>
      <c r="G39" s="51">
        <v>0.1</v>
      </c>
      <c r="H39" s="51">
        <v>0.35</v>
      </c>
      <c r="I39" s="49">
        <f t="shared" si="1"/>
        <v>10.107499999999998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45">
      <c r="A40" s="50">
        <v>74</v>
      </c>
      <c r="B40" s="60">
        <v>310.95999999999998</v>
      </c>
      <c r="C40" s="60">
        <v>5</v>
      </c>
      <c r="D40" s="60">
        <v>51.339999999999975</v>
      </c>
      <c r="E40" s="51">
        <v>0.35</v>
      </c>
      <c r="F40" s="51">
        <v>0.2</v>
      </c>
      <c r="G40" s="51">
        <v>0.1</v>
      </c>
      <c r="H40" s="51">
        <v>0.35</v>
      </c>
      <c r="I40" s="49">
        <f t="shared" si="1"/>
        <v>9.733749999999997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45">
      <c r="A41" s="50">
        <v>84</v>
      </c>
      <c r="B41" s="60">
        <v>355.09</v>
      </c>
      <c r="C41" s="60">
        <v>6</v>
      </c>
      <c r="D41" s="60">
        <v>66.69</v>
      </c>
      <c r="E41" s="51">
        <v>0.35</v>
      </c>
      <c r="F41" s="51">
        <v>0.2</v>
      </c>
      <c r="G41" s="51">
        <v>0.1</v>
      </c>
      <c r="H41" s="51">
        <v>0.35</v>
      </c>
      <c r="I41" s="53">
        <f t="shared" si="1"/>
        <v>9.546999999999997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45">
      <c r="A42" s="50">
        <v>94</v>
      </c>
      <c r="B42" s="60">
        <v>380.13</v>
      </c>
      <c r="C42" s="60">
        <v>7</v>
      </c>
      <c r="D42" s="60">
        <v>67.350000000000023</v>
      </c>
      <c r="E42" s="51">
        <v>0.35</v>
      </c>
      <c r="F42" s="51">
        <v>0.2</v>
      </c>
      <c r="G42" s="51">
        <v>0.1</v>
      </c>
      <c r="H42" s="51">
        <v>0.35</v>
      </c>
      <c r="I42" s="53">
        <f t="shared" si="1"/>
        <v>9.1730000000000018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45">
      <c r="A43" s="50">
        <v>104</v>
      </c>
      <c r="B43" s="60">
        <v>402.2</v>
      </c>
      <c r="C43" s="60">
        <v>8</v>
      </c>
      <c r="D43" s="60">
        <v>66.089999999999975</v>
      </c>
      <c r="E43" s="51">
        <v>0.35</v>
      </c>
      <c r="F43" s="51">
        <v>0.2</v>
      </c>
      <c r="G43" s="51">
        <v>0.1</v>
      </c>
      <c r="H43" s="51">
        <v>0.35</v>
      </c>
      <c r="I43" s="49">
        <f t="shared" si="1"/>
        <v>8.9420000000000019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45">
      <c r="A44" s="50">
        <v>114</v>
      </c>
      <c r="B44" s="60">
        <v>424.56</v>
      </c>
      <c r="C44" s="60">
        <v>9</v>
      </c>
      <c r="D44" s="60">
        <v>61.860000000000014</v>
      </c>
      <c r="E44" s="51">
        <v>0.35</v>
      </c>
      <c r="F44" s="51">
        <v>0.2</v>
      </c>
      <c r="G44" s="51">
        <v>0.1</v>
      </c>
      <c r="H44" s="51">
        <v>0.35</v>
      </c>
      <c r="I44" s="49">
        <f t="shared" si="1"/>
        <v>8.8449999999999989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45">
      <c r="A45" s="50">
        <v>124</v>
      </c>
      <c r="B45" s="60">
        <v>451.86</v>
      </c>
      <c r="C45" s="60">
        <v>10</v>
      </c>
      <c r="D45" s="60">
        <v>57.81</v>
      </c>
      <c r="E45" s="51">
        <v>0.35</v>
      </c>
      <c r="F45" s="51">
        <v>0.2</v>
      </c>
      <c r="G45" s="51">
        <v>0.1</v>
      </c>
      <c r="H45" s="51">
        <v>0.35</v>
      </c>
      <c r="I45" s="49">
        <f t="shared" si="1"/>
        <v>8.9160000000000021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45">
      <c r="A46" s="50">
        <v>134</v>
      </c>
      <c r="B46" s="60">
        <v>484.28</v>
      </c>
      <c r="C46" s="60">
        <v>11</v>
      </c>
      <c r="D46" s="60">
        <v>60.779999999999973</v>
      </c>
      <c r="E46" s="51">
        <v>0.5</v>
      </c>
      <c r="F46" s="51">
        <v>0.2</v>
      </c>
      <c r="G46" s="51">
        <v>0</v>
      </c>
      <c r="H46" s="51">
        <v>0.3</v>
      </c>
      <c r="I46" s="49">
        <f t="shared" si="1"/>
        <v>9.0229999999999961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45">
      <c r="A47" s="50">
        <v>144</v>
      </c>
      <c r="B47" s="60">
        <v>514.94000000000005</v>
      </c>
      <c r="C47" s="60">
        <v>12</v>
      </c>
      <c r="D47" s="60">
        <v>61.800000000000068</v>
      </c>
      <c r="E47" s="51">
        <v>0.5</v>
      </c>
      <c r="F47" s="51">
        <v>0.2</v>
      </c>
      <c r="G47" s="51">
        <v>0</v>
      </c>
      <c r="H47" s="51">
        <v>0.3</v>
      </c>
      <c r="I47" s="49">
        <f t="shared" si="1"/>
        <v>9.1440000000000055</v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45">
      <c r="A48" s="50">
        <v>154</v>
      </c>
      <c r="B48" s="60">
        <v>546.49</v>
      </c>
      <c r="C48" s="60">
        <v>13</v>
      </c>
      <c r="D48" s="60">
        <v>61.050000000000011</v>
      </c>
      <c r="E48" s="51">
        <v>0.5</v>
      </c>
      <c r="F48" s="51">
        <v>0.2</v>
      </c>
      <c r="G48" s="51">
        <v>0</v>
      </c>
      <c r="H48" s="51">
        <v>0.3</v>
      </c>
      <c r="I48" s="49">
        <f t="shared" si="1"/>
        <v>9.3350000000000026</v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45">
      <c r="A49" s="50">
        <v>164</v>
      </c>
      <c r="B49" s="60">
        <v>580.32000000000005</v>
      </c>
      <c r="C49" s="60">
        <v>14</v>
      </c>
      <c r="D49" s="60">
        <v>66.020000000000095</v>
      </c>
      <c r="E49" s="51">
        <v>0.5</v>
      </c>
      <c r="F49" s="51">
        <v>0.2</v>
      </c>
      <c r="G49" s="51">
        <v>0</v>
      </c>
      <c r="H49" s="51">
        <v>0.3</v>
      </c>
      <c r="I49" s="49">
        <f t="shared" si="1"/>
        <v>9.4880000000000049</v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45">
      <c r="A50" s="50">
        <v>174</v>
      </c>
      <c r="B50" s="50">
        <v>610.52</v>
      </c>
      <c r="C50" s="50">
        <v>15</v>
      </c>
      <c r="D50" s="50">
        <v>240</v>
      </c>
      <c r="E50" s="51">
        <v>0.45</v>
      </c>
      <c r="F50" s="51">
        <v>0.05</v>
      </c>
      <c r="G50" s="51">
        <v>0.05</v>
      </c>
      <c r="H50" s="51">
        <v>0.45</v>
      </c>
      <c r="I50" s="49">
        <f t="shared" si="1"/>
        <v>9.6220000000000034</v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45">
      <c r="A51" s="50">
        <v>177</v>
      </c>
      <c r="B51" s="50">
        <v>388.94</v>
      </c>
      <c r="C51" s="50">
        <v>16</v>
      </c>
      <c r="D51" s="50">
        <v>128.66000000000003</v>
      </c>
      <c r="E51" s="51">
        <v>0.45</v>
      </c>
      <c r="F51" s="51">
        <v>0.05</v>
      </c>
      <c r="G51" s="51">
        <v>0.05</v>
      </c>
      <c r="H51" s="51">
        <v>0.45</v>
      </c>
      <c r="I51" s="49">
        <f t="shared" si="1"/>
        <v>6.140000000000005</v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45">
      <c r="A52" s="50">
        <v>180</v>
      </c>
      <c r="B52" s="50">
        <v>271.56</v>
      </c>
      <c r="C52" s="50">
        <v>17</v>
      </c>
      <c r="D52" s="50">
        <v>86.97</v>
      </c>
      <c r="E52" s="51">
        <v>0.45</v>
      </c>
      <c r="F52" s="51">
        <v>0.05</v>
      </c>
      <c r="G52" s="51">
        <v>0.05</v>
      </c>
      <c r="H52" s="51">
        <v>0.45</v>
      </c>
      <c r="I52" s="49">
        <f t="shared" si="1"/>
        <v>3.76000000000001</v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45">
      <c r="A53" s="50">
        <v>183</v>
      </c>
      <c r="B53" s="50">
        <v>191.47</v>
      </c>
      <c r="C53" s="50">
        <v>18</v>
      </c>
      <c r="D53" s="50">
        <v>191.47</v>
      </c>
      <c r="E53" s="51">
        <v>0.45</v>
      </c>
      <c r="F53" s="51">
        <v>0.05</v>
      </c>
      <c r="G53" s="51">
        <v>0.05</v>
      </c>
      <c r="H53" s="51">
        <v>0.45</v>
      </c>
      <c r="I53" s="49">
        <f t="shared" si="1"/>
        <v>2.2933333333333317</v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45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45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4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45">
      <c r="A57" s="4"/>
      <c r="B57" s="4"/>
      <c r="C57" s="23" t="s">
        <v>326</v>
      </c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45">
      <c r="A58" s="46" t="s">
        <v>166</v>
      </c>
      <c r="B58" s="52" t="str">
        <f>IF(B10="","",B10)</f>
        <v>Cèdre de l'Atlas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45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45">
      <c r="A60" s="4"/>
      <c r="B60" s="85" t="s">
        <v>185</v>
      </c>
      <c r="C60" s="259" t="s">
        <v>186</v>
      </c>
      <c r="D60" s="259"/>
      <c r="E60" s="260" t="s">
        <v>187</v>
      </c>
      <c r="F60" s="261"/>
      <c r="G60" s="261"/>
      <c r="H60" s="262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28.5" x14ac:dyDescent="0.45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45">
      <c r="A62" s="50">
        <v>51</v>
      </c>
      <c r="B62" s="60">
        <v>328.59</v>
      </c>
      <c r="C62" s="60">
        <v>1</v>
      </c>
      <c r="D62" s="60">
        <v>101.57999999999998</v>
      </c>
      <c r="E62" s="51">
        <v>0.25</v>
      </c>
      <c r="F62" s="51">
        <v>0.37</v>
      </c>
      <c r="G62" s="51">
        <v>0.38</v>
      </c>
      <c r="H62" s="51">
        <v>0</v>
      </c>
      <c r="I62" s="53">
        <f>IFERROR(B62/A62,"")</f>
        <v>6.4429411764705877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45">
      <c r="A63" s="50">
        <v>63</v>
      </c>
      <c r="B63" s="60">
        <v>375.17</v>
      </c>
      <c r="C63" s="60">
        <v>2</v>
      </c>
      <c r="D63" s="60">
        <v>115.59000000000003</v>
      </c>
      <c r="E63" s="51">
        <v>0.6</v>
      </c>
      <c r="F63" s="51">
        <v>0.2</v>
      </c>
      <c r="G63" s="51">
        <v>0.2</v>
      </c>
      <c r="H63" s="51">
        <v>0</v>
      </c>
      <c r="I63" s="49">
        <f>IF(A63&lt;&gt;0,(B63-(B62-D62))/(A63-A62),"")</f>
        <v>12.346666666666669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45">
      <c r="A64" s="50">
        <v>75</v>
      </c>
      <c r="B64" s="60">
        <v>395.51</v>
      </c>
      <c r="C64" s="60">
        <v>3</v>
      </c>
      <c r="D64" s="60">
        <v>93.759999999999991</v>
      </c>
      <c r="E64" s="51">
        <v>0.6</v>
      </c>
      <c r="F64" s="51">
        <v>0.2</v>
      </c>
      <c r="G64" s="51">
        <v>0.2</v>
      </c>
      <c r="H64" s="51">
        <v>0</v>
      </c>
      <c r="I64" s="49">
        <f>IF(A64&lt;&gt;0,(B64-(B63-D63))/(A64-A63),"")</f>
        <v>11.327500000000001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45">
      <c r="A65" s="50">
        <v>87</v>
      </c>
      <c r="B65" s="60">
        <v>426.76</v>
      </c>
      <c r="C65" s="60">
        <v>4</v>
      </c>
      <c r="D65" s="60">
        <v>92.519999999999982</v>
      </c>
      <c r="E65" s="51">
        <v>0.6</v>
      </c>
      <c r="F65" s="51">
        <v>0.2</v>
      </c>
      <c r="G65" s="51">
        <v>0.2</v>
      </c>
      <c r="H65" s="51">
        <v>0</v>
      </c>
      <c r="I65" s="49">
        <f>IF(A65&lt;&gt;0,(B65-(B64-D64))/(A65-A64),"")</f>
        <v>10.417499999999999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45">
      <c r="A66" s="50">
        <v>99</v>
      </c>
      <c r="B66" s="60">
        <v>447.35</v>
      </c>
      <c r="C66" s="60">
        <v>5</v>
      </c>
      <c r="D66" s="60">
        <v>222.86</v>
      </c>
      <c r="E66" s="51">
        <v>0.6</v>
      </c>
      <c r="F66" s="51">
        <v>0.2</v>
      </c>
      <c r="G66" s="51">
        <v>0.2</v>
      </c>
      <c r="H66" s="51">
        <v>0</v>
      </c>
      <c r="I66" s="49">
        <f t="shared" ref="I66:I81" si="2">IF(A66&lt;&gt;0,(B66-(B65-D65))/(A66-A65),"")</f>
        <v>9.4258333333333351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45">
      <c r="A67" s="50">
        <v>109</v>
      </c>
      <c r="B67" s="60">
        <v>290.11</v>
      </c>
      <c r="C67" s="60">
        <v>6</v>
      </c>
      <c r="D67" s="60">
        <v>290.11</v>
      </c>
      <c r="E67" s="51">
        <v>0.6</v>
      </c>
      <c r="F67" s="51">
        <v>0.2</v>
      </c>
      <c r="G67" s="51">
        <v>0.2</v>
      </c>
      <c r="H67" s="51">
        <v>0</v>
      </c>
      <c r="I67" s="49">
        <f t="shared" si="2"/>
        <v>6.5620000000000003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45">
      <c r="A68" s="50"/>
      <c r="B68" s="60"/>
      <c r="C68" s="60"/>
      <c r="D68" s="60"/>
      <c r="E68" s="51"/>
      <c r="F68" s="51"/>
      <c r="G68" s="51"/>
      <c r="H68" s="51"/>
      <c r="I68" s="49" t="str">
        <f t="shared" si="2"/>
        <v/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45">
      <c r="A69" s="50"/>
      <c r="B69" s="50"/>
      <c r="C69" s="50"/>
      <c r="D69" s="50"/>
      <c r="E69" s="51"/>
      <c r="F69" s="51"/>
      <c r="G69" s="51"/>
      <c r="H69" s="51"/>
      <c r="I69" s="49" t="str">
        <f t="shared" si="2"/>
        <v/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45">
      <c r="A70" s="50"/>
      <c r="B70" s="50"/>
      <c r="C70" s="50"/>
      <c r="D70" s="50"/>
      <c r="E70" s="51"/>
      <c r="F70" s="51"/>
      <c r="G70" s="51"/>
      <c r="H70" s="51"/>
      <c r="I70" s="49" t="str">
        <f t="shared" si="2"/>
        <v/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45">
      <c r="A71" s="50"/>
      <c r="B71" s="50"/>
      <c r="C71" s="50"/>
      <c r="D71" s="50"/>
      <c r="E71" s="51"/>
      <c r="F71" s="51"/>
      <c r="G71" s="51"/>
      <c r="H71" s="51"/>
      <c r="I71" s="49" t="str">
        <f t="shared" si="2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45">
      <c r="A72" s="50"/>
      <c r="B72" s="50"/>
      <c r="C72" s="50"/>
      <c r="D72" s="50"/>
      <c r="E72" s="51"/>
      <c r="F72" s="51"/>
      <c r="G72" s="51"/>
      <c r="H72" s="51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45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45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45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45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45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45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45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45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45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4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45">
      <c r="A83" s="4"/>
      <c r="B83" s="4"/>
      <c r="C83" s="23" t="s">
        <v>325</v>
      </c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45">
      <c r="A84" s="46" t="s">
        <v>167</v>
      </c>
      <c r="B84" s="52" t="str">
        <f>IF(B11="","",B11)</f>
        <v>Chêne pubescent</v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45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45">
      <c r="A86" s="4"/>
      <c r="B86" s="85" t="s">
        <v>185</v>
      </c>
      <c r="C86" s="259" t="s">
        <v>186</v>
      </c>
      <c r="D86" s="259"/>
      <c r="E86" s="260" t="s">
        <v>187</v>
      </c>
      <c r="F86" s="261"/>
      <c r="G86" s="261"/>
      <c r="H86" s="262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28.5" x14ac:dyDescent="0.45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45">
      <c r="A88" s="50">
        <v>60</v>
      </c>
      <c r="B88" s="60">
        <v>201.62</v>
      </c>
      <c r="C88" s="60">
        <v>1</v>
      </c>
      <c r="D88" s="60">
        <v>72.87</v>
      </c>
      <c r="E88" s="51">
        <v>0</v>
      </c>
      <c r="F88" s="51">
        <v>0.8</v>
      </c>
      <c r="G88" s="51">
        <v>0.2</v>
      </c>
      <c r="H88" s="87">
        <v>0</v>
      </c>
      <c r="I88" s="53">
        <f>IFERROR(B88/A88,"")</f>
        <v>3.3603333333333336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45">
      <c r="A89" s="50">
        <v>69</v>
      </c>
      <c r="B89" s="60">
        <v>190.79</v>
      </c>
      <c r="C89" s="60">
        <v>2</v>
      </c>
      <c r="D89" s="60">
        <v>42.22</v>
      </c>
      <c r="E89" s="51">
        <v>0</v>
      </c>
      <c r="F89" s="51">
        <v>0.8</v>
      </c>
      <c r="G89" s="51">
        <v>0.2</v>
      </c>
      <c r="H89" s="87">
        <v>0</v>
      </c>
      <c r="I89" s="53">
        <f t="shared" ref="I89:I107" si="3">IF(A89&lt;&gt;0,(B89-(B88-D88))/(A89-A88),"")</f>
        <v>6.8933333333333326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45">
      <c r="A90" s="50">
        <v>77</v>
      </c>
      <c r="B90" s="60">
        <v>202.52</v>
      </c>
      <c r="C90" s="60">
        <v>3</v>
      </c>
      <c r="D90" s="60">
        <v>33.950000000000017</v>
      </c>
      <c r="E90" s="87">
        <v>0</v>
      </c>
      <c r="F90" s="87">
        <v>0.8</v>
      </c>
      <c r="G90" s="87">
        <v>0.2</v>
      </c>
      <c r="H90" s="87">
        <v>0</v>
      </c>
      <c r="I90" s="53">
        <f t="shared" si="3"/>
        <v>6.7437500000000021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45">
      <c r="A91" s="50">
        <v>86</v>
      </c>
      <c r="B91" s="60">
        <v>229.27</v>
      </c>
      <c r="C91" s="60">
        <v>4</v>
      </c>
      <c r="D91" s="60">
        <v>37.54000000000002</v>
      </c>
      <c r="E91" s="87">
        <v>0.35</v>
      </c>
      <c r="F91" s="87">
        <v>0.2</v>
      </c>
      <c r="G91" s="87">
        <v>0.1</v>
      </c>
      <c r="H91" s="87">
        <v>0.35</v>
      </c>
      <c r="I91" s="53">
        <f t="shared" si="3"/>
        <v>6.7444444444444462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45">
      <c r="A92" s="50">
        <v>95</v>
      </c>
      <c r="B92" s="60">
        <v>252.57</v>
      </c>
      <c r="C92" s="60">
        <v>5</v>
      </c>
      <c r="D92" s="60">
        <v>42.199999999999989</v>
      </c>
      <c r="E92" s="87">
        <v>0.35</v>
      </c>
      <c r="F92" s="87">
        <v>0.2</v>
      </c>
      <c r="G92" s="87">
        <v>0.1</v>
      </c>
      <c r="H92" s="87">
        <v>0.35</v>
      </c>
      <c r="I92" s="53">
        <f t="shared" si="3"/>
        <v>6.7600000000000007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45">
      <c r="A93" s="50">
        <v>104</v>
      </c>
      <c r="B93" s="60">
        <v>271.37</v>
      </c>
      <c r="C93" s="60">
        <v>6</v>
      </c>
      <c r="D93" s="60">
        <v>39.400000000000006</v>
      </c>
      <c r="E93" s="87">
        <v>0.35</v>
      </c>
      <c r="F93" s="87">
        <v>0.2</v>
      </c>
      <c r="G93" s="87">
        <v>0.1</v>
      </c>
      <c r="H93" s="87">
        <v>0.35</v>
      </c>
      <c r="I93" s="53">
        <f t="shared" si="3"/>
        <v>6.7777777777777777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45">
      <c r="A94" s="50">
        <v>113</v>
      </c>
      <c r="B94" s="60">
        <v>293.89999999999998</v>
      </c>
      <c r="C94" s="60">
        <v>7</v>
      </c>
      <c r="D94" s="60">
        <v>41.639999999999986</v>
      </c>
      <c r="E94" s="87">
        <v>0.35</v>
      </c>
      <c r="F94" s="87">
        <v>0.2</v>
      </c>
      <c r="G94" s="87">
        <v>0.1</v>
      </c>
      <c r="H94" s="87">
        <v>0.35</v>
      </c>
      <c r="I94" s="53">
        <f t="shared" si="3"/>
        <v>6.8811111111111085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45">
      <c r="A95" s="60">
        <v>122</v>
      </c>
      <c r="B95" s="60">
        <v>315.27</v>
      </c>
      <c r="C95" s="60">
        <v>8</v>
      </c>
      <c r="D95" s="60">
        <v>45.829999999999984</v>
      </c>
      <c r="E95" s="87">
        <v>0.35</v>
      </c>
      <c r="F95" s="87">
        <v>0.2</v>
      </c>
      <c r="G95" s="87">
        <v>0.1</v>
      </c>
      <c r="H95" s="87">
        <v>0.35</v>
      </c>
      <c r="I95" s="53">
        <f t="shared" si="3"/>
        <v>7.0011111111111104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45">
      <c r="A96" s="60">
        <v>132</v>
      </c>
      <c r="B96" s="60">
        <v>340.57</v>
      </c>
      <c r="C96" s="60">
        <v>9</v>
      </c>
      <c r="D96" s="60">
        <v>48.699999999999989</v>
      </c>
      <c r="E96" s="87">
        <v>0.35</v>
      </c>
      <c r="F96" s="87">
        <v>0.2</v>
      </c>
      <c r="G96" s="87">
        <v>0.1</v>
      </c>
      <c r="H96" s="87">
        <v>0.35</v>
      </c>
      <c r="I96" s="53">
        <f t="shared" si="3"/>
        <v>7.1129999999999995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45">
      <c r="A97" s="60">
        <v>144</v>
      </c>
      <c r="B97" s="60">
        <v>379.92</v>
      </c>
      <c r="C97" s="60">
        <v>10</v>
      </c>
      <c r="D97" s="60">
        <v>60.949999999999989</v>
      </c>
      <c r="E97" s="87">
        <v>0.35</v>
      </c>
      <c r="F97" s="87">
        <v>0.2</v>
      </c>
      <c r="G97" s="87">
        <v>0.1</v>
      </c>
      <c r="H97" s="87">
        <v>0.35</v>
      </c>
      <c r="I97" s="53">
        <f t="shared" si="3"/>
        <v>7.3375000000000012</v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45">
      <c r="A98" s="60">
        <v>156</v>
      </c>
      <c r="B98" s="60">
        <v>409.2</v>
      </c>
      <c r="C98" s="60">
        <v>11</v>
      </c>
      <c r="D98" s="60">
        <v>65.69</v>
      </c>
      <c r="E98" s="87">
        <v>0.5</v>
      </c>
      <c r="F98" s="87">
        <v>0.2</v>
      </c>
      <c r="G98" s="87">
        <v>0</v>
      </c>
      <c r="H98" s="87">
        <v>0.3</v>
      </c>
      <c r="I98" s="53">
        <f t="shared" si="3"/>
        <v>7.5191666666666634</v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45">
      <c r="A99" s="60">
        <v>168</v>
      </c>
      <c r="B99" s="60">
        <v>435.65</v>
      </c>
      <c r="C99" s="60">
        <v>12</v>
      </c>
      <c r="D99" s="60">
        <v>71.37</v>
      </c>
      <c r="E99" s="87">
        <v>0.5</v>
      </c>
      <c r="F99" s="87">
        <v>0.2</v>
      </c>
      <c r="G99" s="87">
        <v>0</v>
      </c>
      <c r="H99" s="87">
        <v>0.3</v>
      </c>
      <c r="I99" s="53">
        <f t="shared" si="3"/>
        <v>7.6783333333333319</v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45">
      <c r="A100" s="60">
        <v>180</v>
      </c>
      <c r="B100" s="60">
        <v>456.54</v>
      </c>
      <c r="C100" s="60">
        <v>13</v>
      </c>
      <c r="D100" s="60">
        <v>175.59000000000003</v>
      </c>
      <c r="E100" s="65">
        <v>0.5</v>
      </c>
      <c r="F100" s="65">
        <v>0.2</v>
      </c>
      <c r="G100" s="65">
        <v>0</v>
      </c>
      <c r="H100" s="65">
        <v>0.3</v>
      </c>
      <c r="I100" s="53">
        <f t="shared" si="3"/>
        <v>7.688333333333337</v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45">
      <c r="A101" s="60">
        <v>184</v>
      </c>
      <c r="B101" s="60">
        <v>300.14</v>
      </c>
      <c r="C101" s="60">
        <v>14</v>
      </c>
      <c r="D101" s="60">
        <v>101.19999999999999</v>
      </c>
      <c r="E101" s="65">
        <v>0.5</v>
      </c>
      <c r="F101" s="65">
        <v>0.2</v>
      </c>
      <c r="G101" s="65">
        <v>0</v>
      </c>
      <c r="H101" s="65">
        <v>0.3</v>
      </c>
      <c r="I101" s="53">
        <f t="shared" si="3"/>
        <v>4.7974999999999994</v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45">
      <c r="A102" s="60">
        <v>188</v>
      </c>
      <c r="B102" s="50">
        <v>211.27</v>
      </c>
      <c r="C102" s="60">
        <v>15</v>
      </c>
      <c r="D102" s="50">
        <v>72.180000000000007</v>
      </c>
      <c r="E102" s="54">
        <v>0.5</v>
      </c>
      <c r="F102" s="54">
        <v>0.2</v>
      </c>
      <c r="G102" s="54">
        <v>0</v>
      </c>
      <c r="H102" s="54">
        <v>0.3</v>
      </c>
      <c r="I102" s="53">
        <f t="shared" si="3"/>
        <v>3.0825000000000031</v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45">
      <c r="A103" s="60">
        <v>191</v>
      </c>
      <c r="B103" s="50">
        <v>145.01</v>
      </c>
      <c r="C103" s="60">
        <v>16</v>
      </c>
      <c r="D103" s="50">
        <v>145.01</v>
      </c>
      <c r="E103" s="54">
        <v>0.45</v>
      </c>
      <c r="F103" s="54">
        <v>0.05</v>
      </c>
      <c r="G103" s="54">
        <v>0.05</v>
      </c>
      <c r="H103" s="54">
        <v>0.45</v>
      </c>
      <c r="I103" s="53">
        <f t="shared" si="3"/>
        <v>1.9733333333333292</v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45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45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45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45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4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45">
      <c r="A109" s="4"/>
      <c r="B109" s="4"/>
      <c r="C109" s="23" t="s">
        <v>324</v>
      </c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45">
      <c r="A110" s="46" t="s">
        <v>168</v>
      </c>
      <c r="B110" s="52" t="str">
        <f>IF(B12="","",B12)</f>
        <v>Charme</v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45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45">
      <c r="A112" s="4"/>
      <c r="B112" s="85" t="s">
        <v>185</v>
      </c>
      <c r="C112" s="259" t="s">
        <v>186</v>
      </c>
      <c r="D112" s="259"/>
      <c r="E112" s="260" t="s">
        <v>187</v>
      </c>
      <c r="F112" s="261"/>
      <c r="G112" s="261"/>
      <c r="H112" s="262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28.5" x14ac:dyDescent="0.45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45">
      <c r="A114" s="50">
        <v>15</v>
      </c>
      <c r="B114" s="60">
        <v>65</v>
      </c>
      <c r="C114" s="50">
        <v>1</v>
      </c>
      <c r="D114" s="60">
        <v>32</v>
      </c>
      <c r="E114" s="51">
        <v>0</v>
      </c>
      <c r="F114" s="51">
        <v>0.25</v>
      </c>
      <c r="G114" s="51">
        <v>0.25</v>
      </c>
      <c r="H114" s="51">
        <v>0.5</v>
      </c>
      <c r="I114" s="53">
        <f>IFERROR(B114/A114,"")</f>
        <v>4.333333333333333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45">
      <c r="A115" s="50">
        <v>20</v>
      </c>
      <c r="B115" s="60">
        <v>102</v>
      </c>
      <c r="C115" s="50">
        <v>2</v>
      </c>
      <c r="D115" s="60">
        <v>35</v>
      </c>
      <c r="E115" s="51">
        <v>0</v>
      </c>
      <c r="F115" s="51">
        <v>0.25</v>
      </c>
      <c r="G115" s="51">
        <v>0.25</v>
      </c>
      <c r="H115" s="51">
        <v>0.5</v>
      </c>
      <c r="I115" s="53">
        <f t="shared" ref="I115:I133" si="4">IF(A115&lt;&gt;0,(B115-(B114-D114))/(A115-A114),"")</f>
        <v>13.8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45">
      <c r="A116" s="50">
        <v>25</v>
      </c>
      <c r="B116" s="60">
        <v>141</v>
      </c>
      <c r="C116" s="50">
        <v>3</v>
      </c>
      <c r="D116" s="60">
        <v>35</v>
      </c>
      <c r="E116" s="51">
        <v>0</v>
      </c>
      <c r="F116" s="51">
        <v>0.25</v>
      </c>
      <c r="G116" s="51">
        <v>0.25</v>
      </c>
      <c r="H116" s="51">
        <v>0.5</v>
      </c>
      <c r="I116" s="53">
        <f t="shared" si="4"/>
        <v>14.8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45">
      <c r="A117" s="50">
        <v>30</v>
      </c>
      <c r="B117" s="60">
        <v>177</v>
      </c>
      <c r="C117" s="50">
        <v>4</v>
      </c>
      <c r="D117" s="60">
        <v>35</v>
      </c>
      <c r="E117" s="51">
        <v>0.25</v>
      </c>
      <c r="F117" s="51">
        <v>0.25</v>
      </c>
      <c r="G117" s="51">
        <v>0.25</v>
      </c>
      <c r="H117" s="51">
        <v>0.25</v>
      </c>
      <c r="I117" s="53">
        <f t="shared" si="4"/>
        <v>14.2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45">
      <c r="A118" s="50">
        <v>35</v>
      </c>
      <c r="B118" s="60">
        <v>206</v>
      </c>
      <c r="C118" s="50">
        <v>5</v>
      </c>
      <c r="D118" s="60">
        <v>35</v>
      </c>
      <c r="E118" s="51">
        <v>0.25</v>
      </c>
      <c r="F118" s="51">
        <v>0.25</v>
      </c>
      <c r="G118" s="51">
        <v>0.25</v>
      </c>
      <c r="H118" s="51">
        <v>0.25</v>
      </c>
      <c r="I118" s="53">
        <f t="shared" si="4"/>
        <v>12.8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45">
      <c r="A119" s="50">
        <v>40</v>
      </c>
      <c r="B119" s="60">
        <v>228</v>
      </c>
      <c r="C119" s="50">
        <v>6</v>
      </c>
      <c r="D119" s="60">
        <v>35</v>
      </c>
      <c r="E119" s="51">
        <v>0.25</v>
      </c>
      <c r="F119" s="51">
        <v>0.25</v>
      </c>
      <c r="G119" s="51">
        <v>0.25</v>
      </c>
      <c r="H119" s="51">
        <v>0.25</v>
      </c>
      <c r="I119" s="53">
        <f t="shared" si="4"/>
        <v>11.4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45">
      <c r="A120" s="60">
        <v>45</v>
      </c>
      <c r="B120" s="60">
        <v>242</v>
      </c>
      <c r="C120" s="60">
        <v>7</v>
      </c>
      <c r="D120" s="60">
        <v>24</v>
      </c>
      <c r="E120" s="87">
        <v>0.25</v>
      </c>
      <c r="F120" s="87">
        <v>0.25</v>
      </c>
      <c r="G120" s="87">
        <v>0.25</v>
      </c>
      <c r="H120" s="87">
        <v>0.25</v>
      </c>
      <c r="I120" s="53">
        <f t="shared" si="4"/>
        <v>9.8000000000000007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45">
      <c r="A121" s="60">
        <v>50</v>
      </c>
      <c r="B121" s="60">
        <v>261</v>
      </c>
      <c r="C121" s="60">
        <v>8</v>
      </c>
      <c r="D121" s="60">
        <v>19</v>
      </c>
      <c r="E121" s="87">
        <v>0.25</v>
      </c>
      <c r="F121" s="87">
        <v>0.25</v>
      </c>
      <c r="G121" s="87">
        <v>0.25</v>
      </c>
      <c r="H121" s="87">
        <v>0.25</v>
      </c>
      <c r="I121" s="53">
        <f t="shared" si="4"/>
        <v>8.6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45">
      <c r="A122" s="60">
        <v>55</v>
      </c>
      <c r="B122" s="60">
        <v>279</v>
      </c>
      <c r="C122" s="60">
        <v>9</v>
      </c>
      <c r="D122" s="60">
        <v>16</v>
      </c>
      <c r="E122" s="87">
        <v>0.25</v>
      </c>
      <c r="F122" s="87">
        <v>0.25</v>
      </c>
      <c r="G122" s="87">
        <v>0.25</v>
      </c>
      <c r="H122" s="87">
        <v>0.25</v>
      </c>
      <c r="I122" s="53">
        <f t="shared" si="4"/>
        <v>7.4</v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45">
      <c r="A123" s="60">
        <v>60</v>
      </c>
      <c r="B123" s="60">
        <v>294</v>
      </c>
      <c r="C123" s="60">
        <v>10</v>
      </c>
      <c r="D123" s="60">
        <v>14</v>
      </c>
      <c r="E123" s="87">
        <v>0.25</v>
      </c>
      <c r="F123" s="87">
        <v>0.25</v>
      </c>
      <c r="G123" s="87">
        <v>0.25</v>
      </c>
      <c r="H123" s="87">
        <v>0.25</v>
      </c>
      <c r="I123" s="53">
        <f t="shared" si="4"/>
        <v>6.2</v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45">
      <c r="A124" s="60">
        <v>65</v>
      </c>
      <c r="B124" s="60">
        <v>306</v>
      </c>
      <c r="C124" s="60">
        <v>11</v>
      </c>
      <c r="D124" s="60">
        <v>13</v>
      </c>
      <c r="E124" s="87">
        <v>0.25</v>
      </c>
      <c r="F124" s="87">
        <v>0.25</v>
      </c>
      <c r="G124" s="87">
        <v>0.25</v>
      </c>
      <c r="H124" s="87">
        <v>0.25</v>
      </c>
      <c r="I124" s="53">
        <f t="shared" si="4"/>
        <v>5.2</v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45">
      <c r="A125" s="60">
        <v>70</v>
      </c>
      <c r="B125" s="60">
        <v>316</v>
      </c>
      <c r="C125" s="60">
        <v>12</v>
      </c>
      <c r="D125" s="60">
        <v>13</v>
      </c>
      <c r="E125" s="87">
        <v>0.25</v>
      </c>
      <c r="F125" s="87">
        <v>0.25</v>
      </c>
      <c r="G125" s="87">
        <v>0.25</v>
      </c>
      <c r="H125" s="87">
        <v>0.25</v>
      </c>
      <c r="I125" s="53">
        <f t="shared" si="4"/>
        <v>4.5999999999999996</v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45">
      <c r="A126" s="60">
        <v>75</v>
      </c>
      <c r="B126" s="60">
        <v>324</v>
      </c>
      <c r="C126" s="60">
        <v>13</v>
      </c>
      <c r="D126" s="60">
        <v>12</v>
      </c>
      <c r="E126" s="65">
        <v>0.25</v>
      </c>
      <c r="F126" s="65">
        <v>0.25</v>
      </c>
      <c r="G126" s="65">
        <v>0.25</v>
      </c>
      <c r="H126" s="65">
        <v>0.25</v>
      </c>
      <c r="I126" s="53">
        <f t="shared" si="4"/>
        <v>4.2</v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45">
      <c r="A127" s="60">
        <v>80</v>
      </c>
      <c r="B127" s="60">
        <v>330</v>
      </c>
      <c r="C127" s="60">
        <v>14</v>
      </c>
      <c r="D127" s="60">
        <v>330</v>
      </c>
      <c r="E127" s="65">
        <v>0.25</v>
      </c>
      <c r="F127" s="65">
        <v>0.25</v>
      </c>
      <c r="G127" s="65">
        <v>0.25</v>
      </c>
      <c r="H127" s="65">
        <v>0.25</v>
      </c>
      <c r="I127" s="53">
        <f t="shared" si="4"/>
        <v>3.6</v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45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45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45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45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45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45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4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4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45">
      <c r="A136" s="46" t="s">
        <v>169</v>
      </c>
      <c r="B136" s="52" t="str">
        <f>IF(B13="","",B13)</f>
        <v>Erable champêtre</v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45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45">
      <c r="A138" s="4"/>
      <c r="B138" s="85" t="s">
        <v>185</v>
      </c>
      <c r="C138" s="259" t="s">
        <v>186</v>
      </c>
      <c r="D138" s="259"/>
      <c r="E138" s="260" t="s">
        <v>187</v>
      </c>
      <c r="F138" s="261"/>
      <c r="G138" s="261"/>
      <c r="H138" s="262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28.5" x14ac:dyDescent="0.45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45">
      <c r="A140" s="50">
        <v>15</v>
      </c>
      <c r="B140" s="60">
        <v>65</v>
      </c>
      <c r="C140" s="50">
        <v>1</v>
      </c>
      <c r="D140" s="60">
        <v>32</v>
      </c>
      <c r="E140" s="51">
        <v>0</v>
      </c>
      <c r="F140" s="51">
        <v>0.25</v>
      </c>
      <c r="G140" s="51">
        <v>0.25</v>
      </c>
      <c r="H140" s="51">
        <v>0.5</v>
      </c>
      <c r="I140" s="57">
        <f>IFERROR(B140/A140,"")</f>
        <v>4.333333333333333</v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45">
      <c r="A141" s="50">
        <v>20</v>
      </c>
      <c r="B141" s="60">
        <v>102</v>
      </c>
      <c r="C141" s="50">
        <v>2</v>
      </c>
      <c r="D141" s="60">
        <v>35</v>
      </c>
      <c r="E141" s="51">
        <v>0</v>
      </c>
      <c r="F141" s="51">
        <v>0.25</v>
      </c>
      <c r="G141" s="51">
        <v>0.25</v>
      </c>
      <c r="H141" s="51">
        <v>0.5</v>
      </c>
      <c r="I141" s="57">
        <f t="shared" ref="I141:I159" si="5">IF(A141&lt;&gt;0,(B141-(B140-D140))/(A141-A140),"")</f>
        <v>13.8</v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45">
      <c r="A142" s="50">
        <v>25</v>
      </c>
      <c r="B142" s="60">
        <v>141</v>
      </c>
      <c r="C142" s="50">
        <v>3</v>
      </c>
      <c r="D142" s="60">
        <v>35</v>
      </c>
      <c r="E142" s="51">
        <v>0</v>
      </c>
      <c r="F142" s="51">
        <v>0.25</v>
      </c>
      <c r="G142" s="51">
        <v>0.25</v>
      </c>
      <c r="H142" s="51">
        <v>0.5</v>
      </c>
      <c r="I142" s="57">
        <f t="shared" si="5"/>
        <v>14.8</v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45">
      <c r="A143" s="50">
        <v>30</v>
      </c>
      <c r="B143" s="60">
        <v>177</v>
      </c>
      <c r="C143" s="50">
        <v>4</v>
      </c>
      <c r="D143" s="60">
        <v>35</v>
      </c>
      <c r="E143" s="51">
        <v>0.25</v>
      </c>
      <c r="F143" s="51">
        <v>0.25</v>
      </c>
      <c r="G143" s="51">
        <v>0.25</v>
      </c>
      <c r="H143" s="51">
        <v>0.25</v>
      </c>
      <c r="I143" s="57">
        <f t="shared" si="5"/>
        <v>14.2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45">
      <c r="A144" s="50">
        <v>35</v>
      </c>
      <c r="B144" s="60">
        <v>206</v>
      </c>
      <c r="C144" s="50">
        <v>5</v>
      </c>
      <c r="D144" s="60">
        <v>35</v>
      </c>
      <c r="E144" s="51">
        <v>0.25</v>
      </c>
      <c r="F144" s="51">
        <v>0.25</v>
      </c>
      <c r="G144" s="51">
        <v>0.25</v>
      </c>
      <c r="H144" s="51">
        <v>0.25</v>
      </c>
      <c r="I144" s="57">
        <f t="shared" si="5"/>
        <v>12.8</v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45">
      <c r="A145" s="50">
        <v>40</v>
      </c>
      <c r="B145" s="60">
        <v>228</v>
      </c>
      <c r="C145" s="50">
        <v>6</v>
      </c>
      <c r="D145" s="60">
        <v>35</v>
      </c>
      <c r="E145" s="51">
        <v>0.25</v>
      </c>
      <c r="F145" s="51">
        <v>0.25</v>
      </c>
      <c r="G145" s="51">
        <v>0.25</v>
      </c>
      <c r="H145" s="51">
        <v>0.25</v>
      </c>
      <c r="I145" s="57">
        <f t="shared" si="5"/>
        <v>11.4</v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45">
      <c r="A146" s="50">
        <v>45</v>
      </c>
      <c r="B146" s="60">
        <v>242</v>
      </c>
      <c r="C146" s="50">
        <v>7</v>
      </c>
      <c r="D146" s="60">
        <v>24</v>
      </c>
      <c r="E146" s="51">
        <v>0.25</v>
      </c>
      <c r="F146" s="51">
        <v>0.25</v>
      </c>
      <c r="G146" s="51">
        <v>0.25</v>
      </c>
      <c r="H146" s="51">
        <v>0.25</v>
      </c>
      <c r="I146" s="57">
        <f t="shared" si="5"/>
        <v>9.8000000000000007</v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45">
      <c r="A147" s="50">
        <v>50</v>
      </c>
      <c r="B147" s="60">
        <v>261</v>
      </c>
      <c r="C147" s="50">
        <v>8</v>
      </c>
      <c r="D147" s="60">
        <v>19</v>
      </c>
      <c r="E147" s="51">
        <v>0.25</v>
      </c>
      <c r="F147" s="51">
        <v>0.25</v>
      </c>
      <c r="G147" s="51">
        <v>0.25</v>
      </c>
      <c r="H147" s="51">
        <v>0.25</v>
      </c>
      <c r="I147" s="57">
        <f>IF(A147&lt;&gt;0,(B147-(B146-D146))/(A147-A146),"")</f>
        <v>8.6</v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45">
      <c r="A148" s="50">
        <v>55</v>
      </c>
      <c r="B148" s="60">
        <v>279</v>
      </c>
      <c r="C148" s="50">
        <v>9</v>
      </c>
      <c r="D148" s="60">
        <v>16</v>
      </c>
      <c r="E148" s="51">
        <v>0.25</v>
      </c>
      <c r="F148" s="51">
        <v>0.25</v>
      </c>
      <c r="G148" s="51">
        <v>0.25</v>
      </c>
      <c r="H148" s="51">
        <v>0.25</v>
      </c>
      <c r="I148" s="57">
        <f t="shared" si="5"/>
        <v>7.4</v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45">
      <c r="A149" s="50">
        <v>60</v>
      </c>
      <c r="B149" s="60">
        <v>294</v>
      </c>
      <c r="C149" s="50">
        <v>10</v>
      </c>
      <c r="D149" s="60">
        <v>14</v>
      </c>
      <c r="E149" s="51">
        <v>0.25</v>
      </c>
      <c r="F149" s="51">
        <v>0.25</v>
      </c>
      <c r="G149" s="51">
        <v>0.25</v>
      </c>
      <c r="H149" s="51">
        <v>0.25</v>
      </c>
      <c r="I149" s="57">
        <f t="shared" si="5"/>
        <v>6.2</v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45">
      <c r="A150" s="50">
        <v>65</v>
      </c>
      <c r="B150" s="60">
        <v>306</v>
      </c>
      <c r="C150" s="50">
        <v>11</v>
      </c>
      <c r="D150" s="60">
        <v>13</v>
      </c>
      <c r="E150" s="51">
        <v>0.25</v>
      </c>
      <c r="F150" s="51">
        <v>0.25</v>
      </c>
      <c r="G150" s="51">
        <v>0.25</v>
      </c>
      <c r="H150" s="51">
        <v>0.25</v>
      </c>
      <c r="I150" s="57">
        <f t="shared" si="5"/>
        <v>5.2</v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45">
      <c r="A151" s="50">
        <v>70</v>
      </c>
      <c r="B151" s="60">
        <v>316</v>
      </c>
      <c r="C151" s="50">
        <v>12</v>
      </c>
      <c r="D151" s="60">
        <v>13</v>
      </c>
      <c r="E151" s="51">
        <v>0.25</v>
      </c>
      <c r="F151" s="51">
        <v>0.25</v>
      </c>
      <c r="G151" s="51">
        <v>0.25</v>
      </c>
      <c r="H151" s="51">
        <v>0.25</v>
      </c>
      <c r="I151" s="57">
        <f t="shared" si="5"/>
        <v>4.5999999999999996</v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45">
      <c r="A152" s="50">
        <v>75</v>
      </c>
      <c r="B152" s="60">
        <v>324</v>
      </c>
      <c r="C152" s="50">
        <v>13</v>
      </c>
      <c r="D152" s="60">
        <v>12</v>
      </c>
      <c r="E152" s="54">
        <v>0.25</v>
      </c>
      <c r="F152" s="54">
        <v>0.25</v>
      </c>
      <c r="G152" s="54">
        <v>0.25</v>
      </c>
      <c r="H152" s="54">
        <v>0.25</v>
      </c>
      <c r="I152" s="57">
        <f t="shared" si="5"/>
        <v>4.2</v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45">
      <c r="A153" s="50">
        <v>80</v>
      </c>
      <c r="B153" s="60">
        <v>330</v>
      </c>
      <c r="C153" s="50">
        <v>14</v>
      </c>
      <c r="D153" s="60">
        <v>330</v>
      </c>
      <c r="E153" s="54">
        <v>0.25</v>
      </c>
      <c r="F153" s="54">
        <v>0.25</v>
      </c>
      <c r="G153" s="54">
        <v>0.25</v>
      </c>
      <c r="H153" s="54">
        <v>0.25</v>
      </c>
      <c r="I153" s="57">
        <f t="shared" si="5"/>
        <v>3.6</v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45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4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4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4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4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4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4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4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45">
      <c r="A162" s="46" t="s">
        <v>170</v>
      </c>
      <c r="B162" s="52" t="str">
        <f>IF(B14="","",B14)</f>
        <v>Merisier</v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45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45">
      <c r="A164" s="4"/>
      <c r="B164" s="85" t="s">
        <v>185</v>
      </c>
      <c r="C164" s="259" t="s">
        <v>186</v>
      </c>
      <c r="D164" s="259"/>
      <c r="E164" s="260" t="s">
        <v>187</v>
      </c>
      <c r="F164" s="261"/>
      <c r="G164" s="261"/>
      <c r="H164" s="262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28.5" x14ac:dyDescent="0.45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45">
      <c r="A166" s="50">
        <v>15</v>
      </c>
      <c r="B166" s="60">
        <v>65</v>
      </c>
      <c r="C166" s="60">
        <v>1</v>
      </c>
      <c r="D166" s="60">
        <v>32</v>
      </c>
      <c r="E166" s="51">
        <v>0</v>
      </c>
      <c r="F166" s="51">
        <v>0.25</v>
      </c>
      <c r="G166" s="51">
        <v>0.25</v>
      </c>
      <c r="H166" s="51">
        <v>0.5</v>
      </c>
      <c r="I166" s="49">
        <f>IFERROR(B166/A166,"")</f>
        <v>4.333333333333333</v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45">
      <c r="A167" s="50">
        <v>20</v>
      </c>
      <c r="B167" s="60">
        <v>102</v>
      </c>
      <c r="C167" s="60">
        <v>2</v>
      </c>
      <c r="D167" s="60">
        <v>35</v>
      </c>
      <c r="E167" s="51">
        <v>0</v>
      </c>
      <c r="F167" s="51">
        <v>0.25</v>
      </c>
      <c r="G167" s="51">
        <v>0.25</v>
      </c>
      <c r="H167" s="51">
        <v>0.5</v>
      </c>
      <c r="I167" s="49">
        <f t="shared" ref="I167:I185" si="6">IF(A167&lt;&gt;0,(B167-(B166-D166))/(A167-A166),"")</f>
        <v>13.8</v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45">
      <c r="A168" s="50">
        <v>25</v>
      </c>
      <c r="B168" s="60">
        <v>141</v>
      </c>
      <c r="C168" s="60">
        <v>3</v>
      </c>
      <c r="D168" s="60">
        <v>35</v>
      </c>
      <c r="E168" s="51">
        <v>0</v>
      </c>
      <c r="F168" s="51">
        <v>0.25</v>
      </c>
      <c r="G168" s="51">
        <v>0.25</v>
      </c>
      <c r="H168" s="51">
        <v>0.5</v>
      </c>
      <c r="I168" s="49">
        <f t="shared" si="6"/>
        <v>14.8</v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45">
      <c r="A169" s="50">
        <v>30</v>
      </c>
      <c r="B169" s="60">
        <v>177</v>
      </c>
      <c r="C169" s="60">
        <v>4</v>
      </c>
      <c r="D169" s="60">
        <v>35</v>
      </c>
      <c r="E169" s="51">
        <v>0.25</v>
      </c>
      <c r="F169" s="51">
        <v>0.25</v>
      </c>
      <c r="G169" s="51">
        <v>0.25</v>
      </c>
      <c r="H169" s="51">
        <v>0.25</v>
      </c>
      <c r="I169" s="49">
        <f t="shared" si="6"/>
        <v>14.2</v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45">
      <c r="A170" s="50">
        <v>35</v>
      </c>
      <c r="B170" s="60">
        <v>206</v>
      </c>
      <c r="C170" s="60">
        <v>5</v>
      </c>
      <c r="D170" s="60">
        <v>35</v>
      </c>
      <c r="E170" s="51">
        <v>0.25</v>
      </c>
      <c r="F170" s="51">
        <v>0.25</v>
      </c>
      <c r="G170" s="51">
        <v>0.25</v>
      </c>
      <c r="H170" s="51">
        <v>0.25</v>
      </c>
      <c r="I170" s="49">
        <f t="shared" si="6"/>
        <v>12.8</v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45">
      <c r="A171" s="50">
        <v>40</v>
      </c>
      <c r="B171" s="60">
        <v>228</v>
      </c>
      <c r="C171" s="60">
        <v>6</v>
      </c>
      <c r="D171" s="60">
        <v>35</v>
      </c>
      <c r="E171" s="51">
        <v>0.25</v>
      </c>
      <c r="F171" s="51">
        <v>0.25</v>
      </c>
      <c r="G171" s="51">
        <v>0.25</v>
      </c>
      <c r="H171" s="51">
        <v>0.25</v>
      </c>
      <c r="I171" s="49">
        <f t="shared" si="6"/>
        <v>11.4</v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45">
      <c r="A172" s="50">
        <v>45</v>
      </c>
      <c r="B172" s="60">
        <v>242</v>
      </c>
      <c r="C172" s="60">
        <v>7</v>
      </c>
      <c r="D172" s="60">
        <v>24</v>
      </c>
      <c r="E172" s="51">
        <v>0.25</v>
      </c>
      <c r="F172" s="51">
        <v>0.25</v>
      </c>
      <c r="G172" s="51">
        <v>0.25</v>
      </c>
      <c r="H172" s="51">
        <v>0.25</v>
      </c>
      <c r="I172" s="49">
        <f t="shared" si="6"/>
        <v>9.8000000000000007</v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45">
      <c r="A173" s="50">
        <v>50</v>
      </c>
      <c r="B173" s="50">
        <v>261</v>
      </c>
      <c r="C173" s="50">
        <v>8</v>
      </c>
      <c r="D173" s="50">
        <v>19</v>
      </c>
      <c r="E173" s="51">
        <v>0.25</v>
      </c>
      <c r="F173" s="51">
        <v>0.25</v>
      </c>
      <c r="G173" s="51">
        <v>0.25</v>
      </c>
      <c r="H173" s="51">
        <v>0.25</v>
      </c>
      <c r="I173" s="49">
        <f t="shared" si="6"/>
        <v>8.6</v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45">
      <c r="A174" s="50">
        <v>55</v>
      </c>
      <c r="B174" s="50">
        <v>279</v>
      </c>
      <c r="C174" s="50">
        <v>9</v>
      </c>
      <c r="D174" s="50">
        <v>16</v>
      </c>
      <c r="E174" s="51">
        <v>0.25</v>
      </c>
      <c r="F174" s="51">
        <v>0.25</v>
      </c>
      <c r="G174" s="51">
        <v>0.25</v>
      </c>
      <c r="H174" s="51">
        <v>0.25</v>
      </c>
      <c r="I174" s="49">
        <f t="shared" si="6"/>
        <v>7.4</v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45">
      <c r="A175" s="50">
        <v>60</v>
      </c>
      <c r="B175" s="50">
        <v>294</v>
      </c>
      <c r="C175" s="50">
        <v>10</v>
      </c>
      <c r="D175" s="50">
        <v>14</v>
      </c>
      <c r="E175" s="51">
        <v>0.25</v>
      </c>
      <c r="F175" s="51">
        <v>0.25</v>
      </c>
      <c r="G175" s="51">
        <v>0.25</v>
      </c>
      <c r="H175" s="51">
        <v>0.25</v>
      </c>
      <c r="I175" s="49">
        <f t="shared" si="6"/>
        <v>6.2</v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45">
      <c r="A176" s="50">
        <v>65</v>
      </c>
      <c r="B176" s="50">
        <v>306</v>
      </c>
      <c r="C176" s="50">
        <v>11</v>
      </c>
      <c r="D176" s="50">
        <v>13</v>
      </c>
      <c r="E176" s="51">
        <v>0.25</v>
      </c>
      <c r="F176" s="51">
        <v>0.25</v>
      </c>
      <c r="G176" s="51">
        <v>0.25</v>
      </c>
      <c r="H176" s="51">
        <v>0.25</v>
      </c>
      <c r="I176" s="49">
        <f t="shared" si="6"/>
        <v>5.2</v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45">
      <c r="A177" s="50">
        <v>70</v>
      </c>
      <c r="B177" s="50">
        <v>316</v>
      </c>
      <c r="C177" s="50">
        <v>12</v>
      </c>
      <c r="D177" s="50">
        <v>13</v>
      </c>
      <c r="E177" s="51">
        <v>0.25</v>
      </c>
      <c r="F177" s="51">
        <v>0.25</v>
      </c>
      <c r="G177" s="51">
        <v>0.25</v>
      </c>
      <c r="H177" s="51">
        <v>0.25</v>
      </c>
      <c r="I177" s="49">
        <f t="shared" si="6"/>
        <v>4.5999999999999996</v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45">
      <c r="A178" s="50">
        <v>75</v>
      </c>
      <c r="B178" s="50">
        <v>324</v>
      </c>
      <c r="C178" s="50">
        <v>13</v>
      </c>
      <c r="D178" s="50">
        <v>12</v>
      </c>
      <c r="E178" s="51">
        <v>0.25</v>
      </c>
      <c r="F178" s="51">
        <v>0.25</v>
      </c>
      <c r="G178" s="51">
        <v>0.25</v>
      </c>
      <c r="H178" s="51">
        <v>0.25</v>
      </c>
      <c r="I178" s="49">
        <f t="shared" si="6"/>
        <v>4.2</v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45">
      <c r="A179" s="50">
        <v>80</v>
      </c>
      <c r="B179" s="50">
        <v>330</v>
      </c>
      <c r="C179" s="50">
        <v>14</v>
      </c>
      <c r="D179" s="50">
        <v>330</v>
      </c>
      <c r="E179" s="51">
        <v>0.25</v>
      </c>
      <c r="F179" s="51">
        <v>0.25</v>
      </c>
      <c r="G179" s="51">
        <v>0.25</v>
      </c>
      <c r="H179" s="51">
        <v>0.25</v>
      </c>
      <c r="I179" s="49">
        <f t="shared" si="6"/>
        <v>3.6</v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4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4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4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4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4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4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4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4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45">
      <c r="A188" s="46" t="s">
        <v>171</v>
      </c>
      <c r="B188" s="52" t="str">
        <f>IF(B15="","",B15)</f>
        <v/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45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45">
      <c r="A190" s="4"/>
      <c r="B190" s="85" t="s">
        <v>185</v>
      </c>
      <c r="C190" s="259" t="s">
        <v>186</v>
      </c>
      <c r="D190" s="259"/>
      <c r="E190" s="260" t="s">
        <v>187</v>
      </c>
      <c r="F190" s="261"/>
      <c r="G190" s="261"/>
      <c r="H190" s="262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28.5" x14ac:dyDescent="0.45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45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45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45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45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45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45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45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45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45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45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45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4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4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4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4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4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4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4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4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4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4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4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45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45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45">
      <c r="A216" s="4"/>
      <c r="B216" s="85" t="s">
        <v>185</v>
      </c>
      <c r="C216" s="259" t="s">
        <v>186</v>
      </c>
      <c r="D216" s="259"/>
      <c r="E216" s="260" t="s">
        <v>187</v>
      </c>
      <c r="F216" s="261"/>
      <c r="G216" s="261"/>
      <c r="H216" s="262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28.5" x14ac:dyDescent="0.45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45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45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45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45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45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45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45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45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45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45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45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4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4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45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4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4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4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4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4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4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4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4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45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45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45">
      <c r="A242" s="4"/>
      <c r="B242" s="85" t="s">
        <v>185</v>
      </c>
      <c r="C242" s="259" t="s">
        <v>186</v>
      </c>
      <c r="D242" s="259"/>
      <c r="E242" s="260" t="s">
        <v>187</v>
      </c>
      <c r="F242" s="261"/>
      <c r="G242" s="261"/>
      <c r="H242" s="262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28.5" x14ac:dyDescent="0.45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45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45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45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45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45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45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45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4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4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4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4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4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4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45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4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4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4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4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4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4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4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4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45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45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45">
      <c r="A268" s="4"/>
      <c r="B268" s="85" t="s">
        <v>185</v>
      </c>
      <c r="C268" s="259" t="s">
        <v>186</v>
      </c>
      <c r="D268" s="259"/>
      <c r="E268" s="260" t="s">
        <v>187</v>
      </c>
      <c r="F268" s="261"/>
      <c r="G268" s="261"/>
      <c r="H268" s="262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28.5" x14ac:dyDescent="0.45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4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4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4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4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4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4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4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4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4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4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4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4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4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45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4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4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4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4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4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4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4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4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4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4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4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4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4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4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4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4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4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4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4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4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4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4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4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4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4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4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4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4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4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4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4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4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4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4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4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4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4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4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4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4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4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4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4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4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4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4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4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4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4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4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4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4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4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4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4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4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4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4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4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4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4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4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4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4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4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4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4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4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4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4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4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4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4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4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4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4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4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4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4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4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4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4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4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4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4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4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4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4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4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4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4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4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4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4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4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4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4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4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4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4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4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4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4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4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4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4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4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4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4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4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4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4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4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4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4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4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4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4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4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4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4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4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4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4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4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4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4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4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4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4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4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4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4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4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4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4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4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4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4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4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4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4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4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4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B3" zoomScaleNormal="100" workbookViewId="0">
      <selection activeCell="F20" sqref="F20"/>
    </sheetView>
  </sheetViews>
  <sheetFormatPr baseColWidth="10" defaultColWidth="11.46484375" defaultRowHeight="14.25" x14ac:dyDescent="0.45"/>
  <cols>
    <col min="1" max="1" width="5.9296875" style="1" customWidth="1"/>
    <col min="2" max="2" width="14.06640625" style="1" customWidth="1"/>
    <col min="3" max="3" width="62.0664062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6484375" style="1"/>
    <col min="11" max="11" width="12.53125" style="1" customWidth="1"/>
    <col min="12" max="16384" width="11.46484375" style="1"/>
  </cols>
  <sheetData>
    <row r="1" spans="1:38" ht="14.65" thickBot="1" x14ac:dyDescent="0.5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5.9" thickBot="1" x14ac:dyDescent="0.8">
      <c r="A2" s="4"/>
      <c r="B2" s="272" t="s">
        <v>191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4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45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45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45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45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45">
      <c r="A8" s="105">
        <v>1</v>
      </c>
      <c r="B8" s="61">
        <v>1</v>
      </c>
      <c r="C8" s="49" t="s">
        <v>177</v>
      </c>
      <c r="D8" s="23"/>
      <c r="E8" s="105">
        <v>4</v>
      </c>
      <c r="F8" s="61">
        <v>0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45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45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0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45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4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45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45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45">
      <c r="A15" s="23"/>
      <c r="B15" s="26" t="s">
        <v>295</v>
      </c>
      <c r="C15" s="4"/>
      <c r="D15" s="23"/>
      <c r="E15" s="4"/>
      <c r="F15" s="4"/>
      <c r="G15" s="2" t="s">
        <v>148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45">
      <c r="A16" s="23"/>
      <c r="B16" s="61">
        <v>1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45">
      <c r="A17" s="23"/>
      <c r="B17" s="61">
        <v>0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45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45">
      <c r="A19" s="23"/>
      <c r="B19" s="106">
        <f>SUM(B16:B18)</f>
        <v>1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4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4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4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4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4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4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4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4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4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4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4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4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4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4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4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4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4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4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4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4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4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4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4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4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4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4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4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4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4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4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4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4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4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4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4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4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4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4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4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4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4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4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4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4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4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4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4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4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4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4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4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4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4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4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4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4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4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4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4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4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4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4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4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4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4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4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4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4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4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4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4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4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4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4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4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4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4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4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4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4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4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4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4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4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45">
      <c r="C104" s="4"/>
      <c r="F104" s="4"/>
    </row>
    <row r="105" spans="3:35" x14ac:dyDescent="0.45">
      <c r="C105" s="4"/>
      <c r="F105" s="4"/>
    </row>
    <row r="106" spans="3:35" x14ac:dyDescent="0.45">
      <c r="C106" s="4"/>
      <c r="F106" s="4"/>
    </row>
    <row r="107" spans="3:35" x14ac:dyDescent="0.45">
      <c r="C107" s="4"/>
      <c r="F107" s="4"/>
    </row>
    <row r="108" spans="3:35" x14ac:dyDescent="0.45">
      <c r="C108" s="4"/>
      <c r="F108" s="4"/>
    </row>
    <row r="109" spans="3:35" x14ac:dyDescent="0.45">
      <c r="C109" s="4"/>
      <c r="F109" s="4"/>
    </row>
    <row r="110" spans="3:35" x14ac:dyDescent="0.45">
      <c r="C110" s="4"/>
      <c r="F110" s="4"/>
    </row>
    <row r="111" spans="3:35" x14ac:dyDescent="0.45">
      <c r="C111" s="4"/>
      <c r="F111" s="4"/>
    </row>
    <row r="112" spans="3:35" x14ac:dyDescent="0.45">
      <c r="C112" s="4"/>
      <c r="F112" s="4"/>
    </row>
    <row r="113" spans="3:6" x14ac:dyDescent="0.45">
      <c r="C113" s="4"/>
      <c r="F113" s="4"/>
    </row>
    <row r="114" spans="3:6" x14ac:dyDescent="0.45">
      <c r="C114" s="4"/>
      <c r="F114" s="4"/>
    </row>
    <row r="115" spans="3:6" x14ac:dyDescent="0.45">
      <c r="C115" s="4"/>
      <c r="F115" s="4"/>
    </row>
    <row r="116" spans="3:6" x14ac:dyDescent="0.45">
      <c r="C116" s="4"/>
      <c r="F116" s="4"/>
    </row>
    <row r="117" spans="3:6" x14ac:dyDescent="0.45">
      <c r="C117" s="4"/>
      <c r="F117" s="4"/>
    </row>
    <row r="118" spans="3:6" x14ac:dyDescent="0.45">
      <c r="C118" s="4"/>
      <c r="F118" s="4"/>
    </row>
    <row r="119" spans="3:6" x14ac:dyDescent="0.45">
      <c r="C119" s="4"/>
      <c r="F119" s="4"/>
    </row>
    <row r="120" spans="3:6" x14ac:dyDescent="0.45">
      <c r="C120" s="4"/>
      <c r="F120" s="4"/>
    </row>
    <row r="121" spans="3:6" x14ac:dyDescent="0.45">
      <c r="C121" s="4"/>
      <c r="F121" s="4"/>
    </row>
    <row r="122" spans="3:6" x14ac:dyDescent="0.45">
      <c r="C122" s="4"/>
      <c r="F122" s="4"/>
    </row>
    <row r="123" spans="3:6" x14ac:dyDescent="0.45">
      <c r="C123" s="4"/>
      <c r="F123" s="4"/>
    </row>
    <row r="124" spans="3:6" x14ac:dyDescent="0.45">
      <c r="C124" s="4"/>
      <c r="F124" s="4"/>
    </row>
    <row r="125" spans="3:6" x14ac:dyDescent="0.45">
      <c r="C125" s="4"/>
      <c r="F125" s="4"/>
    </row>
    <row r="126" spans="3:6" x14ac:dyDescent="0.45">
      <c r="C126" s="4"/>
      <c r="F126" s="4"/>
    </row>
    <row r="127" spans="3:6" x14ac:dyDescent="0.45">
      <c r="C127" s="4"/>
      <c r="F127" s="4"/>
    </row>
    <row r="128" spans="3:6" x14ac:dyDescent="0.45">
      <c r="C128" s="4"/>
      <c r="F128" s="4"/>
    </row>
    <row r="129" spans="3:6" x14ac:dyDescent="0.45">
      <c r="C129" s="4"/>
      <c r="F129" s="4"/>
    </row>
    <row r="130" spans="3:6" x14ac:dyDescent="0.45">
      <c r="C130" s="4"/>
      <c r="F130" s="4"/>
    </row>
    <row r="131" spans="3:6" x14ac:dyDescent="0.45">
      <c r="C131" s="4"/>
      <c r="F131" s="4"/>
    </row>
    <row r="132" spans="3:6" x14ac:dyDescent="0.45">
      <c r="F132" s="4"/>
    </row>
    <row r="133" spans="3:6" x14ac:dyDescent="0.45">
      <c r="F133" s="4"/>
    </row>
    <row r="134" spans="3:6" x14ac:dyDescent="0.45">
      <c r="F134" s="4"/>
    </row>
    <row r="135" spans="3:6" x14ac:dyDescent="0.45">
      <c r="F135" s="4"/>
    </row>
    <row r="136" spans="3:6" x14ac:dyDescent="0.45">
      <c r="F136" s="4"/>
    </row>
    <row r="137" spans="3:6" x14ac:dyDescent="0.45">
      <c r="F137" s="4"/>
    </row>
    <row r="138" spans="3:6" x14ac:dyDescent="0.45">
      <c r="F138" s="4"/>
    </row>
    <row r="139" spans="3:6" x14ac:dyDescent="0.45">
      <c r="F139" s="4"/>
    </row>
    <row r="140" spans="3:6" x14ac:dyDescent="0.45">
      <c r="F140" s="4"/>
    </row>
    <row r="141" spans="3:6" x14ac:dyDescent="0.45">
      <c r="F141" s="4"/>
    </row>
    <row r="142" spans="3:6" x14ac:dyDescent="0.45">
      <c r="F142" s="4"/>
    </row>
    <row r="143" spans="3:6" x14ac:dyDescent="0.45">
      <c r="F143" s="4"/>
    </row>
    <row r="144" spans="3:6" x14ac:dyDescent="0.45">
      <c r="F144" s="4"/>
    </row>
    <row r="145" spans="6:6" x14ac:dyDescent="0.45">
      <c r="F145" s="4"/>
    </row>
    <row r="146" spans="6:6" x14ac:dyDescent="0.45">
      <c r="F146" s="4"/>
    </row>
    <row r="147" spans="6:6" x14ac:dyDescent="0.45">
      <c r="F147" s="4"/>
    </row>
    <row r="148" spans="6:6" x14ac:dyDescent="0.45">
      <c r="F148" s="4"/>
    </row>
    <row r="149" spans="6:6" x14ac:dyDescent="0.45">
      <c r="F149" s="4"/>
    </row>
    <row r="150" spans="6:6" x14ac:dyDescent="0.45">
      <c r="F150" s="4"/>
    </row>
    <row r="151" spans="6:6" x14ac:dyDescent="0.45">
      <c r="F151" s="4"/>
    </row>
    <row r="152" spans="6:6" x14ac:dyDescent="0.45">
      <c r="F152" s="4"/>
    </row>
    <row r="153" spans="6:6" x14ac:dyDescent="0.45">
      <c r="F153" s="4"/>
    </row>
    <row r="154" spans="6:6" x14ac:dyDescent="0.45">
      <c r="F154" s="4"/>
    </row>
    <row r="155" spans="6:6" x14ac:dyDescent="0.45">
      <c r="F155" s="4"/>
    </row>
    <row r="156" spans="6:6" x14ac:dyDescent="0.45">
      <c r="F156" s="4"/>
    </row>
    <row r="157" spans="6:6" x14ac:dyDescent="0.45">
      <c r="F157" s="4"/>
    </row>
    <row r="158" spans="6:6" x14ac:dyDescent="0.45">
      <c r="F158" s="4"/>
    </row>
    <row r="159" spans="6:6" x14ac:dyDescent="0.45">
      <c r="F159" s="4"/>
    </row>
    <row r="160" spans="6:6" x14ac:dyDescent="0.45">
      <c r="F160" s="4"/>
    </row>
    <row r="161" spans="6:6" x14ac:dyDescent="0.45">
      <c r="F161" s="4"/>
    </row>
    <row r="162" spans="6:6" x14ac:dyDescent="0.45">
      <c r="F162" s="4"/>
    </row>
    <row r="163" spans="6:6" x14ac:dyDescent="0.4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6484375" defaultRowHeight="14.25" x14ac:dyDescent="0.45"/>
  <cols>
    <col min="1" max="1" width="6.9296875" style="4" bestFit="1" customWidth="1"/>
    <col min="2" max="4" width="11.46484375" style="4"/>
    <col min="5" max="5" width="9.53125" style="4" customWidth="1"/>
    <col min="6" max="7" width="11.46484375" style="4"/>
    <col min="8" max="8" width="10.59765625" style="4" customWidth="1"/>
    <col min="9" max="9" width="9.46484375" style="4" customWidth="1"/>
    <col min="10" max="11" width="10.53125" style="4" bestFit="1" customWidth="1"/>
    <col min="12" max="12" width="14" style="4" bestFit="1" customWidth="1"/>
    <col min="13" max="13" width="14" style="4" customWidth="1"/>
    <col min="14" max="23" width="11.46484375" style="4"/>
    <col min="24" max="24" width="11.59765625" style="4" bestFit="1" customWidth="1"/>
    <col min="25" max="25" width="14.53125" style="4" bestFit="1" customWidth="1"/>
    <col min="26" max="26" width="12.46484375" style="4" bestFit="1" customWidth="1"/>
    <col min="27" max="27" width="9.59765625" style="4" bestFit="1" customWidth="1"/>
    <col min="28" max="28" width="11" style="4" bestFit="1" customWidth="1"/>
    <col min="29" max="29" width="9.46484375" style="4" bestFit="1" customWidth="1"/>
    <col min="30" max="31" width="9.46484375" style="4" customWidth="1"/>
    <col min="32" max="32" width="11.46484375" style="4"/>
    <col min="33" max="34" width="14" style="4" bestFit="1" customWidth="1"/>
    <col min="35" max="35" width="10.53125" style="4" bestFit="1" customWidth="1"/>
    <col min="36" max="36" width="9.46484375" style="4" bestFit="1" customWidth="1"/>
    <col min="37" max="38" width="10.53125" style="4" bestFit="1" customWidth="1"/>
    <col min="39" max="41" width="10.53125" style="4" customWidth="1"/>
    <col min="42" max="42" width="9" style="4" bestFit="1" customWidth="1"/>
    <col min="43" max="43" width="10.53125" style="4" bestFit="1" customWidth="1"/>
    <col min="44" max="44" width="9.33203125" style="4" bestFit="1" customWidth="1"/>
    <col min="45" max="45" width="11.59765625" style="4" bestFit="1" customWidth="1"/>
    <col min="46" max="46" width="8.46484375" style="4" bestFit="1" customWidth="1"/>
    <col min="47" max="47" width="9.46484375" style="4" bestFit="1" customWidth="1"/>
    <col min="48" max="48" width="9.59765625" style="4" bestFit="1" customWidth="1"/>
    <col min="49" max="49" width="11" style="4" bestFit="1" customWidth="1"/>
    <col min="50" max="50" width="9.46484375" style="4" bestFit="1" customWidth="1"/>
    <col min="51" max="52" width="9.46484375" style="4" customWidth="1"/>
    <col min="53" max="53" width="10.53125" style="4" bestFit="1" customWidth="1"/>
    <col min="54" max="54" width="14.33203125" style="4" customWidth="1"/>
    <col min="55" max="55" width="14" style="4" customWidth="1"/>
    <col min="56" max="56" width="10.53125" style="4" bestFit="1" customWidth="1"/>
    <col min="57" max="57" width="9.46484375" style="4" bestFit="1" customWidth="1"/>
    <col min="58" max="59" width="10.53125" style="4" bestFit="1" customWidth="1"/>
    <col min="60" max="62" width="10.53125" style="4" customWidth="1"/>
    <col min="63" max="63" width="9" style="4" bestFit="1" customWidth="1"/>
    <col min="64" max="64" width="10.53125" style="4" bestFit="1" customWidth="1"/>
    <col min="65" max="65" width="9.33203125" style="4" bestFit="1" customWidth="1"/>
    <col min="66" max="66" width="11.59765625" style="4" bestFit="1" customWidth="1"/>
    <col min="67" max="67" width="8.46484375" style="4" bestFit="1" customWidth="1"/>
    <col min="68" max="68" width="9.46484375" style="4" bestFit="1" customWidth="1"/>
    <col min="69" max="69" width="9.59765625" style="4" bestFit="1" customWidth="1"/>
    <col min="70" max="70" width="11" style="4" bestFit="1" customWidth="1"/>
    <col min="71" max="71" width="9.46484375" style="4" bestFit="1" customWidth="1"/>
    <col min="72" max="73" width="9.46484375" style="4" customWidth="1"/>
    <col min="74" max="74" width="10.53125" style="4" bestFit="1" customWidth="1"/>
    <col min="75" max="75" width="14" style="4" bestFit="1" customWidth="1"/>
    <col min="76" max="76" width="13.9296875" style="4" customWidth="1"/>
    <col min="77" max="77" width="10.53125" style="4" bestFit="1" customWidth="1"/>
    <col min="78" max="78" width="9.46484375" style="4" bestFit="1" customWidth="1"/>
    <col min="79" max="80" width="10.53125" style="4" bestFit="1" customWidth="1"/>
    <col min="81" max="83" width="10.53125" style="4" customWidth="1"/>
    <col min="84" max="84" width="11.46484375" style="4"/>
    <col min="85" max="85" width="10.53125" style="4" bestFit="1" customWidth="1"/>
    <col min="86" max="86" width="9.33203125" style="4" bestFit="1" customWidth="1"/>
    <col min="87" max="87" width="11.59765625" style="4" bestFit="1" customWidth="1"/>
    <col min="88" max="88" width="8.46484375" style="4" bestFit="1" customWidth="1"/>
    <col min="89" max="89" width="9.46484375" style="4" bestFit="1" customWidth="1"/>
    <col min="90" max="90" width="9.59765625" style="4" bestFit="1" customWidth="1"/>
    <col min="91" max="91" width="11" style="4" bestFit="1" customWidth="1"/>
    <col min="92" max="92" width="9.46484375" style="4" bestFit="1" customWidth="1"/>
    <col min="93" max="94" width="9.46484375" style="4" customWidth="1"/>
    <col min="95" max="95" width="11.46484375" style="4"/>
    <col min="96" max="97" width="14" style="4" customWidth="1"/>
    <col min="98" max="98" width="10.53125" style="4" bestFit="1" customWidth="1"/>
    <col min="99" max="99" width="9.46484375" style="4" bestFit="1" customWidth="1"/>
    <col min="100" max="101" width="10.53125" style="4" bestFit="1" customWidth="1"/>
    <col min="102" max="104" width="10.53125" style="4" customWidth="1"/>
    <col min="105" max="105" width="9" style="4" bestFit="1" customWidth="1"/>
    <col min="106" max="106" width="10.53125" style="4" bestFit="1" customWidth="1"/>
    <col min="107" max="107" width="9.33203125" style="4" bestFit="1" customWidth="1"/>
    <col min="108" max="108" width="11.59765625" style="4" bestFit="1" customWidth="1"/>
    <col min="109" max="109" width="8.46484375" style="4" bestFit="1" customWidth="1"/>
    <col min="110" max="110" width="9.46484375" style="4" bestFit="1" customWidth="1"/>
    <col min="111" max="111" width="9.59765625" style="4" bestFit="1" customWidth="1"/>
    <col min="112" max="112" width="11" style="4" bestFit="1" customWidth="1"/>
    <col min="113" max="113" width="9.46484375" style="4" bestFit="1" customWidth="1"/>
    <col min="114" max="115" width="9.46484375" style="4" customWidth="1"/>
    <col min="116" max="116" width="10.53125" style="4" bestFit="1" customWidth="1"/>
    <col min="117" max="117" width="14.33203125" style="4" customWidth="1"/>
    <col min="118" max="118" width="14" style="4" bestFit="1" customWidth="1"/>
    <col min="119" max="119" width="10.53125" style="4" bestFit="1" customWidth="1"/>
    <col min="120" max="120" width="9.46484375" style="4" bestFit="1" customWidth="1"/>
    <col min="121" max="122" width="10.53125" style="4" bestFit="1" customWidth="1"/>
    <col min="123" max="125" width="10.53125" style="4" customWidth="1"/>
    <col min="126" max="126" width="9" style="4" bestFit="1" customWidth="1"/>
    <col min="127" max="127" width="10.53125" style="4" bestFit="1" customWidth="1"/>
    <col min="128" max="128" width="9.33203125" style="4" bestFit="1" customWidth="1"/>
    <col min="129" max="129" width="11.59765625" style="4" bestFit="1" customWidth="1"/>
    <col min="130" max="130" width="8.46484375" style="4" bestFit="1" customWidth="1"/>
    <col min="131" max="131" width="9.46484375" style="4" bestFit="1" customWidth="1"/>
    <col min="132" max="132" width="9.59765625" style="4" bestFit="1" customWidth="1"/>
    <col min="133" max="133" width="11" style="4" bestFit="1" customWidth="1"/>
    <col min="134" max="134" width="9.46484375" style="4" bestFit="1" customWidth="1"/>
    <col min="135" max="136" width="9.46484375" style="4" customWidth="1"/>
    <col min="137" max="137" width="10.53125" style="4" bestFit="1" customWidth="1"/>
    <col min="138" max="139" width="14" style="4" customWidth="1"/>
    <col min="140" max="140" width="10.53125" style="4" bestFit="1" customWidth="1"/>
    <col min="141" max="141" width="9.46484375" style="4" bestFit="1" customWidth="1"/>
    <col min="142" max="143" width="10.53125" style="4" bestFit="1" customWidth="1"/>
    <col min="144" max="146" width="10.53125" style="4" customWidth="1"/>
    <col min="147" max="147" width="9" style="4" bestFit="1" customWidth="1"/>
    <col min="148" max="148" width="10.53125" style="4" bestFit="1" customWidth="1"/>
    <col min="149" max="149" width="9.33203125" style="4" bestFit="1" customWidth="1"/>
    <col min="150" max="150" width="11.59765625" style="4" bestFit="1" customWidth="1"/>
    <col min="151" max="151" width="8.46484375" style="4" bestFit="1" customWidth="1"/>
    <col min="152" max="152" width="9.46484375" style="4" bestFit="1" customWidth="1"/>
    <col min="153" max="153" width="9.59765625" style="4" bestFit="1" customWidth="1"/>
    <col min="154" max="154" width="11" style="4" bestFit="1" customWidth="1"/>
    <col min="155" max="155" width="9.46484375" style="4" bestFit="1" customWidth="1"/>
    <col min="156" max="157" width="9.46484375" style="4" customWidth="1"/>
    <col min="158" max="158" width="11.46484375" style="4"/>
    <col min="159" max="160" width="14" style="4" bestFit="1" customWidth="1"/>
    <col min="161" max="161" width="10.53125" style="4" bestFit="1" customWidth="1"/>
    <col min="162" max="162" width="9.46484375" style="4" bestFit="1" customWidth="1"/>
    <col min="163" max="164" width="10.53125" style="4" bestFit="1" customWidth="1"/>
    <col min="165" max="167" width="10.53125" style="4" customWidth="1"/>
    <col min="168" max="168" width="9" style="4" bestFit="1" customWidth="1"/>
    <col min="169" max="169" width="10.53125" style="4" bestFit="1" customWidth="1"/>
    <col min="170" max="170" width="9.33203125" style="4" bestFit="1" customWidth="1"/>
    <col min="171" max="171" width="11.59765625" style="4" bestFit="1" customWidth="1"/>
    <col min="172" max="172" width="8.06640625" style="4" bestFit="1" customWidth="1"/>
    <col min="173" max="173" width="9.46484375" style="4" bestFit="1" customWidth="1"/>
    <col min="174" max="174" width="9.59765625" style="4" bestFit="1" customWidth="1"/>
    <col min="175" max="175" width="11" style="4" bestFit="1" customWidth="1"/>
    <col min="176" max="176" width="9.46484375" style="4" bestFit="1" customWidth="1"/>
    <col min="177" max="178" width="9.46484375" style="4" customWidth="1"/>
    <col min="179" max="179" width="10.53125" style="4" bestFit="1" customWidth="1"/>
    <col min="180" max="181" width="14" style="4" bestFit="1" customWidth="1"/>
    <col min="182" max="182" width="10.53125" style="4" bestFit="1" customWidth="1"/>
    <col min="183" max="183" width="9.46484375" style="4" bestFit="1" customWidth="1"/>
    <col min="184" max="185" width="10.53125" style="4" bestFit="1" customWidth="1"/>
    <col min="186" max="188" width="10.53125" style="4" customWidth="1"/>
    <col min="189" max="189" width="9" style="4" bestFit="1" customWidth="1"/>
    <col min="190" max="190" width="10.53125" style="4" bestFit="1" customWidth="1"/>
    <col min="191" max="191" width="9.33203125" style="4" bestFit="1" customWidth="1"/>
    <col min="192" max="192" width="11.46484375" style="4"/>
    <col min="193" max="193" width="8.46484375" style="4" bestFit="1" customWidth="1"/>
    <col min="194" max="194" width="9.46484375" style="4" bestFit="1" customWidth="1"/>
    <col min="195" max="195" width="9.59765625" style="4" bestFit="1" customWidth="1"/>
    <col min="196" max="196" width="11" style="4" bestFit="1" customWidth="1"/>
    <col min="197" max="197" width="9.46484375" style="4" bestFit="1" customWidth="1"/>
    <col min="198" max="199" width="9.46484375" style="4" customWidth="1"/>
    <col min="200" max="200" width="10.53125" style="4" bestFit="1" customWidth="1"/>
    <col min="201" max="201" width="14" style="4" customWidth="1"/>
    <col min="202" max="202" width="14.33203125" style="4" customWidth="1"/>
    <col min="203" max="203" width="10.53125" style="4" bestFit="1" customWidth="1"/>
    <col min="204" max="204" width="9.46484375" style="4" bestFit="1" customWidth="1"/>
    <col min="205" max="206" width="10.53125" style="4" bestFit="1" customWidth="1"/>
    <col min="207" max="209" width="10.53125" style="4" customWidth="1"/>
    <col min="210" max="210" width="9" style="4" bestFit="1" customWidth="1"/>
    <col min="211" max="211" width="10.53125" style="4" bestFit="1" customWidth="1"/>
    <col min="212" max="212" width="9.33203125" style="4" bestFit="1" customWidth="1"/>
    <col min="213" max="213" width="11.59765625" style="4" bestFit="1" customWidth="1"/>
    <col min="214" max="214" width="8.46484375" style="4" bestFit="1" customWidth="1"/>
    <col min="215" max="215" width="9.46484375" style="4" bestFit="1" customWidth="1"/>
    <col min="216" max="216" width="9.59765625" style="4" bestFit="1" customWidth="1"/>
    <col min="217" max="217" width="11" style="4" bestFit="1" customWidth="1"/>
    <col min="218" max="218" width="9.46484375" style="4" bestFit="1" customWidth="1"/>
    <col min="219" max="16384" width="11.46484375" style="4"/>
  </cols>
  <sheetData>
    <row r="1" spans="1:218" ht="25.9" thickBot="1" x14ac:dyDescent="0.8">
      <c r="B1" s="278" t="s">
        <v>176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Chêne sessile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>Cèdre de l'Atlas</v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>Chêne pubescent</v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>Charme</v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>Erable champêtre</v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>Merisier</v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/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/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/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57.4" thickBot="1" x14ac:dyDescent="0.5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45">
      <c r="A3" s="10">
        <v>0</v>
      </c>
      <c r="B3" s="73">
        <f>'Scénario référence'!$B$16*5+'Scénario référence'!$B$17*0+'Scénario référence'!$B$18*5</f>
        <v>5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18.333333333333332</v>
      </c>
      <c r="H3" s="67">
        <f>(B3+E3+F3)*44/12+(C3+D3)*0.475*44/12</f>
        <v>183.33333333333334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165</v>
      </c>
      <c r="S3" s="59">
        <f ca="1">AVERAGE(OFFSET($R$3,0,0,'Données projet'!$E$9+1,1))-AVERAGE(OFFSET($H$3,0,0,'Données projet'!$E$9+1,1))</f>
        <v>681.47578137804555</v>
      </c>
      <c r="T3" s="59">
        <f>IF('Données projet'!E9&gt;30,$R$33-$H$33,LOOKUP('Données projet'!$E$9,$A$3:$A$203,R3:R203)-LOOKUP('Données projet'!$E$9,$A$3:$A$203,$H$3:$H$203))</f>
        <v>300.88511065995885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165</v>
      </c>
      <c r="AN3" s="59">
        <f ca="1">AVERAGE(OFFSET($AM$3,0,0,'Données projet'!$E$10+1,1))-AVERAGE(OFFSET($H$3,0,0,'Données projet'!$E$10+1,1))</f>
        <v>325.45940224919184</v>
      </c>
      <c r="AO3" s="59">
        <f>IF('Données projet'!E10&gt;30,$AM$33-$H$33,LOOKUP('Données projet'!$E$10,$A$3:$A$203,AM3:AM203)-LOOKUP('Données projet'!$E$10,$A$3:$A$203,$H$3:$H$203))</f>
        <v>256.30046621034876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165</v>
      </c>
      <c r="BI3" s="59">
        <f ca="1">AVERAGE(OFFSET($BH$3,0,0,'Données projet'!$E$11+1,1))-AVERAGE(OFFSET($H$3,0,0,'Données projet'!$E$11+1,1))</f>
        <v>580.02848304986492</v>
      </c>
      <c r="BJ3" s="59">
        <f>IF('Données projet'!E11&gt;30,$BH$33-$H$33,LOOKUP('Données projet'!$E$11,$A$3:$A$203,BH3:BH203)-LOOKUP('Données projet'!$E$11,$A$3:$A$203,$H$3:$H$203))</f>
        <v>281.68891895586728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165</v>
      </c>
      <c r="CD3" s="59">
        <f ca="1">AVERAGE(OFFSET($CC$3,0,0,'Données projet'!$E$12+1,1))-AVERAGE(OFFSET($H$3,0,0,'Données projet'!$E$12+1,1))</f>
        <v>439.15394290667945</v>
      </c>
      <c r="CE3" s="59">
        <f>IF('Données projet'!E12&gt;30,$CC$33-$H$33,LOOKUP('Données projet'!$E$12,$A$3:$A$203,CC3:CC203)-LOOKUP('Données projet'!$E$12,$A$3:$A$203,$H$3:$H$203))</f>
        <v>423.56554025351068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>
        <f>CT3*VLOOKUP('Données projet'!$B$13,Paramètres!$A$1:$I$89,3,0)*VLOOKUP('Données projet'!$B$13,Paramètres!$A$1:$I$89,5,0)</f>
        <v>0</v>
      </c>
      <c r="CV3" s="12">
        <v>0</v>
      </c>
      <c r="CW3" s="14">
        <f>(CU3+CV3)*0.475*44/12</f>
        <v>0</v>
      </c>
      <c r="CX3" s="59">
        <f>CW3+(CO3+CP3)*44/12</f>
        <v>165</v>
      </c>
      <c r="CY3" s="59">
        <f ca="1">AVERAGE(OFFSET($CX$3,0,0,'Données projet'!$E$13+1,1))-AVERAGE(OFFSET($H$3,0,0,'Données projet'!$E$13+1,1))</f>
        <v>408.246209980743</v>
      </c>
      <c r="CZ3" s="59">
        <f>IF('Données projet'!E13&gt;30,$CX$33-$H$33,LOOKUP('Données projet'!$E$13,$A$3:$A$203,CX3:CX203)-LOOKUP('Données projet'!$E$13,$A$3:$A$203,$H$3:$H$203))</f>
        <v>394.10236303013903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>
        <f>DO3*VLOOKUP('Données projet'!$B$14,Paramètres!$A$1:$I$89,3,0)*VLOOKUP('Données projet'!$B$14,Paramètres!$A$1:$I$89,5,0)</f>
        <v>0</v>
      </c>
      <c r="DQ3" s="12">
        <v>0</v>
      </c>
      <c r="DR3" s="14">
        <f>(DP3+DQ3)*0.475*44/12</f>
        <v>0</v>
      </c>
      <c r="DS3" s="59">
        <f>DR3+(DJ3+DK3)*44/12</f>
        <v>165</v>
      </c>
      <c r="DT3" s="59">
        <f ca="1">AVERAGE(OFFSET($DS$3,0,0,'Données projet'!$E$14+1,1))-AVERAGE(OFFSET($H$3,0,0,'Données projet'!$E$14+1,1))</f>
        <v>371.07993287480366</v>
      </c>
      <c r="DU3" s="59">
        <f>IF('Données projet'!E14&gt;30,$DS$33-$H$33,LOOKUP('Données projet'!$E$14,$A$3:$A$203,DS3:DS203)-LOOKUP('Données projet'!$E$14,$A$3:$A$203,$H$3:$H$203))</f>
        <v>358.67120540290637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45">
      <c r="A4" s="10">
        <f>A3+1</f>
        <v>1</v>
      </c>
      <c r="B4" s="73">
        <f>'Scénario référence'!$B$16*5+'Scénario référence'!$B$17*0+'Scénario référence'!$B$18*5</f>
        <v>5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1">
        <f>IFERROR(EXP(-1.0587+0.8836*LN(C4)+0.284),0)</f>
        <v>0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18.333333333333332</v>
      </c>
      <c r="H4" s="67">
        <f t="shared" ref="H4:H67" si="1">(B4+E4+F4)*44/12+(C4+D4)*0.475*44/12</f>
        <v>183.33333333333334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4.0942857142857143</v>
      </c>
      <c r="N4" s="13">
        <f>IF('Données projet'!$A$36&gt;35,N3+M4-V3,IF(A4&lt;'Données projet'!$A$36,$K$205^A4,IF(A4='Données projet'!$A$36,'Données projet'!$B$36,N3+M4-V3)))</f>
        <v>4.0942857142857143</v>
      </c>
      <c r="O4" s="13">
        <f>N4*VLOOKUP('Données projet'!$B$9,Paramètres!$A$1:$I$89,3,0)*VLOOKUP('Données projet'!$B$9,Paramètres!$A$1:$I$89,5,0)</f>
        <v>3.704509714285714</v>
      </c>
      <c r="P4" s="13">
        <f>EXP(-1.0587+0.8836*LN(O4)+0.284)</f>
        <v>1.4658264193249637</v>
      </c>
      <c r="Q4" s="20">
        <f t="shared" ref="Q4:Q34" si="2">(O4+P4)*0.475*44/12</f>
        <v>9.0050020993719304</v>
      </c>
      <c r="R4" s="59">
        <f t="shared" si="0"/>
        <v>176.81743605229576</v>
      </c>
      <c r="S4" s="59">
        <f ca="1">AVERAGE(OFFSET($R$3,0,0,'Données projet'!$E$9+1,1))-AVERAGE(OFFSET($H$3,0,0,'Données projet'!$E$9+1,1))</f>
        <v>681.47578137804555</v>
      </c>
      <c r="T4" s="59">
        <f>$T$3</f>
        <v>300.88511065995885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6.4429411764705877</v>
      </c>
      <c r="AI4" s="13">
        <f>IF('Données projet'!$A$62&gt;35,AI3+AH4-AQ3,IF(A4&lt;'Données projet'!$A$62,$AF$205^A4,IF(A4='Données projet'!$A$62,'Données projet'!$B$62,AI3+AH4-AQ3)))</f>
        <v>6.4429411764705877</v>
      </c>
      <c r="AJ4" s="13">
        <f>AI4*VLOOKUP('Données projet'!$B$10,Paramètres!$A$1:$I$89,3,0)*VLOOKUP('Données projet'!$B$10,Paramètres!$A$1:$I$89,5,0)</f>
        <v>3.0152964705882348</v>
      </c>
      <c r="AK4" s="13">
        <f>EXP(-1.0587+0.8836*LN(AJ4)+0.284)</f>
        <v>1.2220474523614206</v>
      </c>
      <c r="AL4" s="20">
        <f t="shared" ref="AL4:AL67" si="4">(AJ4+AK4)*0.475*44/12</f>
        <v>7.3800406658039828</v>
      </c>
      <c r="AM4" s="59">
        <f t="shared" ref="AM4:AM67" si="5">AL4+(AD4+AE4)*44/12</f>
        <v>175.19247461872783</v>
      </c>
      <c r="AN4" s="59">
        <f ca="1">AVERAGE(OFFSET($AM$3,0,0,'Données projet'!$E$10+1,1))-AVERAGE(OFFSET($H$3,0,0,'Données projet'!$E$10+1,1))</f>
        <v>325.45940224919184</v>
      </c>
      <c r="AO4" s="59">
        <f>$AO$3</f>
        <v>256.30046621034876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3.3603333333333336</v>
      </c>
      <c r="BD4" s="12">
        <f>IF('Données projet'!$A$88&gt;35,BD3+BC4-BL3,IF(A4&lt;'Données projet'!$A$88,$BA$205^A4,IF(A4='Données projet'!$A$88,'Données projet'!$B$88,BD3+BC4-BL3)))</f>
        <v>3.3603333333333336</v>
      </c>
      <c r="BE4" s="13">
        <f>BD4*VLOOKUP('Données projet'!$B$11,Paramètres!$A$1:$I$89,3,0)*VLOOKUP('Données projet'!$B$11,Paramètres!$A$1:$I$89,5,0)</f>
        <v>3.4073780000000005</v>
      </c>
      <c r="BF4" s="13">
        <f>EXP(-1.0587+0.8836*LN(BE4)+0.284)</f>
        <v>1.361440466803705</v>
      </c>
      <c r="BG4" s="20">
        <f t="shared" ref="BG4:BG67" si="7">(BE4+BF4)*0.475*44/12</f>
        <v>8.3056921630164542</v>
      </c>
      <c r="BH4" s="59">
        <f t="shared" ref="BH4:BH67" si="8">BG4+(AY4+AZ4)*44/12</f>
        <v>176.1181261159403</v>
      </c>
      <c r="BI4" s="59">
        <f ca="1">AVERAGE(OFFSET($BH$3,0,0,'Données projet'!$E$11+1,1))-AVERAGE(OFFSET($H$3,0,0,'Données projet'!$E$11+1,1))</f>
        <v>580.02848304986492</v>
      </c>
      <c r="BJ4" s="59">
        <f>$BJ$3</f>
        <v>281.68891895586728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4.333333333333333</v>
      </c>
      <c r="BY4" s="12">
        <f>IF('Données projet'!$A$114&gt;35,BY3+BX4-CG3,IF(A4&lt;'Données projet'!$A$114,$BV$205^A4,IF(A4='Données projet'!$A$114,'Données projet'!$B$114,BY3+BX4-CG3)))</f>
        <v>1.3208724756526424</v>
      </c>
      <c r="BZ4" s="13">
        <f>BY4*VLOOKUP('Données projet'!$B$12,Paramètres!$A$1:$I$89,3,0)*VLOOKUP('Données projet'!$B$12,Paramètres!$A$1:$I$89,5,0)</f>
        <v>1.2569422478310546</v>
      </c>
      <c r="CA4" s="13">
        <f>EXP(-1.0587+0.8836*LN(BZ4)+0.284)</f>
        <v>0.56403633892384675</v>
      </c>
      <c r="CB4" s="20">
        <f t="shared" ref="CB4:CB67" si="10">(BZ4+CA4)*0.475*44/12</f>
        <v>3.171537705264786</v>
      </c>
      <c r="CC4" s="59">
        <f t="shared" ref="CC4:CC67" si="11">CB4+(BT4+BU4)*44/12</f>
        <v>170.98397165818864</v>
      </c>
      <c r="CD4" s="59">
        <f ca="1">AVERAGE(OFFSET($CC$3,0,0,'Données projet'!$E$12+1,1))-AVERAGE(OFFSET($H$3,0,0,'Données projet'!$E$12+1,1))</f>
        <v>439.15394290667945</v>
      </c>
      <c r="CE4" s="59">
        <f>$CE$3</f>
        <v>423.56554025351068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4.333333333333333</v>
      </c>
      <c r="CT4" s="12">
        <f>IF('Données projet'!$A$140&gt;35,CT3+CS4-DB3,IF(A4&lt;'Données projet'!$A$140,$CQ$205^A4,IF(A4='Données projet'!$A$140,'Données projet'!$B$140,CT3+CS4-DB3)))</f>
        <v>1.3208724756526424</v>
      </c>
      <c r="CU4" s="17">
        <f>CT4*VLOOKUP('Données projet'!$B$13,Paramètres!$A$1:$I$89,3,0)*VLOOKUP('Données projet'!$B$13,Paramètres!$A$1:$I$89,5,0)</f>
        <v>1.1539141947301486</v>
      </c>
      <c r="CV4" s="13">
        <f>EXP(-1.0587+0.8836*LN(CU4)+0.284)</f>
        <v>0.52298421799329042</v>
      </c>
      <c r="CW4" s="20">
        <f t="shared" ref="CW4:CW67" si="13">(CU4+CV4)*0.475*44/12</f>
        <v>2.9205980688266564</v>
      </c>
      <c r="CX4" s="59">
        <f t="shared" ref="CX4:CX67" si="14">CW4+(CO4+CP4)*44/12</f>
        <v>170.73303202175049</v>
      </c>
      <c r="CY4" s="59">
        <f ca="1">AVERAGE(OFFSET($CX$3,0,0,'Données projet'!$E$13+1,1))-AVERAGE(OFFSET($H$3,0,0,'Données projet'!$E$13+1,1))</f>
        <v>408.246209980743</v>
      </c>
      <c r="CZ4" s="59">
        <f>$CZ$3</f>
        <v>394.10236303013903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>
        <f>EXP(-LN(2)/35)*DF3+(1-EXP(-LN(2)/35))/(LN(2)/35)*DB4*DC4*VLOOKUP('Données projet'!$B$13,Paramètres!$A$1:$I$89,3,0)*0.475*44/12</f>
        <v>0</v>
      </c>
      <c r="DG4" s="21">
        <f>EXP(-LN(2)/25)*DG3+(1-EXP(-LN(2)/25))/(LN(2)/25)*Calculateur!DB4*Calculateur!DD4*VLOOKUP('Données projet'!$B$13,Paramètres!$A$1:$I$89,3,0)*0.475*44/12</f>
        <v>0</v>
      </c>
      <c r="DH4" s="21">
        <f>EXP(-LN(2)/2)*DH3+(1-EXP(-LN(2)/2))/(LN(2)/2)*DB4*DE4*VLOOKUP('Données projet'!$B$13,Paramètres!$A$1:$I$89,3,0)*0.475*44/12</f>
        <v>0</v>
      </c>
      <c r="DI4" s="22">
        <f t="shared" ref="DI4:DI67" si="15">SUM(DF4:DH4)</f>
        <v>0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4.333333333333333</v>
      </c>
      <c r="DO4" s="12">
        <f>IF('Données projet'!$A$166&gt;35,DO3+DN4-DW3,IF(A4&lt;'Données projet'!$A$166,$DL$205^A4,IF(A4='Données projet'!$A$166,'Données projet'!$B$166,DO3+DN4-DW3)))</f>
        <v>1.3208724756526424</v>
      </c>
      <c r="DP4" s="17">
        <f>DO4*VLOOKUP('Données projet'!$B$14,Paramètres!$A$1:$I$89,3,0)*VLOOKUP('Données projet'!$B$14,Paramètres!$A$1:$I$89,5,0)</f>
        <v>1.030280531009061</v>
      </c>
      <c r="DQ4" s="13">
        <f>EXP(-1.0587+0.8836*LN(DP4)+0.284)</f>
        <v>0.4731507562821734</v>
      </c>
      <c r="DR4" s="20">
        <f t="shared" ref="DR4:DR67" si="16">(DP4+DQ4)*0.475*44/12</f>
        <v>2.6184761586988996</v>
      </c>
      <c r="DS4" s="59">
        <f t="shared" ref="DS4:DS67" si="17">DR4+(DJ4+DK4)*44/12</f>
        <v>170.43091011162275</v>
      </c>
      <c r="DT4" s="59">
        <f ca="1">AVERAGE(OFFSET($DS$3,0,0,'Données projet'!$E$14+1,1))-AVERAGE(OFFSET($H$3,0,0,'Données projet'!$E$14+1,1))</f>
        <v>371.07993287480366</v>
      </c>
      <c r="DU4" s="59">
        <f>$DU$3</f>
        <v>358.67120540290637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>
        <f>EXP(-LN(2)/35)*EA3+(1-EXP(-LN(2)/35))/(LN(2)/35)*DW4*DX4*VLOOKUP('Données projet'!$B$14,Paramètres!$A$1:$I$89,3,0)*0.475*44/12</f>
        <v>0</v>
      </c>
      <c r="EB4" s="21">
        <f>EXP(-LN(2)/25)*EB3+(1-EXP(-LN(2)/25))/(LN(2)/25)*Calculateur!DW4*Calculateur!DY4*VLOOKUP('Données projet'!$B$14,Paramètres!$A$1:$I$89,3,0)*0.475*44/12</f>
        <v>0</v>
      </c>
      <c r="EC4" s="21">
        <f>EXP(-LN(2)/2)*EC3+(1-EXP(-LN(2)/2))/(LN(2)/2)*DW4*DZ4*VLOOKUP('Données projet'!$B$14,Paramètres!$A$1:$I$89,3,0)*0.475*44/12</f>
        <v>0</v>
      </c>
      <c r="ED4" s="22">
        <f t="shared" ref="ED4:ED67" si="18">SUM(EA4:EC4)</f>
        <v>0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45">
      <c r="A5" s="10">
        <f t="shared" ref="A5:A68" si="31">A4+1</f>
        <v>2</v>
      </c>
      <c r="B5" s="73">
        <f>'Scénario référence'!$B$16*5+'Scénario référence'!$B$17*0+'Scénario référence'!$B$18*5</f>
        <v>5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1">
        <f t="shared" ref="D5:D68" si="32">IFERROR(EXP(-1.0587+0.8836*LN(C5)+0.284),0)</f>
        <v>0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18.333333333333332</v>
      </c>
      <c r="H5" s="67">
        <f t="shared" si="1"/>
        <v>183.33333333333334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4.0942857142857143</v>
      </c>
      <c r="N5" s="13">
        <f>IF('Données projet'!$A$36&gt;35,N4+M5-V4,IF(A5&lt;'Données projet'!$A$36,$K$205^A5,IF(A5='Données projet'!$A$36,'Données projet'!$B$36,N4+M5-V4)))</f>
        <v>8.1885714285714286</v>
      </c>
      <c r="O5" s="13">
        <f>N5*VLOOKUP('Données projet'!$B$9,Paramètres!$A$1:$I$89,3,0)*VLOOKUP('Données projet'!$B$9,Paramètres!$A$1:$I$89,5,0)</f>
        <v>7.4090194285714279</v>
      </c>
      <c r="P5" s="13">
        <f t="shared" ref="P5:P68" si="33">EXP(-1.0587+0.8836*LN(O5)+0.284)</f>
        <v>2.7044107221075859</v>
      </c>
      <c r="Q5" s="20">
        <f t="shared" si="2"/>
        <v>17.614224179099281</v>
      </c>
      <c r="R5" s="59">
        <f t="shared" si="0"/>
        <v>188.2115054666001</v>
      </c>
      <c r="S5" s="59">
        <f ca="1">AVERAGE(OFFSET($R$3,0,0,'Données projet'!$E$9+1,1))-AVERAGE(OFFSET($H$3,0,0,'Données projet'!$E$9+1,1))</f>
        <v>681.47578137804555</v>
      </c>
      <c r="T5" s="59">
        <f t="shared" ref="T5:T68" si="34">$T$3</f>
        <v>300.88511065995885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6.4429411764705877</v>
      </c>
      <c r="AI5" s="13">
        <f>IF('Données projet'!$A$62&gt;35,AI4+AH5-AQ4,IF(A5&lt;'Données projet'!$A$62,$AF$205^A5,IF(A5='Données projet'!$A$62,'Données projet'!$B$62,AI4+AH5-AQ4)))</f>
        <v>12.885882352941175</v>
      </c>
      <c r="AJ5" s="13">
        <f>AI5*VLOOKUP('Données projet'!$B$10,Paramètres!$A$1:$I$89,3,0)*VLOOKUP('Données projet'!$B$10,Paramètres!$A$1:$I$89,5,0)</f>
        <v>6.0305929411764696</v>
      </c>
      <c r="AK5" s="13">
        <f t="shared" ref="AK5:AK68" si="35">EXP(-1.0587+0.8836*LN(AJ5)+0.284)</f>
        <v>2.2546450176634503</v>
      </c>
      <c r="AL5" s="20">
        <f t="shared" si="4"/>
        <v>14.430122778312859</v>
      </c>
      <c r="AM5" s="59">
        <f t="shared" si="5"/>
        <v>185.0274040658137</v>
      </c>
      <c r="AN5" s="59">
        <f ca="1">AVERAGE(OFFSET($AM$3,0,0,'Données projet'!$E$10+1,1))-AVERAGE(OFFSET($H$3,0,0,'Données projet'!$E$10+1,1))</f>
        <v>325.45940224919184</v>
      </c>
      <c r="AO5" s="59">
        <f t="shared" ref="AO5:AO68" si="36">$AO$3</f>
        <v>256.30046621034876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3.3603333333333336</v>
      </c>
      <c r="BD5" s="12">
        <f>IF('Données projet'!$A$88&gt;35,BD4+BC5-BL4,IF(A5&lt;'Données projet'!$A$88,$BA$205^A5,IF(A5='Données projet'!$A$88,'Données projet'!$B$88,BD4+BC5-BL4)))</f>
        <v>6.7206666666666672</v>
      </c>
      <c r="BE5" s="13">
        <f>BD5*VLOOKUP('Données projet'!$B$11,Paramètres!$A$1:$I$89,3,0)*VLOOKUP('Données projet'!$B$11,Paramètres!$A$1:$I$89,5,0)</f>
        <v>6.8147560000000009</v>
      </c>
      <c r="BF5" s="13">
        <f t="shared" ref="BF5:BF68" si="37">EXP(-1.0587+0.8836*LN(BE5)+0.284)</f>
        <v>2.5118214185487715</v>
      </c>
      <c r="BG5" s="20">
        <f t="shared" si="7"/>
        <v>16.243789003972445</v>
      </c>
      <c r="BH5" s="59">
        <f t="shared" si="8"/>
        <v>186.84107029147327</v>
      </c>
      <c r="BI5" s="59">
        <f ca="1">AVERAGE(OFFSET($BH$3,0,0,'Données projet'!$E$11+1,1))-AVERAGE(OFFSET($H$3,0,0,'Données projet'!$E$11+1,1))</f>
        <v>580.02848304986492</v>
      </c>
      <c r="BJ5" s="59">
        <f t="shared" ref="BJ5:BJ68" si="38">$BJ$3</f>
        <v>281.68891895586728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4.333333333333333</v>
      </c>
      <c r="BY5" s="12">
        <f>IF('Données projet'!$A$114&gt;35,BY4+BX5-CG4,IF(A5&lt;'Données projet'!$A$114,$BV$205^A5,IF(A5='Données projet'!$A$114,'Données projet'!$B$114,BY4+BX5-CG4)))</f>
        <v>1.7447040969367404</v>
      </c>
      <c r="BZ5" s="13">
        <f>BY5*VLOOKUP('Données projet'!$B$12,Paramètres!$A$1:$I$89,3,0)*VLOOKUP('Données projet'!$B$12,Paramètres!$A$1:$I$89,5,0)</f>
        <v>1.6602604186450023</v>
      </c>
      <c r="CA5" s="13">
        <f t="shared" ref="CA5:CA68" si="39">EXP(-1.0587+0.8836*LN(BZ5)+0.284)</f>
        <v>0.72127315376714662</v>
      </c>
      <c r="CB5" s="20">
        <f t="shared" si="10"/>
        <v>4.1478376386178262</v>
      </c>
      <c r="CC5" s="59">
        <f t="shared" si="11"/>
        <v>174.74511892611866</v>
      </c>
      <c r="CD5" s="59">
        <f ca="1">AVERAGE(OFFSET($CC$3,0,0,'Données projet'!$E$12+1,1))-AVERAGE(OFFSET($H$3,0,0,'Données projet'!$E$12+1,1))</f>
        <v>439.15394290667945</v>
      </c>
      <c r="CE5" s="59">
        <f t="shared" ref="CE5:CE68" si="40">$CE$3</f>
        <v>423.56554025351068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4.333333333333333</v>
      </c>
      <c r="CT5" s="12">
        <f>IF('Données projet'!$A$140&gt;35,CT4+CS5-DB4,IF(A5&lt;'Données projet'!$A$140,$CQ$205^A5,IF(A5='Données projet'!$A$140,'Données projet'!$B$140,CT4+CS5-DB4)))</f>
        <v>1.7447040969367404</v>
      </c>
      <c r="CU5" s="17">
        <f>CT5*VLOOKUP('Données projet'!$B$13,Paramètres!$A$1:$I$89,3,0)*VLOOKUP('Données projet'!$B$13,Paramètres!$A$1:$I$89,5,0)</f>
        <v>1.5241734990839366</v>
      </c>
      <c r="CV5" s="13">
        <f t="shared" ref="CV5:CV68" si="41">EXP(-1.0587+0.8836*LN(CU5)+0.284)</f>
        <v>0.66877690363385434</v>
      </c>
      <c r="CW5" s="20">
        <f t="shared" si="13"/>
        <v>3.8193886180668186</v>
      </c>
      <c r="CX5" s="59">
        <f t="shared" si="14"/>
        <v>174.41666990556766</v>
      </c>
      <c r="CY5" s="59">
        <f ca="1">AVERAGE(OFFSET($CX$3,0,0,'Données projet'!$E$13+1,1))-AVERAGE(OFFSET($H$3,0,0,'Données projet'!$E$13+1,1))</f>
        <v>408.246209980743</v>
      </c>
      <c r="CZ5" s="59">
        <f t="shared" ref="CZ5:CZ68" si="42">$CZ$3</f>
        <v>394.10236303013903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>
        <f>EXP(-LN(2)/35)*DF4+(1-EXP(-LN(2)/35))/(LN(2)/35)*DB5*DC5*VLOOKUP('Données projet'!$B$13,Paramètres!$A$1:$I$89,3,0)*0.475*44/12</f>
        <v>0</v>
      </c>
      <c r="DG5" s="21">
        <f>EXP(-LN(2)/25)*DG4+(1-EXP(-LN(2)/25))/(LN(2)/25)*Calculateur!DB5*Calculateur!DD5*VLOOKUP('Données projet'!$B$13,Paramètres!$A$1:$I$89,3,0)*0.475*44/12</f>
        <v>0</v>
      </c>
      <c r="DH5" s="21">
        <f>EXP(-LN(2)/2)*DH4+(1-EXP(-LN(2)/2))/(LN(2)/2)*DB5*DE5*VLOOKUP('Données projet'!$B$13,Paramètres!$A$1:$I$89,3,0)*0.475*44/12</f>
        <v>0</v>
      </c>
      <c r="DI5" s="22">
        <f t="shared" si="15"/>
        <v>0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4.333333333333333</v>
      </c>
      <c r="DO5" s="12">
        <f>IF('Données projet'!$A$166&gt;35,DO4+DN5-DW4,IF(A5&lt;'Données projet'!$A$166,$DL$205^A5,IF(A5='Données projet'!$A$166,'Données projet'!$B$166,DO4+DN5-DW4)))</f>
        <v>1.7447040969367404</v>
      </c>
      <c r="DP5" s="17">
        <f>DO5*VLOOKUP('Données projet'!$B$14,Paramètres!$A$1:$I$89,3,0)*VLOOKUP('Données projet'!$B$14,Paramètres!$A$1:$I$89,5,0)</f>
        <v>1.3608691956106576</v>
      </c>
      <c r="DQ5" s="13">
        <f t="shared" ref="DQ5:DQ68" si="43">EXP(-1.0587+0.8836*LN(DP5)+0.284)</f>
        <v>0.60505133205084227</v>
      </c>
      <c r="DR5" s="20">
        <f t="shared" si="16"/>
        <v>3.4239782523437792</v>
      </c>
      <c r="DS5" s="59">
        <f t="shared" si="17"/>
        <v>174.02125953984461</v>
      </c>
      <c r="DT5" s="59">
        <f ca="1">AVERAGE(OFFSET($DS$3,0,0,'Données projet'!$E$14+1,1))-AVERAGE(OFFSET($H$3,0,0,'Données projet'!$E$14+1,1))</f>
        <v>371.07993287480366</v>
      </c>
      <c r="DU5" s="59">
        <f t="shared" ref="DU5:DU68" si="44">$DU$3</f>
        <v>358.67120540290637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>
        <f>EXP(-LN(2)/35)*EA4+(1-EXP(-LN(2)/35))/(LN(2)/35)*DW5*DX5*VLOOKUP('Données projet'!$B$14,Paramètres!$A$1:$I$89,3,0)*0.475*44/12</f>
        <v>0</v>
      </c>
      <c r="EB5" s="21">
        <f>EXP(-LN(2)/25)*EB4+(1-EXP(-LN(2)/25))/(LN(2)/25)*Calculateur!DW5*Calculateur!DY5*VLOOKUP('Données projet'!$B$14,Paramètres!$A$1:$I$89,3,0)*0.475*44/12</f>
        <v>0</v>
      </c>
      <c r="EC5" s="21">
        <f>EXP(-LN(2)/2)*EC4+(1-EXP(-LN(2)/2))/(LN(2)/2)*DW5*DZ5*VLOOKUP('Données projet'!$B$14,Paramètres!$A$1:$I$89,3,0)*0.475*44/12</f>
        <v>0</v>
      </c>
      <c r="ED5" s="22">
        <f t="shared" si="18"/>
        <v>0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45">
      <c r="A6" s="10">
        <f t="shared" si="31"/>
        <v>3</v>
      </c>
      <c r="B6" s="73">
        <f>'Scénario référence'!$B$16*5+'Scénario référence'!$B$17*0+'Scénario référence'!$B$18*5</f>
        <v>5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1">
        <f t="shared" si="32"/>
        <v>0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18.333333333333332</v>
      </c>
      <c r="H6" s="67">
        <f t="shared" si="1"/>
        <v>183.33333333333334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4.0942857142857143</v>
      </c>
      <c r="N6" s="13">
        <f>IF('Données projet'!$A$36&gt;35,N5+M6-V5,IF(A6&lt;'Données projet'!$A$36,$K$205^A6,IF(A6='Données projet'!$A$36,'Données projet'!$B$36,N5+M6-V5)))</f>
        <v>12.282857142857143</v>
      </c>
      <c r="O6" s="13">
        <f>N6*VLOOKUP('Données projet'!$B$9,Paramètres!$A$1:$I$89,3,0)*VLOOKUP('Données projet'!$B$9,Paramètres!$A$1:$I$89,5,0)</f>
        <v>11.113529142857143</v>
      </c>
      <c r="P6" s="13">
        <f t="shared" si="33"/>
        <v>3.8696072280877138</v>
      </c>
      <c r="Q6" s="20">
        <f t="shared" si="2"/>
        <v>26.095629179395626</v>
      </c>
      <c r="R6" s="59">
        <f t="shared" si="0"/>
        <v>199.4506497492805</v>
      </c>
      <c r="S6" s="59">
        <f ca="1">AVERAGE(OFFSET($R$3,0,0,'Données projet'!$E$9+1,1))-AVERAGE(OFFSET($H$3,0,0,'Données projet'!$E$9+1,1))</f>
        <v>681.47578137804555</v>
      </c>
      <c r="T6" s="59">
        <f t="shared" si="34"/>
        <v>300.88511065995885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6.4429411764705877</v>
      </c>
      <c r="AI6" s="13">
        <f>IF('Données projet'!$A$62&gt;35,AI5+AH6-AQ5,IF(A6&lt;'Données projet'!$A$62,$AF$205^A6,IF(A6='Données projet'!$A$62,'Données projet'!$B$62,AI5+AH6-AQ5)))</f>
        <v>19.328823529411764</v>
      </c>
      <c r="AJ6" s="13">
        <f>AI6*VLOOKUP('Données projet'!$B$10,Paramètres!$A$1:$I$89,3,0)*VLOOKUP('Données projet'!$B$10,Paramètres!$A$1:$I$89,5,0)</f>
        <v>9.0458894117647048</v>
      </c>
      <c r="AK6" s="13">
        <f t="shared" si="35"/>
        <v>3.2260597792347325</v>
      </c>
      <c r="AL6" s="20">
        <f t="shared" si="4"/>
        <v>21.373644840990689</v>
      </c>
      <c r="AM6" s="59">
        <f t="shared" si="5"/>
        <v>194.72866541087558</v>
      </c>
      <c r="AN6" s="59">
        <f ca="1">AVERAGE(OFFSET($AM$3,0,0,'Données projet'!$E$10+1,1))-AVERAGE(OFFSET($H$3,0,0,'Données projet'!$E$10+1,1))</f>
        <v>325.45940224919184</v>
      </c>
      <c r="AO6" s="59">
        <f t="shared" si="36"/>
        <v>256.30046621034876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3.3603333333333336</v>
      </c>
      <c r="BD6" s="12">
        <f>IF('Données projet'!$A$88&gt;35,BD5+BC6-BL5,IF(A6&lt;'Données projet'!$A$88,$BA$205^A6,IF(A6='Données projet'!$A$88,'Données projet'!$B$88,BD5+BC6-BL5)))</f>
        <v>10.081000000000001</v>
      </c>
      <c r="BE6" s="13">
        <f>BD6*VLOOKUP('Données projet'!$B$11,Paramètres!$A$1:$I$89,3,0)*VLOOKUP('Données projet'!$B$11,Paramètres!$A$1:$I$89,5,0)</f>
        <v>10.222134000000002</v>
      </c>
      <c r="BF6" s="13">
        <f t="shared" si="37"/>
        <v>3.594040741454803</v>
      </c>
      <c r="BG6" s="20">
        <f t="shared" si="7"/>
        <v>24.063171008033788</v>
      </c>
      <c r="BH6" s="59">
        <f t="shared" si="8"/>
        <v>197.41819157791866</v>
      </c>
      <c r="BI6" s="59">
        <f ca="1">AVERAGE(OFFSET($BH$3,0,0,'Données projet'!$E$11+1,1))-AVERAGE(OFFSET($H$3,0,0,'Données projet'!$E$11+1,1))</f>
        <v>580.02848304986492</v>
      </c>
      <c r="BJ6" s="59">
        <f t="shared" si="38"/>
        <v>281.68891895586728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4.333333333333333</v>
      </c>
      <c r="BY6" s="12">
        <f>IF('Données projet'!$A$114&gt;35,BY5+BX6-CG5,IF(A6&lt;'Données projet'!$A$114,$BV$205^A6,IF(A6='Données projet'!$A$114,'Données projet'!$B$114,BY5+BX6-CG5)))</f>
        <v>2.3045316198021402</v>
      </c>
      <c r="BZ6" s="13">
        <f>BY6*VLOOKUP('Données projet'!$B$12,Paramètres!$A$1:$I$89,3,0)*VLOOKUP('Données projet'!$B$12,Paramètres!$A$1:$I$89,5,0)</f>
        <v>2.1929922894037168</v>
      </c>
      <c r="CA6" s="13">
        <f t="shared" si="39"/>
        <v>0.9223429882865144</v>
      </c>
      <c r="CB6" s="20">
        <f t="shared" si="10"/>
        <v>5.4258756086438202</v>
      </c>
      <c r="CC6" s="59">
        <f t="shared" si="11"/>
        <v>178.78089617852871</v>
      </c>
      <c r="CD6" s="59">
        <f ca="1">AVERAGE(OFFSET($CC$3,0,0,'Données projet'!$E$12+1,1))-AVERAGE(OFFSET($H$3,0,0,'Données projet'!$E$12+1,1))</f>
        <v>439.15394290667945</v>
      </c>
      <c r="CE6" s="59">
        <f t="shared" si="40"/>
        <v>423.56554025351068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4.333333333333333</v>
      </c>
      <c r="CT6" s="12">
        <f>IF('Données projet'!$A$140&gt;35,CT5+CS6-DB5,IF(A6&lt;'Données projet'!$A$140,$CQ$205^A6,IF(A6='Données projet'!$A$140,'Données projet'!$B$140,CT5+CS6-DB5)))</f>
        <v>2.3045316198021402</v>
      </c>
      <c r="CU6" s="17">
        <f>CT6*VLOOKUP('Données projet'!$B$13,Paramètres!$A$1:$I$89,3,0)*VLOOKUP('Données projet'!$B$13,Paramètres!$A$1:$I$89,5,0)</f>
        <v>2.01323882305915</v>
      </c>
      <c r="CV6" s="13">
        <f t="shared" si="41"/>
        <v>0.85521232084258414</v>
      </c>
      <c r="CW6" s="20">
        <f t="shared" si="13"/>
        <v>4.9958857422955205</v>
      </c>
      <c r="CX6" s="59">
        <f t="shared" si="14"/>
        <v>178.3509063121804</v>
      </c>
      <c r="CY6" s="59">
        <f ca="1">AVERAGE(OFFSET($CX$3,0,0,'Données projet'!$E$13+1,1))-AVERAGE(OFFSET($H$3,0,0,'Données projet'!$E$13+1,1))</f>
        <v>408.246209980743</v>
      </c>
      <c r="CZ6" s="59">
        <f t="shared" si="42"/>
        <v>394.10236303013903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>
        <f>EXP(-LN(2)/35)*DF5+(1-EXP(-LN(2)/35))/(LN(2)/35)*DB6*DC6*VLOOKUP('Données projet'!$B$13,Paramètres!$A$1:$I$89,3,0)*0.475*44/12</f>
        <v>0</v>
      </c>
      <c r="DG6" s="21">
        <f>EXP(-LN(2)/25)*DG5+(1-EXP(-LN(2)/25))/(LN(2)/25)*Calculateur!DB6*Calculateur!DD6*VLOOKUP('Données projet'!$B$13,Paramètres!$A$1:$I$89,3,0)*0.475*44/12</f>
        <v>0</v>
      </c>
      <c r="DH6" s="21">
        <f>EXP(-LN(2)/2)*DH5+(1-EXP(-LN(2)/2))/(LN(2)/2)*DB6*DE6*VLOOKUP('Données projet'!$B$13,Paramètres!$A$1:$I$89,3,0)*0.475*44/12</f>
        <v>0</v>
      </c>
      <c r="DI6" s="22">
        <f t="shared" si="15"/>
        <v>0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4.333333333333333</v>
      </c>
      <c r="DO6" s="12">
        <f>IF('Données projet'!$A$166&gt;35,DO5+DN6-DW5,IF(A6&lt;'Données projet'!$A$166,$DL$205^A6,IF(A6='Données projet'!$A$166,'Données projet'!$B$166,DO5+DN6-DW5)))</f>
        <v>2.3045316198021402</v>
      </c>
      <c r="DP6" s="17">
        <f>DO6*VLOOKUP('Données projet'!$B$14,Paramètres!$A$1:$I$89,3,0)*VLOOKUP('Données projet'!$B$14,Paramètres!$A$1:$I$89,5,0)</f>
        <v>1.7975346634456695</v>
      </c>
      <c r="DQ6" s="13">
        <f t="shared" si="43"/>
        <v>0.77372192595244382</v>
      </c>
      <c r="DR6" s="20">
        <f t="shared" si="16"/>
        <v>4.4782718932017138</v>
      </c>
      <c r="DS6" s="59">
        <f t="shared" si="17"/>
        <v>177.83329246308659</v>
      </c>
      <c r="DT6" s="59">
        <f ca="1">AVERAGE(OFFSET($DS$3,0,0,'Données projet'!$E$14+1,1))-AVERAGE(OFFSET($H$3,0,0,'Données projet'!$E$14+1,1))</f>
        <v>371.07993287480366</v>
      </c>
      <c r="DU6" s="59">
        <f t="shared" si="44"/>
        <v>358.67120540290637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>
        <f>EXP(-LN(2)/35)*EA5+(1-EXP(-LN(2)/35))/(LN(2)/35)*DW6*DX6*VLOOKUP('Données projet'!$B$14,Paramètres!$A$1:$I$89,3,0)*0.475*44/12</f>
        <v>0</v>
      </c>
      <c r="EB6" s="21">
        <f>EXP(-LN(2)/25)*EB5+(1-EXP(-LN(2)/25))/(LN(2)/25)*Calculateur!DW6*Calculateur!DY6*VLOOKUP('Données projet'!$B$14,Paramètres!$A$1:$I$89,3,0)*0.475*44/12</f>
        <v>0</v>
      </c>
      <c r="EC6" s="21">
        <f>EXP(-LN(2)/2)*EC5+(1-EXP(-LN(2)/2))/(LN(2)/2)*DW6*DZ6*VLOOKUP('Données projet'!$B$14,Paramètres!$A$1:$I$89,3,0)*0.475*44/12</f>
        <v>0</v>
      </c>
      <c r="ED6" s="22">
        <f t="shared" si="18"/>
        <v>0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45">
      <c r="A7" s="10">
        <f t="shared" si="31"/>
        <v>4</v>
      </c>
      <c r="B7" s="73">
        <f>'Scénario référence'!$B$16*5+'Scénario référence'!$B$17*0+'Scénario référence'!$B$18*5</f>
        <v>5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1">
        <f t="shared" si="32"/>
        <v>0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18.333333333333332</v>
      </c>
      <c r="H7" s="67">
        <f t="shared" si="1"/>
        <v>183.33333333333334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4.0942857142857143</v>
      </c>
      <c r="N7" s="13">
        <f>IF('Données projet'!$A$36&gt;35,N6+M7-V6,IF(A7&lt;'Données projet'!$A$36,$K$205^A7,IF(A7='Données projet'!$A$36,'Données projet'!$B$36,N6+M7-V6)))</f>
        <v>16.377142857142857</v>
      </c>
      <c r="O7" s="13">
        <f>N7*VLOOKUP('Données projet'!$B$9,Paramètres!$A$1:$I$89,3,0)*VLOOKUP('Données projet'!$B$9,Paramètres!$A$1:$I$89,5,0)</f>
        <v>14.818038857142856</v>
      </c>
      <c r="P7" s="13">
        <f t="shared" si="33"/>
        <v>4.9895657885731195</v>
      </c>
      <c r="Q7" s="20">
        <f t="shared" si="2"/>
        <v>34.49824475795532</v>
      </c>
      <c r="R7" s="59">
        <f t="shared" si="0"/>
        <v>210.58436682213227</v>
      </c>
      <c r="S7" s="59">
        <f ca="1">AVERAGE(OFFSET($R$3,0,0,'Données projet'!$E$9+1,1))-AVERAGE(OFFSET($H$3,0,0,'Données projet'!$E$9+1,1))</f>
        <v>681.47578137804555</v>
      </c>
      <c r="T7" s="59">
        <f t="shared" si="34"/>
        <v>300.88511065995885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6.4429411764705877</v>
      </c>
      <c r="AI7" s="13">
        <f>IF('Données projet'!$A$62&gt;35,AI6+AH7-AQ6,IF(A7&lt;'Données projet'!$A$62,$AF$205^A7,IF(A7='Données projet'!$A$62,'Données projet'!$B$62,AI6+AH7-AQ6)))</f>
        <v>25.771764705882351</v>
      </c>
      <c r="AJ7" s="13">
        <f>AI7*VLOOKUP('Données projet'!$B$10,Paramètres!$A$1:$I$89,3,0)*VLOOKUP('Données projet'!$B$10,Paramètres!$A$1:$I$89,5,0)</f>
        <v>12.061185882352939</v>
      </c>
      <c r="AK7" s="13">
        <f t="shared" si="35"/>
        <v>4.1597600370195753</v>
      </c>
      <c r="AL7" s="20">
        <f t="shared" si="4"/>
        <v>28.251480809573795</v>
      </c>
      <c r="AM7" s="59">
        <f t="shared" si="5"/>
        <v>204.33760287375074</v>
      </c>
      <c r="AN7" s="59">
        <f ca="1">AVERAGE(OFFSET($AM$3,0,0,'Données projet'!$E$10+1,1))-AVERAGE(OFFSET($H$3,0,0,'Données projet'!$E$10+1,1))</f>
        <v>325.45940224919184</v>
      </c>
      <c r="AO7" s="59">
        <f t="shared" si="36"/>
        <v>256.30046621034876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3.3603333333333336</v>
      </c>
      <c r="BD7" s="12">
        <f>IF('Données projet'!$A$88&gt;35,BD6+BC7-BL6,IF(A7&lt;'Données projet'!$A$88,$BA$205^A7,IF(A7='Données projet'!$A$88,'Données projet'!$B$88,BD6+BC7-BL6)))</f>
        <v>13.441333333333334</v>
      </c>
      <c r="BE7" s="13">
        <f>BD7*VLOOKUP('Données projet'!$B$11,Paramètres!$A$1:$I$89,3,0)*VLOOKUP('Données projet'!$B$11,Paramètres!$A$1:$I$89,5,0)</f>
        <v>13.629512000000002</v>
      </c>
      <c r="BF7" s="13">
        <f t="shared" si="37"/>
        <v>4.6342436503982958</v>
      </c>
      <c r="BG7" s="20">
        <f t="shared" si="7"/>
        <v>31.8093744244437</v>
      </c>
      <c r="BH7" s="59">
        <f t="shared" si="8"/>
        <v>207.89549648862064</v>
      </c>
      <c r="BI7" s="59">
        <f ca="1">AVERAGE(OFFSET($BH$3,0,0,'Données projet'!$E$11+1,1))-AVERAGE(OFFSET($H$3,0,0,'Données projet'!$E$11+1,1))</f>
        <v>580.02848304986492</v>
      </c>
      <c r="BJ7" s="59">
        <f t="shared" si="38"/>
        <v>281.68891895586728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4.333333333333333</v>
      </c>
      <c r="BY7" s="12">
        <f>IF('Données projet'!$A$114&gt;35,BY6+BX7-CG6,IF(A7&lt;'Données projet'!$A$114,$BV$205^A7,IF(A7='Données projet'!$A$114,'Données projet'!$B$114,BY6+BX7-CG6)))</f>
        <v>3.0439923858678468</v>
      </c>
      <c r="BZ7" s="13">
        <f>BY7*VLOOKUP('Données projet'!$B$12,Paramètres!$A$1:$I$89,3,0)*VLOOKUP('Données projet'!$B$12,Paramètres!$A$1:$I$89,5,0)</f>
        <v>2.8966631543918431</v>
      </c>
      <c r="CA7" s="13">
        <f t="shared" si="39"/>
        <v>1.1794652048229974</v>
      </c>
      <c r="CB7" s="20">
        <f t="shared" si="10"/>
        <v>7.0992568922991808</v>
      </c>
      <c r="CC7" s="59">
        <f t="shared" si="11"/>
        <v>183.18537895647614</v>
      </c>
      <c r="CD7" s="59">
        <f ca="1">AVERAGE(OFFSET($CC$3,0,0,'Données projet'!$E$12+1,1))-AVERAGE(OFFSET($H$3,0,0,'Données projet'!$E$12+1,1))</f>
        <v>439.15394290667945</v>
      </c>
      <c r="CE7" s="59">
        <f t="shared" si="40"/>
        <v>423.56554025351068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4.333333333333333</v>
      </c>
      <c r="CT7" s="12">
        <f>IF('Données projet'!$A$140&gt;35,CT6+CS7-DB6,IF(A7&lt;'Données projet'!$A$140,$CQ$205^A7,IF(A7='Données projet'!$A$140,'Données projet'!$B$140,CT6+CS7-DB6)))</f>
        <v>3.0439923858678468</v>
      </c>
      <c r="CU7" s="17">
        <f>CT7*VLOOKUP('Données projet'!$B$13,Paramètres!$A$1:$I$89,3,0)*VLOOKUP('Données projet'!$B$13,Paramètres!$A$1:$I$89,5,0)</f>
        <v>2.6592317482941512</v>
      </c>
      <c r="CV7" s="13">
        <f t="shared" si="41"/>
        <v>1.0936204730559642</v>
      </c>
      <c r="CW7" s="20">
        <f t="shared" si="13"/>
        <v>6.5362176188514516</v>
      </c>
      <c r="CX7" s="59">
        <f t="shared" si="14"/>
        <v>182.6223396830284</v>
      </c>
      <c r="CY7" s="59">
        <f ca="1">AVERAGE(OFFSET($CX$3,0,0,'Données projet'!$E$13+1,1))-AVERAGE(OFFSET($H$3,0,0,'Données projet'!$E$13+1,1))</f>
        <v>408.246209980743</v>
      </c>
      <c r="CZ7" s="59">
        <f t="shared" si="42"/>
        <v>394.10236303013903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>
        <f>EXP(-LN(2)/35)*DF6+(1-EXP(-LN(2)/35))/(LN(2)/35)*DB7*DC7*VLOOKUP('Données projet'!$B$13,Paramètres!$A$1:$I$89,3,0)*0.475*44/12</f>
        <v>0</v>
      </c>
      <c r="DG7" s="21">
        <f>EXP(-LN(2)/25)*DG6+(1-EXP(-LN(2)/25))/(LN(2)/25)*Calculateur!DB7*Calculateur!DD7*VLOOKUP('Données projet'!$B$13,Paramètres!$A$1:$I$89,3,0)*0.475*44/12</f>
        <v>0</v>
      </c>
      <c r="DH7" s="21">
        <f>EXP(-LN(2)/2)*DH6+(1-EXP(-LN(2)/2))/(LN(2)/2)*DB7*DE7*VLOOKUP('Données projet'!$B$13,Paramètres!$A$1:$I$89,3,0)*0.475*44/12</f>
        <v>0</v>
      </c>
      <c r="DI7" s="22">
        <f t="shared" si="15"/>
        <v>0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4.333333333333333</v>
      </c>
      <c r="DO7" s="12">
        <f>IF('Données projet'!$A$166&gt;35,DO6+DN7-DW6,IF(A7&lt;'Données projet'!$A$166,$DL$205^A7,IF(A7='Données projet'!$A$166,'Données projet'!$B$166,DO6+DN7-DW6)))</f>
        <v>3.0439923858678468</v>
      </c>
      <c r="DP7" s="17">
        <f>DO7*VLOOKUP('Données projet'!$B$14,Paramètres!$A$1:$I$89,3,0)*VLOOKUP('Données projet'!$B$14,Paramètres!$A$1:$I$89,5,0)</f>
        <v>2.3743140609769204</v>
      </c>
      <c r="DQ7" s="13">
        <f t="shared" si="43"/>
        <v>0.98941294232082599</v>
      </c>
      <c r="DR7" s="20">
        <f t="shared" si="16"/>
        <v>5.8584911974102418</v>
      </c>
      <c r="DS7" s="59">
        <f t="shared" si="17"/>
        <v>181.94461326158719</v>
      </c>
      <c r="DT7" s="59">
        <f ca="1">AVERAGE(OFFSET($DS$3,0,0,'Données projet'!$E$14+1,1))-AVERAGE(OFFSET($H$3,0,0,'Données projet'!$E$14+1,1))</f>
        <v>371.07993287480366</v>
      </c>
      <c r="DU7" s="59">
        <f t="shared" si="44"/>
        <v>358.67120540290637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>
        <f>EXP(-LN(2)/35)*EA6+(1-EXP(-LN(2)/35))/(LN(2)/35)*DW7*DX7*VLOOKUP('Données projet'!$B$14,Paramètres!$A$1:$I$89,3,0)*0.475*44/12</f>
        <v>0</v>
      </c>
      <c r="EB7" s="21">
        <f>EXP(-LN(2)/25)*EB6+(1-EXP(-LN(2)/25))/(LN(2)/25)*Calculateur!DW7*Calculateur!DY7*VLOOKUP('Données projet'!$B$14,Paramètres!$A$1:$I$89,3,0)*0.475*44/12</f>
        <v>0</v>
      </c>
      <c r="EC7" s="21">
        <f>EXP(-LN(2)/2)*EC6+(1-EXP(-LN(2)/2))/(LN(2)/2)*DW7*DZ7*VLOOKUP('Données projet'!$B$14,Paramètres!$A$1:$I$89,3,0)*0.475*44/12</f>
        <v>0</v>
      </c>
      <c r="ED7" s="22">
        <f t="shared" si="18"/>
        <v>0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45">
      <c r="A8" s="10">
        <f t="shared" si="31"/>
        <v>5</v>
      </c>
      <c r="B8" s="73">
        <f>'Scénario référence'!$B$16*5+'Scénario référence'!$B$17*0+'Scénario référence'!$B$18*5</f>
        <v>5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1">
        <f t="shared" si="32"/>
        <v>0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18.333333333333332</v>
      </c>
      <c r="H8" s="67">
        <f t="shared" si="1"/>
        <v>183.33333333333334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4.0942857142857143</v>
      </c>
      <c r="N8" s="13">
        <f>IF('Données projet'!$A$36&gt;35,N7+M8-V7,IF(A8&lt;'Données projet'!$A$36,$K$205^A8,IF(A8='Données projet'!$A$36,'Données projet'!$B$36,N7+M8-V7)))</f>
        <v>20.471428571428572</v>
      </c>
      <c r="O8" s="13">
        <f>N8*VLOOKUP('Données projet'!$B$9,Paramètres!$A$1:$I$89,3,0)*VLOOKUP('Données projet'!$B$9,Paramètres!$A$1:$I$89,5,0)</f>
        <v>18.522548571428572</v>
      </c>
      <c r="P8" s="13">
        <f t="shared" si="33"/>
        <v>6.0770448389896208</v>
      </c>
      <c r="Q8" s="20">
        <f t="shared" si="2"/>
        <v>42.84429185647835</v>
      </c>
      <c r="R8" s="59">
        <f t="shared" si="0"/>
        <v>221.6353397329257</v>
      </c>
      <c r="S8" s="59">
        <f ca="1">AVERAGE(OFFSET($R$3,0,0,'Données projet'!$E$9+1,1))-AVERAGE(OFFSET($H$3,0,0,'Données projet'!$E$9+1,1))</f>
        <v>681.47578137804555</v>
      </c>
      <c r="T8" s="59">
        <f t="shared" si="34"/>
        <v>300.88511065995885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6.4429411764705877</v>
      </c>
      <c r="AI8" s="13">
        <f>IF('Données projet'!$A$62&gt;35,AI7+AH8-AQ7,IF(A8&lt;'Données projet'!$A$62,$AF$205^A8,IF(A8='Données projet'!$A$62,'Données projet'!$B$62,AI7+AH8-AQ7)))</f>
        <v>32.214705882352938</v>
      </c>
      <c r="AJ8" s="13">
        <f>AI8*VLOOKUP('Données projet'!$B$10,Paramètres!$A$1:$I$89,3,0)*VLOOKUP('Données projet'!$B$10,Paramètres!$A$1:$I$89,5,0)</f>
        <v>15.076482352941174</v>
      </c>
      <c r="AK8" s="13">
        <f t="shared" si="35"/>
        <v>5.0663823938944823</v>
      </c>
      <c r="AL8" s="20">
        <f t="shared" si="4"/>
        <v>35.082156100738764</v>
      </c>
      <c r="AM8" s="59">
        <f t="shared" si="5"/>
        <v>213.87320397718611</v>
      </c>
      <c r="AN8" s="59">
        <f ca="1">AVERAGE(OFFSET($AM$3,0,0,'Données projet'!$E$10+1,1))-AVERAGE(OFFSET($H$3,0,0,'Données projet'!$E$10+1,1))</f>
        <v>325.45940224919184</v>
      </c>
      <c r="AO8" s="59">
        <f t="shared" si="36"/>
        <v>256.30046621034876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3.3603333333333336</v>
      </c>
      <c r="BD8" s="12">
        <f>IF('Données projet'!$A$88&gt;35,BD7+BC8-BL7,IF(A8&lt;'Données projet'!$A$88,$BA$205^A8,IF(A8='Données projet'!$A$88,'Données projet'!$B$88,BD7+BC8-BL7)))</f>
        <v>16.801666666666669</v>
      </c>
      <c r="BE8" s="13">
        <f>BD8*VLOOKUP('Données projet'!$B$11,Paramètres!$A$1:$I$89,3,0)*VLOOKUP('Données projet'!$B$11,Paramètres!$A$1:$I$89,5,0)</f>
        <v>17.036890000000003</v>
      </c>
      <c r="BF8" s="13">
        <f t="shared" si="37"/>
        <v>5.6442800138581015</v>
      </c>
      <c r="BG8" s="20">
        <f t="shared" si="7"/>
        <v>39.503037774136196</v>
      </c>
      <c r="BH8" s="59">
        <f t="shared" si="8"/>
        <v>218.29408565058355</v>
      </c>
      <c r="BI8" s="59">
        <f ca="1">AVERAGE(OFFSET($BH$3,0,0,'Données projet'!$E$11+1,1))-AVERAGE(OFFSET($H$3,0,0,'Données projet'!$E$11+1,1))</f>
        <v>580.02848304986492</v>
      </c>
      <c r="BJ8" s="59">
        <f t="shared" si="38"/>
        <v>281.68891895586728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4.333333333333333</v>
      </c>
      <c r="BY8" s="12">
        <f>IF('Données projet'!$A$114&gt;35,BY7+BX8-CG7,IF(A8&lt;'Données projet'!$A$114,$BV$205^A8,IF(A8='Données projet'!$A$114,'Données projet'!$B$114,BY7+BX8-CG7)))</f>
        <v>4.0207257585890561</v>
      </c>
      <c r="BZ8" s="13">
        <f>BY8*VLOOKUP('Données projet'!$B$12,Paramètres!$A$1:$I$89,3,0)*VLOOKUP('Données projet'!$B$12,Paramètres!$A$1:$I$89,5,0)</f>
        <v>3.8261226318733454</v>
      </c>
      <c r="CA8" s="13">
        <f t="shared" si="39"/>
        <v>1.5082655661236684</v>
      </c>
      <c r="CB8" s="20">
        <f t="shared" si="10"/>
        <v>9.2907261115114661</v>
      </c>
      <c r="CC8" s="59">
        <f t="shared" si="11"/>
        <v>188.08177398795883</v>
      </c>
      <c r="CD8" s="59">
        <f ca="1">AVERAGE(OFFSET($CC$3,0,0,'Données projet'!$E$12+1,1))-AVERAGE(OFFSET($H$3,0,0,'Données projet'!$E$12+1,1))</f>
        <v>439.15394290667945</v>
      </c>
      <c r="CE8" s="59">
        <f t="shared" si="40"/>
        <v>423.56554025351068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4.333333333333333</v>
      </c>
      <c r="CT8" s="12">
        <f>IF('Données projet'!$A$140&gt;35,CT7+CS8-DB7,IF(A8&lt;'Données projet'!$A$140,$CQ$205^A8,IF(A8='Données projet'!$A$140,'Données projet'!$B$140,CT7+CS8-DB7)))</f>
        <v>4.0207257585890561</v>
      </c>
      <c r="CU8" s="17">
        <f>CT8*VLOOKUP('Données projet'!$B$13,Paramètres!$A$1:$I$89,3,0)*VLOOKUP('Données projet'!$B$13,Paramètres!$A$1:$I$89,5,0)</f>
        <v>3.5125060227033997</v>
      </c>
      <c r="CV8" s="13">
        <f t="shared" si="41"/>
        <v>1.3984898368966503</v>
      </c>
      <c r="CW8" s="20">
        <f t="shared" si="13"/>
        <v>8.5533177888034189</v>
      </c>
      <c r="CX8" s="59">
        <f t="shared" si="14"/>
        <v>187.34436566525076</v>
      </c>
      <c r="CY8" s="59">
        <f ca="1">AVERAGE(OFFSET($CX$3,0,0,'Données projet'!$E$13+1,1))-AVERAGE(OFFSET($H$3,0,0,'Données projet'!$E$13+1,1))</f>
        <v>408.246209980743</v>
      </c>
      <c r="CZ8" s="59">
        <f t="shared" si="42"/>
        <v>394.10236303013903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>
        <f>EXP(-LN(2)/35)*DF7+(1-EXP(-LN(2)/35))/(LN(2)/35)*DB8*DC8*VLOOKUP('Données projet'!$B$13,Paramètres!$A$1:$I$89,3,0)*0.475*44/12</f>
        <v>0</v>
      </c>
      <c r="DG8" s="21">
        <f>EXP(-LN(2)/25)*DG7+(1-EXP(-LN(2)/25))/(LN(2)/25)*Calculateur!DB8*Calculateur!DD8*VLOOKUP('Données projet'!$B$13,Paramètres!$A$1:$I$89,3,0)*0.475*44/12</f>
        <v>0</v>
      </c>
      <c r="DH8" s="21">
        <f>EXP(-LN(2)/2)*DH7+(1-EXP(-LN(2)/2))/(LN(2)/2)*DB8*DE8*VLOOKUP('Données projet'!$B$13,Paramètres!$A$1:$I$89,3,0)*0.475*44/12</f>
        <v>0</v>
      </c>
      <c r="DI8" s="22">
        <f t="shared" si="15"/>
        <v>0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4.333333333333333</v>
      </c>
      <c r="DO8" s="12">
        <f>IF('Données projet'!$A$166&gt;35,DO7+DN8-DW7,IF(A8&lt;'Données projet'!$A$166,$DL$205^A8,IF(A8='Données projet'!$A$166,'Données projet'!$B$166,DO7+DN8-DW7)))</f>
        <v>4.0207257585890561</v>
      </c>
      <c r="DP8" s="17">
        <f>DO8*VLOOKUP('Données projet'!$B$14,Paramètres!$A$1:$I$89,3,0)*VLOOKUP('Données projet'!$B$14,Paramètres!$A$1:$I$89,5,0)</f>
        <v>3.1361660916994638</v>
      </c>
      <c r="DQ8" s="13">
        <f t="shared" si="43"/>
        <v>1.2652322980596569</v>
      </c>
      <c r="DR8" s="20">
        <f t="shared" si="16"/>
        <v>7.6657688621638007</v>
      </c>
      <c r="DS8" s="59">
        <f t="shared" si="17"/>
        <v>186.45681673861114</v>
      </c>
      <c r="DT8" s="59">
        <f ca="1">AVERAGE(OFFSET($DS$3,0,0,'Données projet'!$E$14+1,1))-AVERAGE(OFFSET($H$3,0,0,'Données projet'!$E$14+1,1))</f>
        <v>371.07993287480366</v>
      </c>
      <c r="DU8" s="59">
        <f t="shared" si="44"/>
        <v>358.67120540290637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>
        <f>EXP(-LN(2)/35)*EA7+(1-EXP(-LN(2)/35))/(LN(2)/35)*DW8*DX8*VLOOKUP('Données projet'!$B$14,Paramètres!$A$1:$I$89,3,0)*0.475*44/12</f>
        <v>0</v>
      </c>
      <c r="EB8" s="21">
        <f>EXP(-LN(2)/25)*EB7+(1-EXP(-LN(2)/25))/(LN(2)/25)*Calculateur!DW8*Calculateur!DY8*VLOOKUP('Données projet'!$B$14,Paramètres!$A$1:$I$89,3,0)*0.475*44/12</f>
        <v>0</v>
      </c>
      <c r="EC8" s="21">
        <f>EXP(-LN(2)/2)*EC7+(1-EXP(-LN(2)/2))/(LN(2)/2)*DW8*DZ8*VLOOKUP('Données projet'!$B$14,Paramètres!$A$1:$I$89,3,0)*0.475*44/12</f>
        <v>0</v>
      </c>
      <c r="ED8" s="22">
        <f t="shared" si="18"/>
        <v>0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45">
      <c r="A9" s="10">
        <f t="shared" si="31"/>
        <v>6</v>
      </c>
      <c r="B9" s="73">
        <f>'Scénario référence'!$B$16*5+'Scénario référence'!$B$17*0+'Scénario référence'!$B$18*5</f>
        <v>5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1">
        <f t="shared" si="32"/>
        <v>0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18.333333333333332</v>
      </c>
      <c r="H9" s="67">
        <f t="shared" si="1"/>
        <v>183.33333333333334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4.0942857142857143</v>
      </c>
      <c r="N9" s="13">
        <f>IF('Données projet'!$A$36&gt;35,N8+M9-V8,IF(A9&lt;'Données projet'!$A$36,$K$205^A9,IF(A9='Données projet'!$A$36,'Données projet'!$B$36,N8+M9-V8)))</f>
        <v>24.565714285714286</v>
      </c>
      <c r="O9" s="13">
        <f>N9*VLOOKUP('Données projet'!$B$9,Paramètres!$A$1:$I$89,3,0)*VLOOKUP('Données projet'!$B$9,Paramètres!$A$1:$I$89,5,0)</f>
        <v>22.227058285714286</v>
      </c>
      <c r="P9" s="13">
        <f t="shared" si="33"/>
        <v>7.1393223235836674</v>
      </c>
      <c r="Q9" s="20">
        <f t="shared" si="2"/>
        <v>51.146446227860601</v>
      </c>
      <c r="R9" s="59">
        <f t="shared" si="0"/>
        <v>232.61669832411957</v>
      </c>
      <c r="S9" s="59">
        <f ca="1">AVERAGE(OFFSET($R$3,0,0,'Données projet'!$E$9+1,1))-AVERAGE(OFFSET($H$3,0,0,'Données projet'!$E$9+1,1))</f>
        <v>681.47578137804555</v>
      </c>
      <c r="T9" s="59">
        <f t="shared" si="34"/>
        <v>300.88511065995885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6.4429411764705877</v>
      </c>
      <c r="AI9" s="13">
        <f>IF('Données projet'!$A$62&gt;35,AI8+AH9-AQ8,IF(A9&lt;'Données projet'!$A$62,$AF$205^A9,IF(A9='Données projet'!$A$62,'Données projet'!$B$62,AI8+AH9-AQ8)))</f>
        <v>38.657647058823528</v>
      </c>
      <c r="AJ9" s="13">
        <f>AI9*VLOOKUP('Données projet'!$B$10,Paramètres!$A$1:$I$89,3,0)*VLOOKUP('Données projet'!$B$10,Paramètres!$A$1:$I$89,5,0)</f>
        <v>18.09177882352941</v>
      </c>
      <c r="AK9" s="13">
        <f t="shared" si="35"/>
        <v>5.9519944122307828</v>
      </c>
      <c r="AL9" s="20">
        <f t="shared" si="4"/>
        <v>41.876238385615665</v>
      </c>
      <c r="AM9" s="59">
        <f t="shared" si="5"/>
        <v>223.34649048187464</v>
      </c>
      <c r="AN9" s="59">
        <f ca="1">AVERAGE(OFFSET($AM$3,0,0,'Données projet'!$E$10+1,1))-AVERAGE(OFFSET($H$3,0,0,'Données projet'!$E$10+1,1))</f>
        <v>325.45940224919184</v>
      </c>
      <c r="AO9" s="59">
        <f t="shared" si="36"/>
        <v>256.30046621034876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3.3603333333333336</v>
      </c>
      <c r="BD9" s="12">
        <f>IF('Données projet'!$A$88&gt;35,BD8+BC9-BL8,IF(A9&lt;'Données projet'!$A$88,$BA$205^A9,IF(A9='Données projet'!$A$88,'Données projet'!$B$88,BD8+BC9-BL8)))</f>
        <v>20.162000000000003</v>
      </c>
      <c r="BE9" s="13">
        <f>BD9*VLOOKUP('Données projet'!$B$11,Paramètres!$A$1:$I$89,3,0)*VLOOKUP('Données projet'!$B$11,Paramètres!$A$1:$I$89,5,0)</f>
        <v>20.444268000000005</v>
      </c>
      <c r="BF9" s="13">
        <f t="shared" si="37"/>
        <v>6.6309094915603763</v>
      </c>
      <c r="BG9" s="20">
        <f t="shared" si="7"/>
        <v>47.15593413113433</v>
      </c>
      <c r="BH9" s="59">
        <f t="shared" si="8"/>
        <v>228.6261862273933</v>
      </c>
      <c r="BI9" s="59">
        <f ca="1">AVERAGE(OFFSET($BH$3,0,0,'Données projet'!$E$11+1,1))-AVERAGE(OFFSET($H$3,0,0,'Données projet'!$E$11+1,1))</f>
        <v>580.02848304986492</v>
      </c>
      <c r="BJ9" s="59">
        <f t="shared" si="38"/>
        <v>281.68891895586728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4.333333333333333</v>
      </c>
      <c r="BY9" s="12">
        <f>IF('Données projet'!$A$114&gt;35,BY8+BX9-CG8,IF(A9&lt;'Données projet'!$A$114,$BV$205^A9,IF(A9='Données projet'!$A$114,'Données projet'!$B$114,BY8+BX9-CG8)))</f>
        <v>5.310865986667876</v>
      </c>
      <c r="BZ9" s="13">
        <f>BY9*VLOOKUP('Données projet'!$B$12,Paramètres!$A$1:$I$89,3,0)*VLOOKUP('Données projet'!$B$12,Paramètres!$A$1:$I$89,5,0)</f>
        <v>5.0538200729131511</v>
      </c>
      <c r="CA9" s="13">
        <f t="shared" si="39"/>
        <v>1.9287258400265734</v>
      </c>
      <c r="CB9" s="20">
        <f t="shared" si="10"/>
        <v>12.161267465036687</v>
      </c>
      <c r="CC9" s="59">
        <f t="shared" si="11"/>
        <v>193.63151956129565</v>
      </c>
      <c r="CD9" s="59">
        <f ca="1">AVERAGE(OFFSET($CC$3,0,0,'Données projet'!$E$12+1,1))-AVERAGE(OFFSET($H$3,0,0,'Données projet'!$E$12+1,1))</f>
        <v>439.15394290667945</v>
      </c>
      <c r="CE9" s="59">
        <f t="shared" si="40"/>
        <v>423.56554025351068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4.333333333333333</v>
      </c>
      <c r="CT9" s="12">
        <f>IF('Données projet'!$A$140&gt;35,CT8+CS9-DB8,IF(A9&lt;'Données projet'!$A$140,$CQ$205^A9,IF(A9='Données projet'!$A$140,'Données projet'!$B$140,CT8+CS9-DB8)))</f>
        <v>5.310865986667876</v>
      </c>
      <c r="CU9" s="17">
        <f>CT9*VLOOKUP('Données projet'!$B$13,Paramètres!$A$1:$I$89,3,0)*VLOOKUP('Données projet'!$B$13,Paramètres!$A$1:$I$89,5,0)</f>
        <v>4.6395725259530565</v>
      </c>
      <c r="CV9" s="13">
        <f t="shared" si="41"/>
        <v>1.7883478520094751</v>
      </c>
      <c r="CW9" s="20">
        <f t="shared" si="13"/>
        <v>11.195294658284743</v>
      </c>
      <c r="CX9" s="59">
        <f t="shared" si="14"/>
        <v>192.66554675454373</v>
      </c>
      <c r="CY9" s="59">
        <f ca="1">AVERAGE(OFFSET($CX$3,0,0,'Données projet'!$E$13+1,1))-AVERAGE(OFFSET($H$3,0,0,'Données projet'!$E$13+1,1))</f>
        <v>408.246209980743</v>
      </c>
      <c r="CZ9" s="59">
        <f t="shared" si="42"/>
        <v>394.10236303013903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>
        <f>EXP(-LN(2)/35)*DF8+(1-EXP(-LN(2)/35))/(LN(2)/35)*DB9*DC9*VLOOKUP('Données projet'!$B$13,Paramètres!$A$1:$I$89,3,0)*0.475*44/12</f>
        <v>0</v>
      </c>
      <c r="DG9" s="21">
        <f>EXP(-LN(2)/25)*DG8+(1-EXP(-LN(2)/25))/(LN(2)/25)*Calculateur!DB9*Calculateur!DD9*VLOOKUP('Données projet'!$B$13,Paramètres!$A$1:$I$89,3,0)*0.475*44/12</f>
        <v>0</v>
      </c>
      <c r="DH9" s="21">
        <f>EXP(-LN(2)/2)*DH8+(1-EXP(-LN(2)/2))/(LN(2)/2)*DB9*DE9*VLOOKUP('Données projet'!$B$13,Paramètres!$A$1:$I$89,3,0)*0.475*44/12</f>
        <v>0</v>
      </c>
      <c r="DI9" s="22">
        <f t="shared" si="15"/>
        <v>0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4.333333333333333</v>
      </c>
      <c r="DO9" s="12">
        <f>IF('Données projet'!$A$166&gt;35,DO8+DN9-DW8,IF(A9&lt;'Données projet'!$A$166,$DL$205^A9,IF(A9='Données projet'!$A$166,'Données projet'!$B$166,DO8+DN9-DW8)))</f>
        <v>5.310865986667876</v>
      </c>
      <c r="DP9" s="17">
        <f>DO9*VLOOKUP('Données projet'!$B$14,Paramètres!$A$1:$I$89,3,0)*VLOOKUP('Données projet'!$B$14,Paramètres!$A$1:$I$89,5,0)</f>
        <v>4.1424754696009431</v>
      </c>
      <c r="DQ9" s="13">
        <f t="shared" si="43"/>
        <v>1.6179420134715023</v>
      </c>
      <c r="DR9" s="20">
        <f t="shared" si="16"/>
        <v>10.032727116351175</v>
      </c>
      <c r="DS9" s="59">
        <f t="shared" si="17"/>
        <v>191.50297921261014</v>
      </c>
      <c r="DT9" s="59">
        <f ca="1">AVERAGE(OFFSET($DS$3,0,0,'Données projet'!$E$14+1,1))-AVERAGE(OFFSET($H$3,0,0,'Données projet'!$E$14+1,1))</f>
        <v>371.07993287480366</v>
      </c>
      <c r="DU9" s="59">
        <f t="shared" si="44"/>
        <v>358.67120540290637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>
        <f>EXP(-LN(2)/35)*EA8+(1-EXP(-LN(2)/35))/(LN(2)/35)*DW9*DX9*VLOOKUP('Données projet'!$B$14,Paramètres!$A$1:$I$89,3,0)*0.475*44/12</f>
        <v>0</v>
      </c>
      <c r="EB9" s="21">
        <f>EXP(-LN(2)/25)*EB8+(1-EXP(-LN(2)/25))/(LN(2)/25)*Calculateur!DW9*Calculateur!DY9*VLOOKUP('Données projet'!$B$14,Paramètres!$A$1:$I$89,3,0)*0.475*44/12</f>
        <v>0</v>
      </c>
      <c r="EC9" s="21">
        <f>EXP(-LN(2)/2)*EC8+(1-EXP(-LN(2)/2))/(LN(2)/2)*DW9*DZ9*VLOOKUP('Données projet'!$B$14,Paramètres!$A$1:$I$89,3,0)*0.475*44/12</f>
        <v>0</v>
      </c>
      <c r="ED9" s="22">
        <f t="shared" si="18"/>
        <v>0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45">
      <c r="A10" s="10">
        <f t="shared" si="31"/>
        <v>7</v>
      </c>
      <c r="B10" s="73">
        <f>'Scénario référence'!$B$16*5+'Scénario référence'!$B$17*0+'Scénario référence'!$B$18*5</f>
        <v>5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1">
        <f t="shared" si="32"/>
        <v>0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18.333333333333332</v>
      </c>
      <c r="H10" s="67">
        <f t="shared" si="1"/>
        <v>183.33333333333334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4.0942857142857143</v>
      </c>
      <c r="N10" s="13">
        <f>IF('Données projet'!$A$36&gt;35,N9+M10-V9,IF(A10&lt;'Données projet'!$A$36,$K$205^A10,IF(A10='Données projet'!$A$36,'Données projet'!$B$36,N9+M10-V9)))</f>
        <v>28.66</v>
      </c>
      <c r="O10" s="13">
        <f>N10*VLOOKUP('Données projet'!$B$9,Paramètres!$A$1:$I$89,3,0)*VLOOKUP('Données projet'!$B$9,Paramètres!$A$1:$I$89,5,0)</f>
        <v>25.931567999999999</v>
      </c>
      <c r="P10" s="13">
        <f t="shared" si="33"/>
        <v>8.1810900516051337</v>
      </c>
      <c r="Q10" s="20">
        <f t="shared" si="2"/>
        <v>59.412879439878935</v>
      </c>
      <c r="R10" s="59">
        <f t="shared" si="0"/>
        <v>243.53706037561517</v>
      </c>
      <c r="S10" s="59">
        <f ca="1">AVERAGE(OFFSET($R$3,0,0,'Données projet'!$E$9+1,1))-AVERAGE(OFFSET($H$3,0,0,'Données projet'!$E$9+1,1))</f>
        <v>681.47578137804555</v>
      </c>
      <c r="T10" s="59">
        <f t="shared" si="34"/>
        <v>300.88511065995885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6.4429411764705877</v>
      </c>
      <c r="AI10" s="13">
        <f>IF('Données projet'!$A$62&gt;35,AI9+AH10-AQ9,IF(A10&lt;'Données projet'!$A$62,$AF$205^A10,IF(A10='Données projet'!$A$62,'Données projet'!$B$62,AI9+AH10-AQ9)))</f>
        <v>45.100588235294119</v>
      </c>
      <c r="AJ10" s="13">
        <f>AI10*VLOOKUP('Données projet'!$B$10,Paramètres!$A$1:$I$89,3,0)*VLOOKUP('Données projet'!$B$10,Paramètres!$A$1:$I$89,5,0)</f>
        <v>21.107075294117646</v>
      </c>
      <c r="AK10" s="13">
        <f t="shared" si="35"/>
        <v>6.8205076148835628</v>
      </c>
      <c r="AL10" s="20">
        <f t="shared" si="4"/>
        <v>48.640540233177099</v>
      </c>
      <c r="AM10" s="59">
        <f t="shared" si="5"/>
        <v>232.76472116891333</v>
      </c>
      <c r="AN10" s="59">
        <f ca="1">AVERAGE(OFFSET($AM$3,0,0,'Données projet'!$E$10+1,1))-AVERAGE(OFFSET($H$3,0,0,'Données projet'!$E$10+1,1))</f>
        <v>325.45940224919184</v>
      </c>
      <c r="AO10" s="59">
        <f t="shared" si="36"/>
        <v>256.30046621034876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3.3603333333333336</v>
      </c>
      <c r="BD10" s="12">
        <f>IF('Données projet'!$A$88&gt;35,BD9+BC10-BL9,IF(A10&lt;'Données projet'!$A$88,$BA$205^A10,IF(A10='Données projet'!$A$88,'Données projet'!$B$88,BD9+BC10-BL9)))</f>
        <v>23.522333333333336</v>
      </c>
      <c r="BE10" s="13">
        <f>BD10*VLOOKUP('Données projet'!$B$11,Paramètres!$A$1:$I$89,3,0)*VLOOKUP('Données projet'!$B$11,Paramètres!$A$1:$I$89,5,0)</f>
        <v>23.851646000000006</v>
      </c>
      <c r="BF10" s="13">
        <f t="shared" si="37"/>
        <v>7.5984897747645288</v>
      </c>
      <c r="BG10" s="20">
        <f t="shared" si="7"/>
        <v>54.775653141048224</v>
      </c>
      <c r="BH10" s="59">
        <f t="shared" si="8"/>
        <v>238.89983407678446</v>
      </c>
      <c r="BI10" s="59">
        <f ca="1">AVERAGE(OFFSET($BH$3,0,0,'Données projet'!$E$11+1,1))-AVERAGE(OFFSET($H$3,0,0,'Données projet'!$E$11+1,1))</f>
        <v>580.02848304986492</v>
      </c>
      <c r="BJ10" s="59">
        <f t="shared" si="38"/>
        <v>281.68891895586728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4.333333333333333</v>
      </c>
      <c r="BY10" s="12">
        <f>IF('Données projet'!$A$114&gt;35,BY9+BX10-CG9,IF(A10&lt;'Données projet'!$A$114,$BV$205^A10,IF(A10='Données projet'!$A$114,'Données projet'!$B$114,BY9+BX10-CG9)))</f>
        <v>7.0149767036694106</v>
      </c>
      <c r="BZ10" s="13">
        <f>BY10*VLOOKUP('Données projet'!$B$12,Paramètres!$A$1:$I$89,3,0)*VLOOKUP('Données projet'!$B$12,Paramètres!$A$1:$I$89,5,0)</f>
        <v>6.6754518312118112</v>
      </c>
      <c r="CA10" s="13">
        <f t="shared" si="39"/>
        <v>2.4663981261249552</v>
      </c>
      <c r="CB10" s="20">
        <f t="shared" si="10"/>
        <v>15.922055342361537</v>
      </c>
      <c r="CC10" s="59">
        <f t="shared" si="11"/>
        <v>200.04623627809778</v>
      </c>
      <c r="CD10" s="59">
        <f ca="1">AVERAGE(OFFSET($CC$3,0,0,'Données projet'!$E$12+1,1))-AVERAGE(OFFSET($H$3,0,0,'Données projet'!$E$12+1,1))</f>
        <v>439.15394290667945</v>
      </c>
      <c r="CE10" s="59">
        <f t="shared" si="40"/>
        <v>423.56554025351068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4.333333333333333</v>
      </c>
      <c r="CT10" s="12">
        <f>IF('Données projet'!$A$140&gt;35,CT9+CS10-DB9,IF(A10&lt;'Données projet'!$A$140,$CQ$205^A10,IF(A10='Données projet'!$A$140,'Données projet'!$B$140,CT9+CS10-DB9)))</f>
        <v>7.0149767036694106</v>
      </c>
      <c r="CU10" s="17">
        <f>CT10*VLOOKUP('Données projet'!$B$13,Paramètres!$A$1:$I$89,3,0)*VLOOKUP('Données projet'!$B$13,Paramètres!$A$1:$I$89,5,0)</f>
        <v>6.1282836483255982</v>
      </c>
      <c r="CV10" s="13">
        <f t="shared" si="41"/>
        <v>2.2868868656807066</v>
      </c>
      <c r="CW10" s="20">
        <f t="shared" si="13"/>
        <v>14.656421978560983</v>
      </c>
      <c r="CX10" s="59">
        <f t="shared" si="14"/>
        <v>198.78060291429722</v>
      </c>
      <c r="CY10" s="59">
        <f ca="1">AVERAGE(OFFSET($CX$3,0,0,'Données projet'!$E$13+1,1))-AVERAGE(OFFSET($H$3,0,0,'Données projet'!$E$13+1,1))</f>
        <v>408.246209980743</v>
      </c>
      <c r="CZ10" s="59">
        <f t="shared" si="42"/>
        <v>394.10236303013903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>
        <f>EXP(-LN(2)/35)*DF9+(1-EXP(-LN(2)/35))/(LN(2)/35)*DB10*DC10*VLOOKUP('Données projet'!$B$13,Paramètres!$A$1:$I$89,3,0)*0.475*44/12</f>
        <v>0</v>
      </c>
      <c r="DG10" s="21">
        <f>EXP(-LN(2)/25)*DG9+(1-EXP(-LN(2)/25))/(LN(2)/25)*Calculateur!DB10*Calculateur!DD10*VLOOKUP('Données projet'!$B$13,Paramètres!$A$1:$I$89,3,0)*0.475*44/12</f>
        <v>0</v>
      </c>
      <c r="DH10" s="21">
        <f>EXP(-LN(2)/2)*DH9+(1-EXP(-LN(2)/2))/(LN(2)/2)*DB10*DE10*VLOOKUP('Données projet'!$B$13,Paramètres!$A$1:$I$89,3,0)*0.475*44/12</f>
        <v>0</v>
      </c>
      <c r="DI10" s="22">
        <f t="shared" si="15"/>
        <v>0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4.333333333333333</v>
      </c>
      <c r="DO10" s="12">
        <f>IF('Données projet'!$A$166&gt;35,DO9+DN10-DW9,IF(A10&lt;'Données projet'!$A$166,$DL$205^A10,IF(A10='Données projet'!$A$166,'Données projet'!$B$166,DO9+DN10-DW9)))</f>
        <v>7.0149767036694106</v>
      </c>
      <c r="DP10" s="17">
        <f>DO10*VLOOKUP('Données projet'!$B$14,Paramètres!$A$1:$I$89,3,0)*VLOOKUP('Données projet'!$B$14,Paramètres!$A$1:$I$89,5,0)</f>
        <v>5.4716818288621401</v>
      </c>
      <c r="DQ10" s="13">
        <f t="shared" si="43"/>
        <v>2.068976869283802</v>
      </c>
      <c r="DR10" s="20">
        <f t="shared" si="16"/>
        <v>13.133313899270847</v>
      </c>
      <c r="DS10" s="59">
        <f t="shared" si="17"/>
        <v>197.25749483500709</v>
      </c>
      <c r="DT10" s="59">
        <f ca="1">AVERAGE(OFFSET($DS$3,0,0,'Données projet'!$E$14+1,1))-AVERAGE(OFFSET($H$3,0,0,'Données projet'!$E$14+1,1))</f>
        <v>371.07993287480366</v>
      </c>
      <c r="DU10" s="59">
        <f t="shared" si="44"/>
        <v>358.67120540290637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>
        <f>EXP(-LN(2)/35)*EA9+(1-EXP(-LN(2)/35))/(LN(2)/35)*DW10*DX10*VLOOKUP('Données projet'!$B$14,Paramètres!$A$1:$I$89,3,0)*0.475*44/12</f>
        <v>0</v>
      </c>
      <c r="EB10" s="21">
        <f>EXP(-LN(2)/25)*EB9+(1-EXP(-LN(2)/25))/(LN(2)/25)*Calculateur!DW10*Calculateur!DY10*VLOOKUP('Données projet'!$B$14,Paramètres!$A$1:$I$89,3,0)*0.475*44/12</f>
        <v>0</v>
      </c>
      <c r="EC10" s="21">
        <f>EXP(-LN(2)/2)*EC9+(1-EXP(-LN(2)/2))/(LN(2)/2)*DW10*DZ10*VLOOKUP('Données projet'!$B$14,Paramètres!$A$1:$I$89,3,0)*0.475*44/12</f>
        <v>0</v>
      </c>
      <c r="ED10" s="22">
        <f t="shared" si="18"/>
        <v>0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45">
      <c r="A11" s="10">
        <f t="shared" si="31"/>
        <v>8</v>
      </c>
      <c r="B11" s="73">
        <f>'Scénario référence'!$B$16*5+'Scénario référence'!$B$17*0+'Scénario référence'!$B$18*5</f>
        <v>5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1">
        <f t="shared" si="32"/>
        <v>0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18.333333333333332</v>
      </c>
      <c r="H11" s="67">
        <f t="shared" si="1"/>
        <v>183.33333333333334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4.0942857142857143</v>
      </c>
      <c r="N11" s="13">
        <f>IF('Données projet'!$A$36&gt;35,N10+M11-V10,IF(A11&lt;'Données projet'!$A$36,$K$205^A11,IF(A11='Données projet'!$A$36,'Données projet'!$B$36,N10+M11-V10)))</f>
        <v>32.754285714285714</v>
      </c>
      <c r="O11" s="13">
        <f>N11*VLOOKUP('Données projet'!$B$9,Paramètres!$A$1:$I$89,3,0)*VLOOKUP('Données projet'!$B$9,Paramètres!$A$1:$I$89,5,0)</f>
        <v>29.636077714285712</v>
      </c>
      <c r="P11" s="13">
        <f t="shared" si="33"/>
        <v>9.205616053429063</v>
      </c>
      <c r="Q11" s="20">
        <f t="shared" si="2"/>
        <v>67.649283312103222</v>
      </c>
      <c r="R11" s="59">
        <f t="shared" si="0"/>
        <v>254.40255617832378</v>
      </c>
      <c r="S11" s="59">
        <f ca="1">AVERAGE(OFFSET($R$3,0,0,'Données projet'!$E$9+1,1))-AVERAGE(OFFSET($H$3,0,0,'Données projet'!$E$9+1,1))</f>
        <v>681.47578137804555</v>
      </c>
      <c r="T11" s="59">
        <f t="shared" si="34"/>
        <v>300.88511065995885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6.4429411764705877</v>
      </c>
      <c r="AI11" s="13">
        <f>IF('Données projet'!$A$62&gt;35,AI10+AH11-AQ10,IF(A11&lt;'Données projet'!$A$62,$AF$205^A11,IF(A11='Données projet'!$A$62,'Données projet'!$B$62,AI10+AH11-AQ10)))</f>
        <v>51.543529411764709</v>
      </c>
      <c r="AJ11" s="13">
        <f>AI11*VLOOKUP('Données projet'!$B$10,Paramètres!$A$1:$I$89,3,0)*VLOOKUP('Données projet'!$B$10,Paramètres!$A$1:$I$89,5,0)</f>
        <v>24.122371764705882</v>
      </c>
      <c r="AK11" s="13">
        <f t="shared" si="35"/>
        <v>7.6746465319482056</v>
      </c>
      <c r="AL11" s="20">
        <f t="shared" si="4"/>
        <v>55.379806866672531</v>
      </c>
      <c r="AM11" s="59">
        <f t="shared" si="5"/>
        <v>242.13307973289309</v>
      </c>
      <c r="AN11" s="59">
        <f ca="1">AVERAGE(OFFSET($AM$3,0,0,'Données projet'!$E$10+1,1))-AVERAGE(OFFSET($H$3,0,0,'Données projet'!$E$10+1,1))</f>
        <v>325.45940224919184</v>
      </c>
      <c r="AO11" s="59">
        <f t="shared" si="36"/>
        <v>256.30046621034876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3.3603333333333336</v>
      </c>
      <c r="BD11" s="12">
        <f>IF('Données projet'!$A$88&gt;35,BD10+BC11-BL10,IF(A11&lt;'Données projet'!$A$88,$BA$205^A11,IF(A11='Données projet'!$A$88,'Données projet'!$B$88,BD10+BC11-BL10)))</f>
        <v>26.882666666666669</v>
      </c>
      <c r="BE11" s="13">
        <f>BD11*VLOOKUP('Données projet'!$B$11,Paramètres!$A$1:$I$89,3,0)*VLOOKUP('Données projet'!$B$11,Paramètres!$A$1:$I$89,5,0)</f>
        <v>27.259024000000004</v>
      </c>
      <c r="BF11" s="13">
        <f t="shared" si="37"/>
        <v>8.5500561674742812</v>
      </c>
      <c r="BG11" s="20">
        <f t="shared" si="7"/>
        <v>62.367481291684378</v>
      </c>
      <c r="BH11" s="59">
        <f t="shared" si="8"/>
        <v>249.12075415790494</v>
      </c>
      <c r="BI11" s="59">
        <f ca="1">AVERAGE(OFFSET($BH$3,0,0,'Données projet'!$E$11+1,1))-AVERAGE(OFFSET($H$3,0,0,'Données projet'!$E$11+1,1))</f>
        <v>580.02848304986492</v>
      </c>
      <c r="BJ11" s="59">
        <f t="shared" si="38"/>
        <v>281.68891895586728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4.333333333333333</v>
      </c>
      <c r="BY11" s="12">
        <f>IF('Données projet'!$A$114&gt;35,BY10+BX11-CG10,IF(A11&lt;'Données projet'!$A$114,$BV$205^A11,IF(A11='Données projet'!$A$114,'Données projet'!$B$114,BY10+BX11-CG10)))</f>
        <v>9.2658896452214261</v>
      </c>
      <c r="BZ11" s="13">
        <f>BY11*VLOOKUP('Données projet'!$B$12,Paramètres!$A$1:$I$89,3,0)*VLOOKUP('Données projet'!$B$12,Paramètres!$A$1:$I$89,5,0)</f>
        <v>8.8174205863927089</v>
      </c>
      <c r="CA11" s="13">
        <f t="shared" si="39"/>
        <v>3.1539577011468243</v>
      </c>
      <c r="CB11" s="20">
        <f t="shared" si="10"/>
        <v>20.850150517464684</v>
      </c>
      <c r="CC11" s="59">
        <f t="shared" si="11"/>
        <v>207.60342338368525</v>
      </c>
      <c r="CD11" s="59">
        <f ca="1">AVERAGE(OFFSET($CC$3,0,0,'Données projet'!$E$12+1,1))-AVERAGE(OFFSET($H$3,0,0,'Données projet'!$E$12+1,1))</f>
        <v>439.15394290667945</v>
      </c>
      <c r="CE11" s="59">
        <f t="shared" si="40"/>
        <v>423.56554025351068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4.333333333333333</v>
      </c>
      <c r="CT11" s="12">
        <f>IF('Données projet'!$A$140&gt;35,CT10+CS11-DB10,IF(A11&lt;'Données projet'!$A$140,$CQ$205^A11,IF(A11='Données projet'!$A$140,'Données projet'!$B$140,CT10+CS11-DB10)))</f>
        <v>9.2658896452214261</v>
      </c>
      <c r="CU11" s="17">
        <f>CT11*VLOOKUP('Données projet'!$B$13,Paramètres!$A$1:$I$89,3,0)*VLOOKUP('Données projet'!$B$13,Paramètres!$A$1:$I$89,5,0)</f>
        <v>8.0946811940654388</v>
      </c>
      <c r="CV11" s="13">
        <f t="shared" si="41"/>
        <v>2.924403957846573</v>
      </c>
      <c r="CW11" s="20">
        <f t="shared" si="13"/>
        <v>19.191573306246756</v>
      </c>
      <c r="CX11" s="59">
        <f t="shared" si="14"/>
        <v>205.94484617246732</v>
      </c>
      <c r="CY11" s="59">
        <f ca="1">AVERAGE(OFFSET($CX$3,0,0,'Données projet'!$E$13+1,1))-AVERAGE(OFFSET($H$3,0,0,'Données projet'!$E$13+1,1))</f>
        <v>408.246209980743</v>
      </c>
      <c r="CZ11" s="59">
        <f t="shared" si="42"/>
        <v>394.10236303013903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>
        <f>EXP(-LN(2)/35)*DF10+(1-EXP(-LN(2)/35))/(LN(2)/35)*DB11*DC11*VLOOKUP('Données projet'!$B$13,Paramètres!$A$1:$I$89,3,0)*0.475*44/12</f>
        <v>0</v>
      </c>
      <c r="DG11" s="21">
        <f>EXP(-LN(2)/25)*DG10+(1-EXP(-LN(2)/25))/(LN(2)/25)*Calculateur!DB11*Calculateur!DD11*VLOOKUP('Données projet'!$B$13,Paramètres!$A$1:$I$89,3,0)*0.475*44/12</f>
        <v>0</v>
      </c>
      <c r="DH11" s="21">
        <f>EXP(-LN(2)/2)*DH10+(1-EXP(-LN(2)/2))/(LN(2)/2)*DB11*DE11*VLOOKUP('Données projet'!$B$13,Paramètres!$A$1:$I$89,3,0)*0.475*44/12</f>
        <v>0</v>
      </c>
      <c r="DI11" s="22">
        <f t="shared" si="15"/>
        <v>0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4.333333333333333</v>
      </c>
      <c r="DO11" s="12">
        <f>IF('Données projet'!$A$166&gt;35,DO10+DN11-DW10,IF(A11&lt;'Données projet'!$A$166,$DL$205^A11,IF(A11='Données projet'!$A$166,'Données projet'!$B$166,DO10+DN11-DW10)))</f>
        <v>9.2658896452214261</v>
      </c>
      <c r="DP11" s="17">
        <f>DO11*VLOOKUP('Données projet'!$B$14,Paramètres!$A$1:$I$89,3,0)*VLOOKUP('Données projet'!$B$14,Paramètres!$A$1:$I$89,5,0)</f>
        <v>7.2273939232727127</v>
      </c>
      <c r="DQ11" s="13">
        <f t="shared" si="43"/>
        <v>2.6457470354247645</v>
      </c>
      <c r="DR11" s="20">
        <f t="shared" si="16"/>
        <v>17.19572050306477</v>
      </c>
      <c r="DS11" s="59">
        <f t="shared" si="17"/>
        <v>203.94899336928532</v>
      </c>
      <c r="DT11" s="59">
        <f ca="1">AVERAGE(OFFSET($DS$3,0,0,'Données projet'!$E$14+1,1))-AVERAGE(OFFSET($H$3,0,0,'Données projet'!$E$14+1,1))</f>
        <v>371.07993287480366</v>
      </c>
      <c r="DU11" s="59">
        <f t="shared" si="44"/>
        <v>358.67120540290637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>
        <f>EXP(-LN(2)/35)*EA10+(1-EXP(-LN(2)/35))/(LN(2)/35)*DW11*DX11*VLOOKUP('Données projet'!$B$14,Paramètres!$A$1:$I$89,3,0)*0.475*44/12</f>
        <v>0</v>
      </c>
      <c r="EB11" s="21">
        <f>EXP(-LN(2)/25)*EB10+(1-EXP(-LN(2)/25))/(LN(2)/25)*Calculateur!DW11*Calculateur!DY11*VLOOKUP('Données projet'!$B$14,Paramètres!$A$1:$I$89,3,0)*0.475*44/12</f>
        <v>0</v>
      </c>
      <c r="EC11" s="21">
        <f>EXP(-LN(2)/2)*EC10+(1-EXP(-LN(2)/2))/(LN(2)/2)*DW11*DZ11*VLOOKUP('Données projet'!$B$14,Paramètres!$A$1:$I$89,3,0)*0.475*44/12</f>
        <v>0</v>
      </c>
      <c r="ED11" s="22">
        <f t="shared" si="18"/>
        <v>0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45">
      <c r="A12" s="10">
        <f t="shared" si="31"/>
        <v>9</v>
      </c>
      <c r="B12" s="73">
        <f>'Scénario référence'!$B$16*5+'Scénario référence'!$B$17*0+'Scénario référence'!$B$18*5</f>
        <v>5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1">
        <f t="shared" si="32"/>
        <v>0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18.333333333333332</v>
      </c>
      <c r="H12" s="67">
        <f t="shared" si="1"/>
        <v>183.33333333333334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4.0942857142857143</v>
      </c>
      <c r="N12" s="13">
        <f>IF('Données projet'!$A$36&gt;35,N11+M12-V11,IF(A12&lt;'Données projet'!$A$36,$K$205^A12,IF(A12='Données projet'!$A$36,'Données projet'!$B$36,N11+M12-V11)))</f>
        <v>36.848571428571432</v>
      </c>
      <c r="O12" s="13">
        <f>N12*VLOOKUP('Données projet'!$B$9,Paramètres!$A$1:$I$89,3,0)*VLOOKUP('Données projet'!$B$9,Paramètres!$A$1:$I$89,5,0)</f>
        <v>33.340587428571432</v>
      </c>
      <c r="P12" s="13">
        <f t="shared" si="33"/>
        <v>10.215302372953809</v>
      </c>
      <c r="Q12" s="20">
        <f t="shared" si="2"/>
        <v>75.85984140432312</v>
      </c>
      <c r="R12" s="59">
        <f t="shared" si="0"/>
        <v>265.21780015687921</v>
      </c>
      <c r="S12" s="59">
        <f ca="1">AVERAGE(OFFSET($R$3,0,0,'Données projet'!$E$9+1,1))-AVERAGE(OFFSET($H$3,0,0,'Données projet'!$E$9+1,1))</f>
        <v>681.47578137804555</v>
      </c>
      <c r="T12" s="59">
        <f t="shared" si="34"/>
        <v>300.88511065995885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6.4429411764705877</v>
      </c>
      <c r="AI12" s="13">
        <f>IF('Données projet'!$A$62&gt;35,AI11+AH12-AQ11,IF(A12&lt;'Données projet'!$A$62,$AF$205^A12,IF(A12='Données projet'!$A$62,'Données projet'!$B$62,AI11+AH12-AQ11)))</f>
        <v>57.986470588235299</v>
      </c>
      <c r="AJ12" s="13">
        <f>AI12*VLOOKUP('Données projet'!$B$10,Paramètres!$A$1:$I$89,3,0)*VLOOKUP('Données projet'!$B$10,Paramètres!$A$1:$I$89,5,0)</f>
        <v>27.137668235294122</v>
      </c>
      <c r="AK12" s="13">
        <f t="shared" si="35"/>
        <v>8.5164137277036307</v>
      </c>
      <c r="AL12" s="20">
        <f t="shared" si="4"/>
        <v>62.097526085554399</v>
      </c>
      <c r="AM12" s="59">
        <f t="shared" si="5"/>
        <v>251.45548483811046</v>
      </c>
      <c r="AN12" s="59">
        <f ca="1">AVERAGE(OFFSET($AM$3,0,0,'Données projet'!$E$10+1,1))-AVERAGE(OFFSET($H$3,0,0,'Données projet'!$E$10+1,1))</f>
        <v>325.45940224919184</v>
      </c>
      <c r="AO12" s="59">
        <f t="shared" si="36"/>
        <v>256.30046621034876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3.3603333333333336</v>
      </c>
      <c r="BD12" s="12">
        <f>IF('Données projet'!$A$88&gt;35,BD11+BC12-BL11,IF(A12&lt;'Données projet'!$A$88,$BA$205^A12,IF(A12='Données projet'!$A$88,'Données projet'!$B$88,BD11+BC12-BL11)))</f>
        <v>30.243000000000002</v>
      </c>
      <c r="BE12" s="13">
        <f>BD12*VLOOKUP('Données projet'!$B$11,Paramètres!$A$1:$I$89,3,0)*VLOOKUP('Données projet'!$B$11,Paramètres!$A$1:$I$89,5,0)</f>
        <v>30.666402000000005</v>
      </c>
      <c r="BF12" s="13">
        <f t="shared" si="37"/>
        <v>9.4878396567445336</v>
      </c>
      <c r="BG12" s="20">
        <f t="shared" si="7"/>
        <v>69.935304218830069</v>
      </c>
      <c r="BH12" s="59">
        <f t="shared" si="8"/>
        <v>259.29326297138613</v>
      </c>
      <c r="BI12" s="59">
        <f ca="1">AVERAGE(OFFSET($BH$3,0,0,'Données projet'!$E$11+1,1))-AVERAGE(OFFSET($H$3,0,0,'Données projet'!$E$11+1,1))</f>
        <v>580.02848304986492</v>
      </c>
      <c r="BJ12" s="59">
        <f t="shared" si="38"/>
        <v>281.68891895586728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4.333333333333333</v>
      </c>
      <c r="BY12" s="12">
        <f>IF('Données projet'!$A$114&gt;35,BY11+BX12-CG11,IF(A12&lt;'Données projet'!$A$114,$BV$205^A12,IF(A12='Données projet'!$A$114,'Données projet'!$B$114,BY11+BX12-CG11)))</f>
        <v>12.23905859480781</v>
      </c>
      <c r="BZ12" s="13">
        <f>BY12*VLOOKUP('Données projet'!$B$12,Paramètres!$A$1:$I$89,3,0)*VLOOKUP('Données projet'!$B$12,Paramètres!$A$1:$I$89,5,0)</f>
        <v>11.646688158819112</v>
      </c>
      <c r="CA12" s="13">
        <f t="shared" si="39"/>
        <v>4.0331887521550103</v>
      </c>
      <c r="CB12" s="20">
        <f t="shared" si="10"/>
        <v>27.309118953279931</v>
      </c>
      <c r="CC12" s="59">
        <f t="shared" si="11"/>
        <v>216.66707770583599</v>
      </c>
      <c r="CD12" s="59">
        <f ca="1">AVERAGE(OFFSET($CC$3,0,0,'Données projet'!$E$12+1,1))-AVERAGE(OFFSET($H$3,0,0,'Données projet'!$E$12+1,1))</f>
        <v>439.15394290667945</v>
      </c>
      <c r="CE12" s="59">
        <f t="shared" si="40"/>
        <v>423.56554025351068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4.333333333333333</v>
      </c>
      <c r="CT12" s="12">
        <f>IF('Données projet'!$A$140&gt;35,CT11+CS12-DB11,IF(A12&lt;'Données projet'!$A$140,$CQ$205^A12,IF(A12='Données projet'!$A$140,'Données projet'!$B$140,CT11+CS12-DB11)))</f>
        <v>12.23905859480781</v>
      </c>
      <c r="CU12" s="17">
        <f>CT12*VLOOKUP('Données projet'!$B$13,Paramètres!$A$1:$I$89,3,0)*VLOOKUP('Données projet'!$B$13,Paramètres!$A$1:$I$89,5,0)</f>
        <v>10.692041588424106</v>
      </c>
      <c r="CV12" s="13">
        <f t="shared" si="41"/>
        <v>3.739642147152348</v>
      </c>
      <c r="CW12" s="20">
        <f t="shared" si="13"/>
        <v>25.135182506128984</v>
      </c>
      <c r="CX12" s="59">
        <f t="shared" si="14"/>
        <v>214.49314125868506</v>
      </c>
      <c r="CY12" s="59">
        <f ca="1">AVERAGE(OFFSET($CX$3,0,0,'Données projet'!$E$13+1,1))-AVERAGE(OFFSET($H$3,0,0,'Données projet'!$E$13+1,1))</f>
        <v>408.246209980743</v>
      </c>
      <c r="CZ12" s="59">
        <f t="shared" si="42"/>
        <v>394.10236303013903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>
        <f>EXP(-LN(2)/35)*DF11+(1-EXP(-LN(2)/35))/(LN(2)/35)*DB12*DC12*VLOOKUP('Données projet'!$B$13,Paramètres!$A$1:$I$89,3,0)*0.475*44/12</f>
        <v>0</v>
      </c>
      <c r="DG12" s="21">
        <f>EXP(-LN(2)/25)*DG11+(1-EXP(-LN(2)/25))/(LN(2)/25)*Calculateur!DB12*Calculateur!DD12*VLOOKUP('Données projet'!$B$13,Paramètres!$A$1:$I$89,3,0)*0.475*44/12</f>
        <v>0</v>
      </c>
      <c r="DH12" s="21">
        <f>EXP(-LN(2)/2)*DH11+(1-EXP(-LN(2)/2))/(LN(2)/2)*DB12*DE12*VLOOKUP('Données projet'!$B$13,Paramètres!$A$1:$I$89,3,0)*0.475*44/12</f>
        <v>0</v>
      </c>
      <c r="DI12" s="22">
        <f t="shared" si="15"/>
        <v>0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4.333333333333333</v>
      </c>
      <c r="DO12" s="12">
        <f>IF('Données projet'!$A$166&gt;35,DO11+DN12-DW11,IF(A12&lt;'Données projet'!$A$166,$DL$205^A12,IF(A12='Données projet'!$A$166,'Données projet'!$B$166,DO11+DN12-DW11)))</f>
        <v>12.23905859480781</v>
      </c>
      <c r="DP12" s="17">
        <f>DO12*VLOOKUP('Données projet'!$B$14,Paramètres!$A$1:$I$89,3,0)*VLOOKUP('Données projet'!$B$14,Paramètres!$A$1:$I$89,5,0)</f>
        <v>9.5464657039500924</v>
      </c>
      <c r="DQ12" s="13">
        <f t="shared" si="43"/>
        <v>3.3833038345576325</v>
      </c>
      <c r="DR12" s="20">
        <f t="shared" si="16"/>
        <v>22.519348612900952</v>
      </c>
      <c r="DS12" s="59">
        <f t="shared" si="17"/>
        <v>211.87730736545703</v>
      </c>
      <c r="DT12" s="59">
        <f ca="1">AVERAGE(OFFSET($DS$3,0,0,'Données projet'!$E$14+1,1))-AVERAGE(OFFSET($H$3,0,0,'Données projet'!$E$14+1,1))</f>
        <v>371.07993287480366</v>
      </c>
      <c r="DU12" s="59">
        <f t="shared" si="44"/>
        <v>358.67120540290637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>
        <f>EXP(-LN(2)/35)*EA11+(1-EXP(-LN(2)/35))/(LN(2)/35)*DW12*DX12*VLOOKUP('Données projet'!$B$14,Paramètres!$A$1:$I$89,3,0)*0.475*44/12</f>
        <v>0</v>
      </c>
      <c r="EB12" s="21">
        <f>EXP(-LN(2)/25)*EB11+(1-EXP(-LN(2)/25))/(LN(2)/25)*Calculateur!DW12*Calculateur!DY12*VLOOKUP('Données projet'!$B$14,Paramètres!$A$1:$I$89,3,0)*0.475*44/12</f>
        <v>0</v>
      </c>
      <c r="EC12" s="21">
        <f>EXP(-LN(2)/2)*EC11+(1-EXP(-LN(2)/2))/(LN(2)/2)*DW12*DZ12*VLOOKUP('Données projet'!$B$14,Paramètres!$A$1:$I$89,3,0)*0.475*44/12</f>
        <v>0</v>
      </c>
      <c r="ED12" s="22">
        <f t="shared" si="18"/>
        <v>0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45">
      <c r="A13" s="10">
        <f t="shared" si="31"/>
        <v>10</v>
      </c>
      <c r="B13" s="73">
        <f>'Scénario référence'!$B$16*5+'Scénario référence'!$B$17*0+'Scénario référence'!$B$18*5</f>
        <v>5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1">
        <f t="shared" si="32"/>
        <v>0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18.333333333333332</v>
      </c>
      <c r="H13" s="67">
        <f t="shared" si="1"/>
        <v>183.33333333333334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4.0942857142857143</v>
      </c>
      <c r="N13" s="13">
        <f>IF('Données projet'!$A$36&gt;35,N12+M13-V12,IF(A13&lt;'Données projet'!$A$36,$K$205^A13,IF(A13='Données projet'!$A$36,'Données projet'!$B$36,N12+M13-V12)))</f>
        <v>40.94285714285715</v>
      </c>
      <c r="O13" s="13">
        <f>N13*VLOOKUP('Données projet'!$B$9,Paramètres!$A$1:$I$89,3,0)*VLOOKUP('Données projet'!$B$9,Paramètres!$A$1:$I$89,5,0)</f>
        <v>37.045097142857145</v>
      </c>
      <c r="P13" s="13">
        <f t="shared" si="33"/>
        <v>11.211985951829543</v>
      </c>
      <c r="Q13" s="20">
        <f t="shared" si="2"/>
        <v>84.04775305657931</v>
      </c>
      <c r="R13" s="59">
        <f t="shared" si="0"/>
        <v>275.98641504162418</v>
      </c>
      <c r="S13" s="59">
        <f ca="1">AVERAGE(OFFSET($R$3,0,0,'Données projet'!$E$9+1,1))-AVERAGE(OFFSET($H$3,0,0,'Données projet'!$E$9+1,1))</f>
        <v>681.47578137804555</v>
      </c>
      <c r="T13" s="59">
        <f t="shared" si="34"/>
        <v>300.88511065995885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6.4429411764705877</v>
      </c>
      <c r="AI13" s="13">
        <f>IF('Données projet'!$A$62&gt;35,AI12+AH13-AQ12,IF(A13&lt;'Données projet'!$A$62,$AF$205^A13,IF(A13='Données projet'!$A$62,'Données projet'!$B$62,AI12+AH13-AQ12)))</f>
        <v>64.42941176470589</v>
      </c>
      <c r="AJ13" s="13">
        <f>AI13*VLOOKUP('Données projet'!$B$10,Paramètres!$A$1:$I$89,3,0)*VLOOKUP('Données projet'!$B$10,Paramètres!$A$1:$I$89,5,0)</f>
        <v>30.152964705882358</v>
      </c>
      <c r="AK13" s="13">
        <f t="shared" si="35"/>
        <v>9.3473406453235626</v>
      </c>
      <c r="AL13" s="20">
        <f t="shared" si="4"/>
        <v>68.796365153350322</v>
      </c>
      <c r="AM13" s="59">
        <f t="shared" si="5"/>
        <v>260.7350271383952</v>
      </c>
      <c r="AN13" s="59">
        <f ca="1">AVERAGE(OFFSET($AM$3,0,0,'Données projet'!$E$10+1,1))-AVERAGE(OFFSET($H$3,0,0,'Données projet'!$E$10+1,1))</f>
        <v>325.45940224919184</v>
      </c>
      <c r="AO13" s="59">
        <f t="shared" si="36"/>
        <v>256.30046621034876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3.3603333333333336</v>
      </c>
      <c r="BD13" s="12">
        <f>IF('Données projet'!$A$88&gt;35,BD12+BC13-BL12,IF(A13&lt;'Données projet'!$A$88,$BA$205^A13,IF(A13='Données projet'!$A$88,'Données projet'!$B$88,BD12+BC13-BL12)))</f>
        <v>33.603333333333339</v>
      </c>
      <c r="BE13" s="13">
        <f>BD13*VLOOKUP('Données projet'!$B$11,Paramètres!$A$1:$I$89,3,0)*VLOOKUP('Données projet'!$B$11,Paramètres!$A$1:$I$89,5,0)</f>
        <v>34.073780000000006</v>
      </c>
      <c r="BF13" s="13">
        <f t="shared" si="37"/>
        <v>10.413546370029898</v>
      </c>
      <c r="BG13" s="20">
        <f t="shared" si="7"/>
        <v>77.482093427802084</v>
      </c>
      <c r="BH13" s="59">
        <f t="shared" si="8"/>
        <v>269.42075541284697</v>
      </c>
      <c r="BI13" s="59">
        <f ca="1">AVERAGE(OFFSET($BH$3,0,0,'Données projet'!$E$11+1,1))-AVERAGE(OFFSET($H$3,0,0,'Données projet'!$E$11+1,1))</f>
        <v>580.02848304986492</v>
      </c>
      <c r="BJ13" s="59">
        <f t="shared" si="38"/>
        <v>281.68891895586728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4.333333333333333</v>
      </c>
      <c r="BY13" s="12">
        <f>IF('Données projet'!$A$114&gt;35,BY12+BX13-CG12,IF(A13&lt;'Données projet'!$A$114,$BV$205^A13,IF(A13='Données projet'!$A$114,'Données projet'!$B$114,BY12+BX13-CG12)))</f>
        <v>16.166235625781542</v>
      </c>
      <c r="BZ13" s="13">
        <f>BY13*VLOOKUP('Données projet'!$B$12,Paramètres!$A$1:$I$89,3,0)*VLOOKUP('Données projet'!$B$12,Paramètres!$A$1:$I$89,5,0)</f>
        <v>15.383789821493716</v>
      </c>
      <c r="CA13" s="13">
        <f t="shared" si="39"/>
        <v>5.157523674015958</v>
      </c>
      <c r="CB13" s="20">
        <f t="shared" si="10"/>
        <v>35.776121004679347</v>
      </c>
      <c r="CC13" s="59">
        <f t="shared" si="11"/>
        <v>227.71478298972423</v>
      </c>
      <c r="CD13" s="59">
        <f ca="1">AVERAGE(OFFSET($CC$3,0,0,'Données projet'!$E$12+1,1))-AVERAGE(OFFSET($H$3,0,0,'Données projet'!$E$12+1,1))</f>
        <v>439.15394290667945</v>
      </c>
      <c r="CE13" s="59">
        <f t="shared" si="40"/>
        <v>423.56554025351068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4.333333333333333</v>
      </c>
      <c r="CT13" s="12">
        <f>IF('Données projet'!$A$140&gt;35,CT12+CS13-DB12,IF(A13&lt;'Données projet'!$A$140,$CQ$205^A13,IF(A13='Données projet'!$A$140,'Données projet'!$B$140,CT12+CS13-DB12)))</f>
        <v>16.166235625781542</v>
      </c>
      <c r="CU13" s="17">
        <f>CT13*VLOOKUP('Données projet'!$B$13,Paramètres!$A$1:$I$89,3,0)*VLOOKUP('Données projet'!$B$13,Paramètres!$A$1:$I$89,5,0)</f>
        <v>14.122823442682758</v>
      </c>
      <c r="CV13" s="13">
        <f t="shared" si="41"/>
        <v>4.7821448713454142</v>
      </c>
      <c r="CW13" s="20">
        <f t="shared" si="13"/>
        <v>32.9261531469324</v>
      </c>
      <c r="CX13" s="59">
        <f t="shared" si="14"/>
        <v>224.86481513197728</v>
      </c>
      <c r="CY13" s="59">
        <f ca="1">AVERAGE(OFFSET($CX$3,0,0,'Données projet'!$E$13+1,1))-AVERAGE(OFFSET($H$3,0,0,'Données projet'!$E$13+1,1))</f>
        <v>408.246209980743</v>
      </c>
      <c r="CZ13" s="59">
        <f t="shared" si="42"/>
        <v>394.10236303013903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>
        <f>EXP(-LN(2)/35)*DF12+(1-EXP(-LN(2)/35))/(LN(2)/35)*DB13*DC13*VLOOKUP('Données projet'!$B$13,Paramètres!$A$1:$I$89,3,0)*0.475*44/12</f>
        <v>0</v>
      </c>
      <c r="DG13" s="21">
        <f>EXP(-LN(2)/25)*DG12+(1-EXP(-LN(2)/25))/(LN(2)/25)*Calculateur!DB13*Calculateur!DD13*VLOOKUP('Données projet'!$B$13,Paramètres!$A$1:$I$89,3,0)*0.475*44/12</f>
        <v>0</v>
      </c>
      <c r="DH13" s="21">
        <f>EXP(-LN(2)/2)*DH12+(1-EXP(-LN(2)/2))/(LN(2)/2)*DB13*DE13*VLOOKUP('Données projet'!$B$13,Paramètres!$A$1:$I$89,3,0)*0.475*44/12</f>
        <v>0</v>
      </c>
      <c r="DI13" s="22">
        <f t="shared" si="15"/>
        <v>0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4.333333333333333</v>
      </c>
      <c r="DO13" s="12">
        <f>IF('Données projet'!$A$166&gt;35,DO12+DN13-DW12,IF(A13&lt;'Données projet'!$A$166,$DL$205^A13,IF(A13='Données projet'!$A$166,'Données projet'!$B$166,DO12+DN13-DW12)))</f>
        <v>16.166235625781542</v>
      </c>
      <c r="DP13" s="17">
        <f>DO13*VLOOKUP('Données projet'!$B$14,Paramètres!$A$1:$I$89,3,0)*VLOOKUP('Données projet'!$B$14,Paramètres!$A$1:$I$89,5,0)</f>
        <v>12.609663788109604</v>
      </c>
      <c r="DQ13" s="13">
        <f t="shared" si="43"/>
        <v>4.3264698717104082</v>
      </c>
      <c r="DR13" s="20">
        <f t="shared" si="16"/>
        <v>29.497099457519852</v>
      </c>
      <c r="DS13" s="59">
        <f t="shared" si="17"/>
        <v>221.43576144256474</v>
      </c>
      <c r="DT13" s="59">
        <f ca="1">AVERAGE(OFFSET($DS$3,0,0,'Données projet'!$E$14+1,1))-AVERAGE(OFFSET($H$3,0,0,'Données projet'!$E$14+1,1))</f>
        <v>371.07993287480366</v>
      </c>
      <c r="DU13" s="59">
        <f t="shared" si="44"/>
        <v>358.67120540290637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>
        <f>EXP(-LN(2)/35)*EA12+(1-EXP(-LN(2)/35))/(LN(2)/35)*DW13*DX13*VLOOKUP('Données projet'!$B$14,Paramètres!$A$1:$I$89,3,0)*0.475*44/12</f>
        <v>0</v>
      </c>
      <c r="EB13" s="21">
        <f>EXP(-LN(2)/25)*EB12+(1-EXP(-LN(2)/25))/(LN(2)/25)*Calculateur!DW13*Calculateur!DY13*VLOOKUP('Données projet'!$B$14,Paramètres!$A$1:$I$89,3,0)*0.475*44/12</f>
        <v>0</v>
      </c>
      <c r="EC13" s="21">
        <f>EXP(-LN(2)/2)*EC12+(1-EXP(-LN(2)/2))/(LN(2)/2)*DW13*DZ13*VLOOKUP('Données projet'!$B$14,Paramètres!$A$1:$I$89,3,0)*0.475*44/12</f>
        <v>0</v>
      </c>
      <c r="ED13" s="22">
        <f t="shared" si="18"/>
        <v>0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45">
      <c r="A14" s="10">
        <f t="shared" si="31"/>
        <v>11</v>
      </c>
      <c r="B14" s="73">
        <f>'Scénario référence'!$B$16*5+'Scénario référence'!$B$17*0+'Scénario référence'!$B$18*5</f>
        <v>5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1">
        <f t="shared" si="32"/>
        <v>0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18.333333333333332</v>
      </c>
      <c r="H14" s="67">
        <f t="shared" si="1"/>
        <v>183.33333333333334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4.0942857142857143</v>
      </c>
      <c r="N14" s="13">
        <f>IF('Données projet'!$A$36&gt;35,N13+M14-V13,IF(A14&lt;'Données projet'!$A$36,$K$205^A14,IF(A14='Données projet'!$A$36,'Données projet'!$B$36,N13+M14-V13)))</f>
        <v>45.037142857142868</v>
      </c>
      <c r="O14" s="13">
        <f>N14*VLOOKUP('Données projet'!$B$9,Paramètres!$A$1:$I$89,3,0)*VLOOKUP('Données projet'!$B$9,Paramètres!$A$1:$I$89,5,0)</f>
        <v>40.749606857142865</v>
      </c>
      <c r="P14" s="13">
        <f t="shared" si="33"/>
        <v>12.197115083595657</v>
      </c>
      <c r="Q14" s="20">
        <f t="shared" si="2"/>
        <v>92.215540713452924</v>
      </c>
      <c r="R14" s="59">
        <f t="shared" si="0"/>
        <v>286.71133932256703</v>
      </c>
      <c r="S14" s="59">
        <f ca="1">AVERAGE(OFFSET($R$3,0,0,'Données projet'!$E$9+1,1))-AVERAGE(OFFSET($H$3,0,0,'Données projet'!$E$9+1,1))</f>
        <v>681.47578137804555</v>
      </c>
      <c r="T14" s="59">
        <f t="shared" si="34"/>
        <v>300.88511065995885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6.4429411764705877</v>
      </c>
      <c r="AI14" s="13">
        <f>IF('Données projet'!$A$62&gt;35,AI13+AH14-AQ13,IF(A14&lt;'Données projet'!$A$62,$AF$205^A14,IF(A14='Données projet'!$A$62,'Données projet'!$B$62,AI13+AH14-AQ13)))</f>
        <v>70.872352941176473</v>
      </c>
      <c r="AJ14" s="13">
        <f>AI14*VLOOKUP('Données projet'!$B$10,Paramètres!$A$1:$I$89,3,0)*VLOOKUP('Données projet'!$B$10,Paramètres!$A$1:$I$89,5,0)</f>
        <v>33.168261176470587</v>
      </c>
      <c r="AK14" s="13">
        <f t="shared" si="35"/>
        <v>10.168634715242291</v>
      </c>
      <c r="AL14" s="20">
        <f t="shared" si="4"/>
        <v>75.47842701139993</v>
      </c>
      <c r="AM14" s="59">
        <f t="shared" si="5"/>
        <v>269.97422562051406</v>
      </c>
      <c r="AN14" s="59">
        <f ca="1">AVERAGE(OFFSET($AM$3,0,0,'Données projet'!$E$10+1,1))-AVERAGE(OFFSET($H$3,0,0,'Données projet'!$E$10+1,1))</f>
        <v>325.45940224919184</v>
      </c>
      <c r="AO14" s="59">
        <f t="shared" si="36"/>
        <v>256.30046621034876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3.3603333333333336</v>
      </c>
      <c r="BD14" s="12">
        <f>IF('Données projet'!$A$88&gt;35,BD13+BC14-BL13,IF(A14&lt;'Données projet'!$A$88,$BA$205^A14,IF(A14='Données projet'!$A$88,'Données projet'!$B$88,BD13+BC14-BL13)))</f>
        <v>36.963666666666676</v>
      </c>
      <c r="BE14" s="13">
        <f>BD14*VLOOKUP('Données projet'!$B$11,Paramètres!$A$1:$I$89,3,0)*VLOOKUP('Données projet'!$B$11,Paramètres!$A$1:$I$89,5,0)</f>
        <v>37.481158000000008</v>
      </c>
      <c r="BF14" s="13">
        <f t="shared" si="37"/>
        <v>11.32852146348689</v>
      </c>
      <c r="BG14" s="20">
        <f t="shared" si="7"/>
        <v>85.01019173223969</v>
      </c>
      <c r="BH14" s="59">
        <f t="shared" si="8"/>
        <v>279.50599034135382</v>
      </c>
      <c r="BI14" s="59">
        <f ca="1">AVERAGE(OFFSET($BH$3,0,0,'Données projet'!$E$11+1,1))-AVERAGE(OFFSET($H$3,0,0,'Données projet'!$E$11+1,1))</f>
        <v>580.02848304986492</v>
      </c>
      <c r="BJ14" s="59">
        <f t="shared" si="38"/>
        <v>281.68891895586728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4.333333333333333</v>
      </c>
      <c r="BY14" s="12">
        <f>IF('Données projet'!$A$114&gt;35,BY13+BX14-CG13,IF(A14&lt;'Données projet'!$A$114,$BV$205^A14,IF(A14='Données projet'!$A$114,'Données projet'!$B$114,BY13+BX14-CG13)))</f>
        <v>21.353535673010011</v>
      </c>
      <c r="BZ14" s="13">
        <f>BY14*VLOOKUP('Données projet'!$B$12,Paramètres!$A$1:$I$89,3,0)*VLOOKUP('Données projet'!$B$12,Paramètres!$A$1:$I$89,5,0)</f>
        <v>20.320024546436326</v>
      </c>
      <c r="CA14" s="13">
        <f t="shared" si="39"/>
        <v>6.5952902486455987</v>
      </c>
      <c r="CB14" s="20">
        <f t="shared" si="10"/>
        <v>46.877506601434355</v>
      </c>
      <c r="CC14" s="59">
        <f t="shared" si="11"/>
        <v>241.37330521054849</v>
      </c>
      <c r="CD14" s="59">
        <f ca="1">AVERAGE(OFFSET($CC$3,0,0,'Données projet'!$E$12+1,1))-AVERAGE(OFFSET($H$3,0,0,'Données projet'!$E$12+1,1))</f>
        <v>439.15394290667945</v>
      </c>
      <c r="CE14" s="59">
        <f t="shared" si="40"/>
        <v>423.56554025351068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4.333333333333333</v>
      </c>
      <c r="CT14" s="12">
        <f>IF('Données projet'!$A$140&gt;35,CT13+CS14-DB13,IF(A14&lt;'Données projet'!$A$140,$CQ$205^A14,IF(A14='Données projet'!$A$140,'Données projet'!$B$140,CT13+CS14-DB13)))</f>
        <v>21.353535673010011</v>
      </c>
      <c r="CU14" s="17">
        <f>CT14*VLOOKUP('Données projet'!$B$13,Paramètres!$A$1:$I$89,3,0)*VLOOKUP('Données projet'!$B$13,Paramètres!$A$1:$I$89,5,0)</f>
        <v>18.654448763941549</v>
      </c>
      <c r="CV14" s="13">
        <f t="shared" si="41"/>
        <v>6.1152668278566198</v>
      </c>
      <c r="CW14" s="20">
        <f t="shared" si="13"/>
        <v>43.140587989048477</v>
      </c>
      <c r="CX14" s="59">
        <f t="shared" si="14"/>
        <v>237.6363865981626</v>
      </c>
      <c r="CY14" s="59">
        <f ca="1">AVERAGE(OFFSET($CX$3,0,0,'Données projet'!$E$13+1,1))-AVERAGE(OFFSET($H$3,0,0,'Données projet'!$E$13+1,1))</f>
        <v>408.246209980743</v>
      </c>
      <c r="CZ14" s="59">
        <f t="shared" si="42"/>
        <v>394.10236303013903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>
        <f>EXP(-LN(2)/35)*DF13+(1-EXP(-LN(2)/35))/(LN(2)/35)*DB14*DC14*VLOOKUP('Données projet'!$B$13,Paramètres!$A$1:$I$89,3,0)*0.475*44/12</f>
        <v>0</v>
      </c>
      <c r="DG14" s="21">
        <f>EXP(-LN(2)/25)*DG13+(1-EXP(-LN(2)/25))/(LN(2)/25)*Calculateur!DB14*Calculateur!DD14*VLOOKUP('Données projet'!$B$13,Paramètres!$A$1:$I$89,3,0)*0.475*44/12</f>
        <v>0</v>
      </c>
      <c r="DH14" s="21">
        <f>EXP(-LN(2)/2)*DH13+(1-EXP(-LN(2)/2))/(LN(2)/2)*DB14*DE14*VLOOKUP('Données projet'!$B$13,Paramètres!$A$1:$I$89,3,0)*0.475*44/12</f>
        <v>0</v>
      </c>
      <c r="DI14" s="22">
        <f t="shared" si="15"/>
        <v>0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4.333333333333333</v>
      </c>
      <c r="DO14" s="12">
        <f>IF('Données projet'!$A$166&gt;35,DO13+DN14-DW13,IF(A14&lt;'Données projet'!$A$166,$DL$205^A14,IF(A14='Données projet'!$A$166,'Données projet'!$B$166,DO13+DN14-DW13)))</f>
        <v>21.353535673010011</v>
      </c>
      <c r="DP14" s="17">
        <f>DO14*VLOOKUP('Données projet'!$B$14,Paramètres!$A$1:$I$89,3,0)*VLOOKUP('Données projet'!$B$14,Paramètres!$A$1:$I$89,5,0)</f>
        <v>16.655757824947809</v>
      </c>
      <c r="DQ14" s="13">
        <f t="shared" si="43"/>
        <v>5.5325629816706403</v>
      </c>
      <c r="DR14" s="20">
        <f t="shared" si="16"/>
        <v>38.644658738193797</v>
      </c>
      <c r="DS14" s="59">
        <f t="shared" si="17"/>
        <v>233.14045734730792</v>
      </c>
      <c r="DT14" s="59">
        <f ca="1">AVERAGE(OFFSET($DS$3,0,0,'Données projet'!$E$14+1,1))-AVERAGE(OFFSET($H$3,0,0,'Données projet'!$E$14+1,1))</f>
        <v>371.07993287480366</v>
      </c>
      <c r="DU14" s="59">
        <f t="shared" si="44"/>
        <v>358.67120540290637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>
        <f>EXP(-LN(2)/35)*EA13+(1-EXP(-LN(2)/35))/(LN(2)/35)*DW14*DX14*VLOOKUP('Données projet'!$B$14,Paramètres!$A$1:$I$89,3,0)*0.475*44/12</f>
        <v>0</v>
      </c>
      <c r="EB14" s="21">
        <f>EXP(-LN(2)/25)*EB13+(1-EXP(-LN(2)/25))/(LN(2)/25)*Calculateur!DW14*Calculateur!DY14*VLOOKUP('Données projet'!$B$14,Paramètres!$A$1:$I$89,3,0)*0.475*44/12</f>
        <v>0</v>
      </c>
      <c r="EC14" s="21">
        <f>EXP(-LN(2)/2)*EC13+(1-EXP(-LN(2)/2))/(LN(2)/2)*DW14*DZ14*VLOOKUP('Données projet'!$B$14,Paramètres!$A$1:$I$89,3,0)*0.475*44/12</f>
        <v>0</v>
      </c>
      <c r="ED14" s="22">
        <f t="shared" si="18"/>
        <v>0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45">
      <c r="A15" s="10">
        <f t="shared" si="31"/>
        <v>12</v>
      </c>
      <c r="B15" s="73">
        <f>'Scénario référence'!$B$16*5+'Scénario référence'!$B$17*0+'Scénario référence'!$B$18*5</f>
        <v>5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1">
        <f t="shared" si="32"/>
        <v>0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18.333333333333332</v>
      </c>
      <c r="H15" s="67">
        <f t="shared" si="1"/>
        <v>183.33333333333334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4.0942857142857143</v>
      </c>
      <c r="N15" s="13">
        <f>IF('Données projet'!$A$36&gt;35,N14+M15-V14,IF(A15&lt;'Données projet'!$A$36,$K$205^A15,IF(A15='Données projet'!$A$36,'Données projet'!$B$36,N14+M15-V14)))</f>
        <v>49.131428571428586</v>
      </c>
      <c r="O15" s="13">
        <f>N15*VLOOKUP('Données projet'!$B$9,Paramètres!$A$1:$I$89,3,0)*VLOOKUP('Données projet'!$B$9,Paramètres!$A$1:$I$89,5,0)</f>
        <v>44.454116571428585</v>
      </c>
      <c r="P15" s="13">
        <f t="shared" si="33"/>
        <v>13.17185963217473</v>
      </c>
      <c r="Q15" s="20">
        <f t="shared" si="2"/>
        <v>100.36524188794243</v>
      </c>
      <c r="R15" s="59">
        <f t="shared" si="0"/>
        <v>297.39501934067528</v>
      </c>
      <c r="S15" s="59">
        <f ca="1">AVERAGE(OFFSET($R$3,0,0,'Données projet'!$E$9+1,1))-AVERAGE(OFFSET($H$3,0,0,'Données projet'!$E$9+1,1))</f>
        <v>681.47578137804555</v>
      </c>
      <c r="T15" s="59">
        <f t="shared" si="34"/>
        <v>300.88511065995885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6.4429411764705877</v>
      </c>
      <c r="AI15" s="13">
        <f>IF('Données projet'!$A$62&gt;35,AI14+AH15-AQ14,IF(A15&lt;'Données projet'!$A$62,$AF$205^A15,IF(A15='Données projet'!$A$62,'Données projet'!$B$62,AI14+AH15-AQ14)))</f>
        <v>77.315294117647056</v>
      </c>
      <c r="AJ15" s="13">
        <f>AI15*VLOOKUP('Données projet'!$B$10,Paramètres!$A$1:$I$89,3,0)*VLOOKUP('Données projet'!$B$10,Paramètres!$A$1:$I$89,5,0)</f>
        <v>36.183557647058819</v>
      </c>
      <c r="AK15" s="13">
        <f t="shared" si="35"/>
        <v>10.981271243408294</v>
      </c>
      <c r="AL15" s="20">
        <f t="shared" si="4"/>
        <v>82.145410317563559</v>
      </c>
      <c r="AM15" s="59">
        <f t="shared" si="5"/>
        <v>279.17518777029642</v>
      </c>
      <c r="AN15" s="59">
        <f ca="1">AVERAGE(OFFSET($AM$3,0,0,'Données projet'!$E$10+1,1))-AVERAGE(OFFSET($H$3,0,0,'Données projet'!$E$10+1,1))</f>
        <v>325.45940224919184</v>
      </c>
      <c r="AO15" s="59">
        <f t="shared" si="36"/>
        <v>256.30046621034876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3.3603333333333336</v>
      </c>
      <c r="BD15" s="12">
        <f>IF('Données projet'!$A$88&gt;35,BD14+BC15-BL14,IF(A15&lt;'Données projet'!$A$88,$BA$205^A15,IF(A15='Données projet'!$A$88,'Données projet'!$B$88,BD14+BC15-BL14)))</f>
        <v>40.324000000000012</v>
      </c>
      <c r="BE15" s="13">
        <f>BD15*VLOOKUP('Données projet'!$B$11,Paramètres!$A$1:$I$89,3,0)*VLOOKUP('Données projet'!$B$11,Paramètres!$A$1:$I$89,5,0)</f>
        <v>40.888536000000016</v>
      </c>
      <c r="BF15" s="13">
        <f t="shared" si="37"/>
        <v>12.2338514914741</v>
      </c>
      <c r="BG15" s="20">
        <f t="shared" si="7"/>
        <v>92.52149154765074</v>
      </c>
      <c r="BH15" s="59">
        <f t="shared" si="8"/>
        <v>289.55126900038363</v>
      </c>
      <c r="BI15" s="59">
        <f ca="1">AVERAGE(OFFSET($BH$3,0,0,'Données projet'!$E$11+1,1))-AVERAGE(OFFSET($H$3,0,0,'Données projet'!$E$11+1,1))</f>
        <v>580.02848304986492</v>
      </c>
      <c r="BJ15" s="59">
        <f t="shared" si="38"/>
        <v>281.68891895586728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4.333333333333333</v>
      </c>
      <c r="BY15" s="12">
        <f>IF('Données projet'!$A$114&gt;35,BY14+BX15-CG14,IF(A15&lt;'Données projet'!$A$114,$BV$205^A15,IF(A15='Données projet'!$A$114,'Données projet'!$B$114,BY14+BX15-CG14)))</f>
        <v>28.205297528345746</v>
      </c>
      <c r="BZ15" s="13">
        <f>BY15*VLOOKUP('Données projet'!$B$12,Paramètres!$A$1:$I$89,3,0)*VLOOKUP('Données projet'!$B$12,Paramètres!$A$1:$I$89,5,0)</f>
        <v>26.840161127973815</v>
      </c>
      <c r="CA15" s="13">
        <f t="shared" si="39"/>
        <v>8.433864042743151</v>
      </c>
      <c r="CB15" s="20">
        <f t="shared" si="10"/>
        <v>61.435593838998706</v>
      </c>
      <c r="CC15" s="59">
        <f t="shared" si="11"/>
        <v>258.46537129173157</v>
      </c>
      <c r="CD15" s="59">
        <f ca="1">AVERAGE(OFFSET($CC$3,0,0,'Données projet'!$E$12+1,1))-AVERAGE(OFFSET($H$3,0,0,'Données projet'!$E$12+1,1))</f>
        <v>439.15394290667945</v>
      </c>
      <c r="CE15" s="59">
        <f t="shared" si="40"/>
        <v>423.56554025351068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4.333333333333333</v>
      </c>
      <c r="CT15" s="12">
        <f>IF('Données projet'!$A$140&gt;35,CT14+CS15-DB14,IF(A15&lt;'Données projet'!$A$140,$CQ$205^A15,IF(A15='Données projet'!$A$140,'Données projet'!$B$140,CT14+CS15-DB14)))</f>
        <v>28.205297528345746</v>
      </c>
      <c r="CU15" s="17">
        <f>CT15*VLOOKUP('Données projet'!$B$13,Paramètres!$A$1:$I$89,3,0)*VLOOKUP('Données projet'!$B$13,Paramètres!$A$1:$I$89,5,0)</f>
        <v>24.640147920762846</v>
      </c>
      <c r="CV15" s="13">
        <f t="shared" si="41"/>
        <v>7.8200241485704662</v>
      </c>
      <c r="CW15" s="20">
        <f t="shared" si="13"/>
        <v>56.534799687422179</v>
      </c>
      <c r="CX15" s="59">
        <f t="shared" si="14"/>
        <v>253.56457714015505</v>
      </c>
      <c r="CY15" s="59">
        <f ca="1">AVERAGE(OFFSET($CX$3,0,0,'Données projet'!$E$13+1,1))-AVERAGE(OFFSET($H$3,0,0,'Données projet'!$E$13+1,1))</f>
        <v>408.246209980743</v>
      </c>
      <c r="CZ15" s="59">
        <f t="shared" si="42"/>
        <v>394.10236303013903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>
        <f>EXP(-LN(2)/35)*DF14+(1-EXP(-LN(2)/35))/(LN(2)/35)*DB15*DC15*VLOOKUP('Données projet'!$B$13,Paramètres!$A$1:$I$89,3,0)*0.475*44/12</f>
        <v>0</v>
      </c>
      <c r="DG15" s="21">
        <f>EXP(-LN(2)/25)*DG14+(1-EXP(-LN(2)/25))/(LN(2)/25)*Calculateur!DB15*Calculateur!DD15*VLOOKUP('Données projet'!$B$13,Paramètres!$A$1:$I$89,3,0)*0.475*44/12</f>
        <v>0</v>
      </c>
      <c r="DH15" s="21">
        <f>EXP(-LN(2)/2)*DH14+(1-EXP(-LN(2)/2))/(LN(2)/2)*DB15*DE15*VLOOKUP('Données projet'!$B$13,Paramètres!$A$1:$I$89,3,0)*0.475*44/12</f>
        <v>0</v>
      </c>
      <c r="DI15" s="22">
        <f t="shared" si="15"/>
        <v>0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4.333333333333333</v>
      </c>
      <c r="DO15" s="12">
        <f>IF('Données projet'!$A$166&gt;35,DO14+DN15-DW14,IF(A15&lt;'Données projet'!$A$166,$DL$205^A15,IF(A15='Données projet'!$A$166,'Données projet'!$B$166,DO14+DN15-DW14)))</f>
        <v>28.205297528345746</v>
      </c>
      <c r="DP15" s="17">
        <f>DO15*VLOOKUP('Données projet'!$B$14,Paramètres!$A$1:$I$89,3,0)*VLOOKUP('Données projet'!$B$14,Paramètres!$A$1:$I$89,5,0)</f>
        <v>22.000132072109682</v>
      </c>
      <c r="DQ15" s="13">
        <f t="shared" si="43"/>
        <v>7.0748795331495931</v>
      </c>
      <c r="DR15" s="20">
        <f t="shared" si="16"/>
        <v>50.638978545826575</v>
      </c>
      <c r="DS15" s="59">
        <f t="shared" si="17"/>
        <v>247.66875599855945</v>
      </c>
      <c r="DT15" s="59">
        <f ca="1">AVERAGE(OFFSET($DS$3,0,0,'Données projet'!$E$14+1,1))-AVERAGE(OFFSET($H$3,0,0,'Données projet'!$E$14+1,1))</f>
        <v>371.07993287480366</v>
      </c>
      <c r="DU15" s="59">
        <f t="shared" si="44"/>
        <v>358.67120540290637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>
        <f>EXP(-LN(2)/35)*EA14+(1-EXP(-LN(2)/35))/(LN(2)/35)*DW15*DX15*VLOOKUP('Données projet'!$B$14,Paramètres!$A$1:$I$89,3,0)*0.475*44/12</f>
        <v>0</v>
      </c>
      <c r="EB15" s="21">
        <f>EXP(-LN(2)/25)*EB14+(1-EXP(-LN(2)/25))/(LN(2)/25)*Calculateur!DW15*Calculateur!DY15*VLOOKUP('Données projet'!$B$14,Paramètres!$A$1:$I$89,3,0)*0.475*44/12</f>
        <v>0</v>
      </c>
      <c r="EC15" s="21">
        <f>EXP(-LN(2)/2)*EC14+(1-EXP(-LN(2)/2))/(LN(2)/2)*DW15*DZ15*VLOOKUP('Données projet'!$B$14,Paramètres!$A$1:$I$89,3,0)*0.475*44/12</f>
        <v>0</v>
      </c>
      <c r="ED15" s="22">
        <f t="shared" si="18"/>
        <v>0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45">
      <c r="A16" s="10">
        <f t="shared" si="31"/>
        <v>13</v>
      </c>
      <c r="B16" s="73">
        <f>'Scénario référence'!$B$16*5+'Scénario référence'!$B$17*0+'Scénario référence'!$B$18*5</f>
        <v>5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1">
        <f t="shared" si="32"/>
        <v>0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18.333333333333332</v>
      </c>
      <c r="H16" s="67">
        <f t="shared" si="1"/>
        <v>183.33333333333334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4.0942857142857143</v>
      </c>
      <c r="N16" s="13">
        <f>IF('Données projet'!$A$36&gt;35,N15+M16-V15,IF(A16&lt;'Données projet'!$A$36,$K$205^A16,IF(A16='Données projet'!$A$36,'Données projet'!$B$36,N15+M16-V15)))</f>
        <v>53.225714285714304</v>
      </c>
      <c r="O16" s="13">
        <f>N16*VLOOKUP('Données projet'!$B$9,Paramètres!$A$1:$I$89,3,0)*VLOOKUP('Données projet'!$B$9,Paramètres!$A$1:$I$89,5,0)</f>
        <v>48.158626285714305</v>
      </c>
      <c r="P16" s="13">
        <f t="shared" si="33"/>
        <v>14.137183365739432</v>
      </c>
      <c r="Q16" s="20">
        <f t="shared" si="2"/>
        <v>108.4985351429486</v>
      </c>
      <c r="R16" s="59">
        <f t="shared" si="0"/>
        <v>308.03953539456739</v>
      </c>
      <c r="S16" s="59">
        <f ca="1">AVERAGE(OFFSET($R$3,0,0,'Données projet'!$E$9+1,1))-AVERAGE(OFFSET($H$3,0,0,'Données projet'!$E$9+1,1))</f>
        <v>681.47578137804555</v>
      </c>
      <c r="T16" s="59">
        <f t="shared" si="34"/>
        <v>300.88511065995885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6.4429411764705877</v>
      </c>
      <c r="AI16" s="13">
        <f>IF('Données projet'!$A$62&gt;35,AI15+AH16-AQ15,IF(A16&lt;'Données projet'!$A$62,$AF$205^A16,IF(A16='Données projet'!$A$62,'Données projet'!$B$62,AI15+AH16-AQ15)))</f>
        <v>83.75823529411764</v>
      </c>
      <c r="AJ16" s="13">
        <f>AI16*VLOOKUP('Données projet'!$B$10,Paramètres!$A$1:$I$89,3,0)*VLOOKUP('Données projet'!$B$10,Paramètres!$A$1:$I$89,5,0)</f>
        <v>39.198854117647059</v>
      </c>
      <c r="AK16" s="13">
        <f t="shared" si="35"/>
        <v>11.786053715435241</v>
      </c>
      <c r="AL16" s="20">
        <f t="shared" si="4"/>
        <v>88.79871447595167</v>
      </c>
      <c r="AM16" s="59">
        <f t="shared" si="5"/>
        <v>288.33971472757048</v>
      </c>
      <c r="AN16" s="59">
        <f ca="1">AVERAGE(OFFSET($AM$3,0,0,'Données projet'!$E$10+1,1))-AVERAGE(OFFSET($H$3,0,0,'Données projet'!$E$10+1,1))</f>
        <v>325.45940224919184</v>
      </c>
      <c r="AO16" s="59">
        <f t="shared" si="36"/>
        <v>256.30046621034876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3.3603333333333336</v>
      </c>
      <c r="BD16" s="12">
        <f>IF('Données projet'!$A$88&gt;35,BD15+BC16-BL15,IF(A16&lt;'Données projet'!$A$88,$BA$205^A16,IF(A16='Données projet'!$A$88,'Données projet'!$B$88,BD15+BC16-BL15)))</f>
        <v>43.684333333333349</v>
      </c>
      <c r="BE16" s="13">
        <f>BD16*VLOOKUP('Données projet'!$B$11,Paramètres!$A$1:$I$89,3,0)*VLOOKUP('Données projet'!$B$11,Paramètres!$A$1:$I$89,5,0)</f>
        <v>44.295914000000018</v>
      </c>
      <c r="BF16" s="13">
        <f t="shared" si="37"/>
        <v>13.130431589304674</v>
      </c>
      <c r="BG16" s="20">
        <f t="shared" si="7"/>
        <v>100.01755190137233</v>
      </c>
      <c r="BH16" s="59">
        <f t="shared" si="8"/>
        <v>299.55855215299113</v>
      </c>
      <c r="BI16" s="59">
        <f ca="1">AVERAGE(OFFSET($BH$3,0,0,'Données projet'!$E$11+1,1))-AVERAGE(OFFSET($H$3,0,0,'Données projet'!$E$11+1,1))</f>
        <v>580.02848304986492</v>
      </c>
      <c r="BJ16" s="59">
        <f t="shared" si="38"/>
        <v>281.68891895586728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4.333333333333333</v>
      </c>
      <c r="BY16" s="12">
        <f>IF('Données projet'!$A$114&gt;35,BY15+BX16-CG15,IF(A16&lt;'Données projet'!$A$114,$BV$205^A16,IF(A16='Données projet'!$A$114,'Données projet'!$B$114,BY15+BX16-CG15)))</f>
        <v>37.255601172785397</v>
      </c>
      <c r="BZ16" s="13">
        <f>BY16*VLOOKUP('Données projet'!$B$12,Paramètres!$A$1:$I$89,3,0)*VLOOKUP('Données projet'!$B$12,Paramètres!$A$1:$I$89,5,0)</f>
        <v>35.45243007602258</v>
      </c>
      <c r="CA16" s="13">
        <f t="shared" si="39"/>
        <v>10.784978372420079</v>
      </c>
      <c r="CB16" s="20">
        <f t="shared" si="10"/>
        <v>80.530153047704303</v>
      </c>
      <c r="CC16" s="59">
        <f t="shared" si="11"/>
        <v>280.0711532993231</v>
      </c>
      <c r="CD16" s="59">
        <f ca="1">AVERAGE(OFFSET($CC$3,0,0,'Données projet'!$E$12+1,1))-AVERAGE(OFFSET($H$3,0,0,'Données projet'!$E$12+1,1))</f>
        <v>439.15394290667945</v>
      </c>
      <c r="CE16" s="59">
        <f t="shared" si="40"/>
        <v>423.56554025351068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4.333333333333333</v>
      </c>
      <c r="CT16" s="12">
        <f>IF('Données projet'!$A$140&gt;35,CT15+CS16-DB15,IF(A16&lt;'Données projet'!$A$140,$CQ$205^A16,IF(A16='Données projet'!$A$140,'Données projet'!$B$140,CT15+CS16-DB15)))</f>
        <v>37.255601172785397</v>
      </c>
      <c r="CU16" s="17">
        <f>CT16*VLOOKUP('Données projet'!$B$13,Paramètres!$A$1:$I$89,3,0)*VLOOKUP('Données projet'!$B$13,Paramètres!$A$1:$I$89,5,0)</f>
        <v>32.546493184545326</v>
      </c>
      <c r="CV16" s="13">
        <f t="shared" si="41"/>
        <v>10.000017890578144</v>
      </c>
      <c r="CW16" s="20">
        <f t="shared" si="13"/>
        <v>74.101840122506715</v>
      </c>
      <c r="CX16" s="59">
        <f t="shared" si="14"/>
        <v>273.64284037412551</v>
      </c>
      <c r="CY16" s="59">
        <f ca="1">AVERAGE(OFFSET($CX$3,0,0,'Données projet'!$E$13+1,1))-AVERAGE(OFFSET($H$3,0,0,'Données projet'!$E$13+1,1))</f>
        <v>408.246209980743</v>
      </c>
      <c r="CZ16" s="59">
        <f t="shared" si="42"/>
        <v>394.10236303013903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>
        <f>EXP(-LN(2)/35)*DF15+(1-EXP(-LN(2)/35))/(LN(2)/35)*DB16*DC16*VLOOKUP('Données projet'!$B$13,Paramètres!$A$1:$I$89,3,0)*0.475*44/12</f>
        <v>0</v>
      </c>
      <c r="DG16" s="21">
        <f>EXP(-LN(2)/25)*DG15+(1-EXP(-LN(2)/25))/(LN(2)/25)*Calculateur!DB16*Calculateur!DD16*VLOOKUP('Données projet'!$B$13,Paramètres!$A$1:$I$89,3,0)*0.475*44/12</f>
        <v>0</v>
      </c>
      <c r="DH16" s="21">
        <f>EXP(-LN(2)/2)*DH15+(1-EXP(-LN(2)/2))/(LN(2)/2)*DB16*DE16*VLOOKUP('Données projet'!$B$13,Paramètres!$A$1:$I$89,3,0)*0.475*44/12</f>
        <v>0</v>
      </c>
      <c r="DI16" s="22">
        <f t="shared" si="15"/>
        <v>0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4.333333333333333</v>
      </c>
      <c r="DO16" s="12">
        <f>IF('Données projet'!$A$166&gt;35,DO15+DN16-DW15,IF(A16&lt;'Données projet'!$A$166,$DL$205^A16,IF(A16='Données projet'!$A$166,'Données projet'!$B$166,DO15+DN16-DW15)))</f>
        <v>37.255601172785397</v>
      </c>
      <c r="DP16" s="17">
        <f>DO16*VLOOKUP('Données projet'!$B$14,Paramètres!$A$1:$I$89,3,0)*VLOOKUP('Données projet'!$B$14,Paramètres!$A$1:$I$89,5,0)</f>
        <v>29.059368914772612</v>
      </c>
      <c r="DQ16" s="13">
        <f t="shared" si="43"/>
        <v>9.0471487761472318</v>
      </c>
      <c r="DR16" s="20">
        <f t="shared" si="16"/>
        <v>66.368851645018722</v>
      </c>
      <c r="DS16" s="59">
        <f t="shared" si="17"/>
        <v>265.90985189663752</v>
      </c>
      <c r="DT16" s="59">
        <f ca="1">AVERAGE(OFFSET($DS$3,0,0,'Données projet'!$E$14+1,1))-AVERAGE(OFFSET($H$3,0,0,'Données projet'!$E$14+1,1))</f>
        <v>371.07993287480366</v>
      </c>
      <c r="DU16" s="59">
        <f t="shared" si="44"/>
        <v>358.67120540290637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>
        <f>EXP(-LN(2)/35)*EA15+(1-EXP(-LN(2)/35))/(LN(2)/35)*DW16*DX16*VLOOKUP('Données projet'!$B$14,Paramètres!$A$1:$I$89,3,0)*0.475*44/12</f>
        <v>0</v>
      </c>
      <c r="EB16" s="21">
        <f>EXP(-LN(2)/25)*EB15+(1-EXP(-LN(2)/25))/(LN(2)/25)*Calculateur!DW16*Calculateur!DY16*VLOOKUP('Données projet'!$B$14,Paramètres!$A$1:$I$89,3,0)*0.475*44/12</f>
        <v>0</v>
      </c>
      <c r="EC16" s="21">
        <f>EXP(-LN(2)/2)*EC15+(1-EXP(-LN(2)/2))/(LN(2)/2)*DW16*DZ16*VLOOKUP('Données projet'!$B$14,Paramètres!$A$1:$I$89,3,0)*0.475*44/12</f>
        <v>0</v>
      </c>
      <c r="ED16" s="22">
        <f t="shared" si="18"/>
        <v>0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45">
      <c r="A17" s="10">
        <f t="shared" si="31"/>
        <v>14</v>
      </c>
      <c r="B17" s="73">
        <f>'Scénario référence'!$B$16*5+'Scénario référence'!$B$17*0+'Scénario référence'!$B$18*5</f>
        <v>5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1">
        <f t="shared" si="32"/>
        <v>0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18.333333333333332</v>
      </c>
      <c r="H17" s="67">
        <f t="shared" si="1"/>
        <v>183.33333333333334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4.0942857142857143</v>
      </c>
      <c r="N17" s="13">
        <f>IF('Données projet'!$A$36&gt;35,N16+M17-V16,IF(A17&lt;'Données projet'!$A$36,$K$205^A17,IF(A17='Données projet'!$A$36,'Données projet'!$B$36,N16+M17-V16)))</f>
        <v>57.320000000000022</v>
      </c>
      <c r="O17" s="13">
        <f>N17*VLOOKUP('Données projet'!$B$9,Paramètres!$A$1:$I$89,3,0)*VLOOKUP('Données projet'!$B$9,Paramètres!$A$1:$I$89,5,0)</f>
        <v>51.863136000000019</v>
      </c>
      <c r="P17" s="13">
        <f t="shared" si="33"/>
        <v>15.093893357630675</v>
      </c>
      <c r="Q17" s="20">
        <f t="shared" si="2"/>
        <v>116.61682613120678</v>
      </c>
      <c r="R17" s="59">
        <f t="shared" si="0"/>
        <v>318.64668790347997</v>
      </c>
      <c r="S17" s="59">
        <f ca="1">AVERAGE(OFFSET($R$3,0,0,'Données projet'!$E$9+1,1))-AVERAGE(OFFSET($H$3,0,0,'Données projet'!$E$9+1,1))</f>
        <v>681.47578137804555</v>
      </c>
      <c r="T17" s="59">
        <f t="shared" si="34"/>
        <v>300.88511065995885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6.4429411764705877</v>
      </c>
      <c r="AI17" s="13">
        <f>IF('Données projet'!$A$62&gt;35,AI16+AH17-AQ16,IF(A17&lt;'Données projet'!$A$62,$AF$205^A17,IF(A17='Données projet'!$A$62,'Données projet'!$B$62,AI16+AH17-AQ16)))</f>
        <v>90.201176470588223</v>
      </c>
      <c r="AJ17" s="13">
        <f>AI17*VLOOKUP('Données projet'!$B$10,Paramètres!$A$1:$I$89,3,0)*VLOOKUP('Données projet'!$B$10,Paramètres!$A$1:$I$89,5,0)</f>
        <v>42.214150588235285</v>
      </c>
      <c r="AK17" s="13">
        <f t="shared" si="35"/>
        <v>12.583654981741942</v>
      </c>
      <c r="AL17" s="20">
        <f t="shared" si="4"/>
        <v>95.439511367710338</v>
      </c>
      <c r="AM17" s="59">
        <f t="shared" si="5"/>
        <v>297.46937313998353</v>
      </c>
      <c r="AN17" s="59">
        <f ca="1">AVERAGE(OFFSET($AM$3,0,0,'Données projet'!$E$10+1,1))-AVERAGE(OFFSET($H$3,0,0,'Données projet'!$E$10+1,1))</f>
        <v>325.45940224919184</v>
      </c>
      <c r="AO17" s="59">
        <f t="shared" si="36"/>
        <v>256.30046621034876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3.3603333333333336</v>
      </c>
      <c r="BD17" s="12">
        <f>IF('Données projet'!$A$88&gt;35,BD16+BC17-BL16,IF(A17&lt;'Données projet'!$A$88,$BA$205^A17,IF(A17='Données projet'!$A$88,'Données projet'!$B$88,BD16+BC17-BL16)))</f>
        <v>47.044666666666686</v>
      </c>
      <c r="BE17" s="13">
        <f>BD17*VLOOKUP('Données projet'!$B$11,Paramètres!$A$1:$I$89,3,0)*VLOOKUP('Données projet'!$B$11,Paramètres!$A$1:$I$89,5,0)</f>
        <v>47.703292000000019</v>
      </c>
      <c r="BF17" s="13">
        <f t="shared" si="37"/>
        <v>14.019011356175028</v>
      </c>
      <c r="BG17" s="20">
        <f t="shared" si="7"/>
        <v>107.49967834533821</v>
      </c>
      <c r="BH17" s="59">
        <f t="shared" si="8"/>
        <v>309.52954011761142</v>
      </c>
      <c r="BI17" s="59">
        <f ca="1">AVERAGE(OFFSET($BH$3,0,0,'Données projet'!$E$11+1,1))-AVERAGE(OFFSET($H$3,0,0,'Données projet'!$E$11+1,1))</f>
        <v>580.02848304986492</v>
      </c>
      <c r="BJ17" s="59">
        <f t="shared" si="38"/>
        <v>281.68891895586728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4.333333333333333</v>
      </c>
      <c r="BY17" s="12">
        <f>IF('Données projet'!$A$114&gt;35,BY16+BX17-CG16,IF(A17&lt;'Données projet'!$A$114,$BV$205^A17,IF(A17='Données projet'!$A$114,'Données projet'!$B$114,BY16+BX17-CG16)))</f>
        <v>49.209898153024547</v>
      </c>
      <c r="BZ17" s="13">
        <f>BY17*VLOOKUP('Données projet'!$B$12,Paramètres!$A$1:$I$89,3,0)*VLOOKUP('Données projet'!$B$12,Paramètres!$A$1:$I$89,5,0)</f>
        <v>46.828139082418161</v>
      </c>
      <c r="CA17" s="13">
        <f t="shared" si="39"/>
        <v>13.791514530478091</v>
      </c>
      <c r="CB17" s="20">
        <f t="shared" si="10"/>
        <v>105.57923004246095</v>
      </c>
      <c r="CC17" s="59">
        <f t="shared" si="11"/>
        <v>307.60909181473414</v>
      </c>
      <c r="CD17" s="59">
        <f ca="1">AVERAGE(OFFSET($CC$3,0,0,'Données projet'!$E$12+1,1))-AVERAGE(OFFSET($H$3,0,0,'Données projet'!$E$12+1,1))</f>
        <v>439.15394290667945</v>
      </c>
      <c r="CE17" s="59">
        <f t="shared" si="40"/>
        <v>423.56554025351068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4.333333333333333</v>
      </c>
      <c r="CT17" s="12">
        <f>IF('Données projet'!$A$140&gt;35,CT16+CS17-DB16,IF(A17&lt;'Données projet'!$A$140,$CQ$205^A17,IF(A17='Données projet'!$A$140,'Données projet'!$B$140,CT16+CS17-DB16)))</f>
        <v>49.209898153024547</v>
      </c>
      <c r="CU17" s="17">
        <f>CT17*VLOOKUP('Données projet'!$B$13,Paramètres!$A$1:$I$89,3,0)*VLOOKUP('Données projet'!$B$13,Paramètres!$A$1:$I$89,5,0)</f>
        <v>42.989767026482248</v>
      </c>
      <c r="CV17" s="13">
        <f t="shared" si="41"/>
        <v>12.78773005197989</v>
      </c>
      <c r="CW17" s="20">
        <f t="shared" si="13"/>
        <v>97.145807411654872</v>
      </c>
      <c r="CX17" s="59">
        <f t="shared" si="14"/>
        <v>299.17566918392805</v>
      </c>
      <c r="CY17" s="59">
        <f ca="1">AVERAGE(OFFSET($CX$3,0,0,'Données projet'!$E$13+1,1))-AVERAGE(OFFSET($H$3,0,0,'Données projet'!$E$13+1,1))</f>
        <v>408.246209980743</v>
      </c>
      <c r="CZ17" s="59">
        <f t="shared" si="42"/>
        <v>394.10236303013903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>
        <f>EXP(-LN(2)/35)*DF16+(1-EXP(-LN(2)/35))/(LN(2)/35)*DB17*DC17*VLOOKUP('Données projet'!$B$13,Paramètres!$A$1:$I$89,3,0)*0.475*44/12</f>
        <v>0</v>
      </c>
      <c r="DG17" s="21">
        <f>EXP(-LN(2)/25)*DG16+(1-EXP(-LN(2)/25))/(LN(2)/25)*Calculateur!DB17*Calculateur!DD17*VLOOKUP('Données projet'!$B$13,Paramètres!$A$1:$I$89,3,0)*0.475*44/12</f>
        <v>0</v>
      </c>
      <c r="DH17" s="21">
        <f>EXP(-LN(2)/2)*DH16+(1-EXP(-LN(2)/2))/(LN(2)/2)*DB17*DE17*VLOOKUP('Données projet'!$B$13,Paramètres!$A$1:$I$89,3,0)*0.475*44/12</f>
        <v>0</v>
      </c>
      <c r="DI17" s="22">
        <f t="shared" si="15"/>
        <v>0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4.333333333333333</v>
      </c>
      <c r="DO17" s="12">
        <f>IF('Données projet'!$A$166&gt;35,DO16+DN17-DW16,IF(A17&lt;'Données projet'!$A$166,$DL$205^A17,IF(A17='Données projet'!$A$166,'Données projet'!$B$166,DO16+DN17-DW16)))</f>
        <v>49.209898153024547</v>
      </c>
      <c r="DP17" s="17">
        <f>DO17*VLOOKUP('Données projet'!$B$14,Paramètres!$A$1:$I$89,3,0)*VLOOKUP('Données projet'!$B$14,Paramètres!$A$1:$I$89,5,0)</f>
        <v>38.383720559359148</v>
      </c>
      <c r="DQ17" s="13">
        <f t="shared" si="43"/>
        <v>11.569228930927673</v>
      </c>
      <c r="DR17" s="20">
        <f t="shared" si="16"/>
        <v>87.001387028916199</v>
      </c>
      <c r="DS17" s="59">
        <f t="shared" si="17"/>
        <v>289.03124880118941</v>
      </c>
      <c r="DT17" s="59">
        <f ca="1">AVERAGE(OFFSET($DS$3,0,0,'Données projet'!$E$14+1,1))-AVERAGE(OFFSET($H$3,0,0,'Données projet'!$E$14+1,1))</f>
        <v>371.07993287480366</v>
      </c>
      <c r="DU17" s="59">
        <f t="shared" si="44"/>
        <v>358.67120540290637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>
        <f>EXP(-LN(2)/35)*EA16+(1-EXP(-LN(2)/35))/(LN(2)/35)*DW17*DX17*VLOOKUP('Données projet'!$B$14,Paramètres!$A$1:$I$89,3,0)*0.475*44/12</f>
        <v>0</v>
      </c>
      <c r="EB17" s="21">
        <f>EXP(-LN(2)/25)*EB16+(1-EXP(-LN(2)/25))/(LN(2)/25)*Calculateur!DW17*Calculateur!DY17*VLOOKUP('Données projet'!$B$14,Paramètres!$A$1:$I$89,3,0)*0.475*44/12</f>
        <v>0</v>
      </c>
      <c r="EC17" s="21">
        <f>EXP(-LN(2)/2)*EC16+(1-EXP(-LN(2)/2))/(LN(2)/2)*DW17*DZ17*VLOOKUP('Données projet'!$B$14,Paramètres!$A$1:$I$89,3,0)*0.475*44/12</f>
        <v>0</v>
      </c>
      <c r="ED17" s="22">
        <f t="shared" si="18"/>
        <v>0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45">
      <c r="A18" s="10">
        <f t="shared" si="31"/>
        <v>15</v>
      </c>
      <c r="B18" s="73">
        <f>'Scénario référence'!$B$16*5+'Scénario référence'!$B$17*0+'Scénario référence'!$B$18*5</f>
        <v>5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1">
        <f t="shared" si="32"/>
        <v>0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18.333333333333332</v>
      </c>
      <c r="H18" s="67">
        <f t="shared" si="1"/>
        <v>183.33333333333334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4.0942857142857143</v>
      </c>
      <c r="N18" s="13">
        <f>IF('Données projet'!$A$36&gt;35,N17+M18-V17,IF(A18&lt;'Données projet'!$A$36,$K$205^A18,IF(A18='Données projet'!$A$36,'Données projet'!$B$36,N17+M18-V17)))</f>
        <v>61.414285714285739</v>
      </c>
      <c r="O18" s="13">
        <f>N18*VLOOKUP('Données projet'!$B$9,Paramètres!$A$1:$I$89,3,0)*VLOOKUP('Données projet'!$B$9,Paramètres!$A$1:$I$89,5,0)</f>
        <v>55.567645714285739</v>
      </c>
      <c r="P18" s="13">
        <f t="shared" si="33"/>
        <v>16.042674851771864</v>
      </c>
      <c r="Q18" s="20">
        <f t="shared" si="2"/>
        <v>124.72130831921697</v>
      </c>
      <c r="R18" s="59">
        <f t="shared" si="0"/>
        <v>329.21805825209799</v>
      </c>
      <c r="S18" s="59">
        <f ca="1">AVERAGE(OFFSET($R$3,0,0,'Données projet'!$E$9+1,1))-AVERAGE(OFFSET($H$3,0,0,'Données projet'!$E$9+1,1))</f>
        <v>681.47578137804555</v>
      </c>
      <c r="T18" s="59">
        <f t="shared" si="34"/>
        <v>300.88511065995885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6.4429411764705877</v>
      </c>
      <c r="AI18" s="13">
        <f>IF('Données projet'!$A$62&gt;35,AI17+AH18-AQ17,IF(A18&lt;'Données projet'!$A$62,$AF$205^A18,IF(A18='Données projet'!$A$62,'Données projet'!$B$62,AI17+AH18-AQ17)))</f>
        <v>96.644117647058806</v>
      </c>
      <c r="AJ18" s="13">
        <f>AI18*VLOOKUP('Données projet'!$B$10,Paramètres!$A$1:$I$89,3,0)*VLOOKUP('Données projet'!$B$10,Paramètres!$A$1:$I$89,5,0)</f>
        <v>45.229447058823517</v>
      </c>
      <c r="AK18" s="13">
        <f t="shared" si="35"/>
        <v>13.374646324561946</v>
      </c>
      <c r="AL18" s="20">
        <f t="shared" si="4"/>
        <v>102.06879597606302</v>
      </c>
      <c r="AM18" s="59">
        <f t="shared" si="5"/>
        <v>306.56554590894405</v>
      </c>
      <c r="AN18" s="59">
        <f ca="1">AVERAGE(OFFSET($AM$3,0,0,'Données projet'!$E$10+1,1))-AVERAGE(OFFSET($H$3,0,0,'Données projet'!$E$10+1,1))</f>
        <v>325.45940224919184</v>
      </c>
      <c r="AO18" s="59">
        <f t="shared" si="36"/>
        <v>256.30046621034876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3.3603333333333336</v>
      </c>
      <c r="BD18" s="12">
        <f>IF('Données projet'!$A$88&gt;35,BD17+BC18-BL17,IF(A18&lt;'Données projet'!$A$88,$BA$205^A18,IF(A18='Données projet'!$A$88,'Données projet'!$B$88,BD17+BC18-BL17)))</f>
        <v>50.405000000000022</v>
      </c>
      <c r="BE18" s="13">
        <f>BD18*VLOOKUP('Données projet'!$B$11,Paramètres!$A$1:$I$89,3,0)*VLOOKUP('Données projet'!$B$11,Paramètres!$A$1:$I$89,5,0)</f>
        <v>51.11067000000002</v>
      </c>
      <c r="BF18" s="13">
        <f t="shared" si="37"/>
        <v>14.900227237706996</v>
      </c>
      <c r="BG18" s="20">
        <f t="shared" si="7"/>
        <v>114.96897935567303</v>
      </c>
      <c r="BH18" s="59">
        <f t="shared" si="8"/>
        <v>319.46572928855409</v>
      </c>
      <c r="BI18" s="59">
        <f ca="1">AVERAGE(OFFSET($BH$3,0,0,'Données projet'!$E$11+1,1))-AVERAGE(OFFSET($H$3,0,0,'Données projet'!$E$11+1,1))</f>
        <v>580.02848304986492</v>
      </c>
      <c r="BJ18" s="59">
        <f t="shared" si="38"/>
        <v>281.68891895586728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>
        <f>VLOOKUP(A18,'Données projet'!$A$113:$I$133,2,0)</f>
        <v>65</v>
      </c>
      <c r="BW18" s="12">
        <f>VLOOKUP(A18,'Données projet'!$A$113:$I$133,9,0)</f>
        <v>4.333333333333333</v>
      </c>
      <c r="BX18" s="12">
        <f t="array" ref="BX18">INDEX(BW:BW,MIN(IF(ISNUMBER(BW18:BW214),ROW(BW18:BW214),"")))</f>
        <v>4.333333333333333</v>
      </c>
      <c r="BY18" s="12">
        <f>IF('Données projet'!$A$114&gt;35,BY17+BX18-CG17,IF(A18&lt;'Données projet'!$A$114,$BV$205^A18,IF(A18='Données projet'!$A$114,'Données projet'!$B$114,BY17+BX18-CG17)))</f>
        <v>65</v>
      </c>
      <c r="BZ18" s="13">
        <f>BY18*VLOOKUP('Données projet'!$B$12,Paramètres!$A$1:$I$89,3,0)*VLOOKUP('Données projet'!$B$12,Paramètres!$A$1:$I$89,5,0)</f>
        <v>61.853999999999999</v>
      </c>
      <c r="CA18" s="13">
        <f t="shared" si="39"/>
        <v>17.63618493021675</v>
      </c>
      <c r="CB18" s="20">
        <f t="shared" si="10"/>
        <v>138.44540542012751</v>
      </c>
      <c r="CC18" s="59">
        <f t="shared" si="11"/>
        <v>342.94215535300856</v>
      </c>
      <c r="CD18" s="59">
        <f ca="1">AVERAGE(OFFSET($CC$3,0,0,'Données projet'!$E$12+1,1))-AVERAGE(OFFSET($H$3,0,0,'Données projet'!$E$12+1,1))</f>
        <v>439.15394290667945</v>
      </c>
      <c r="CE18" s="59">
        <f t="shared" si="40"/>
        <v>423.56554025351068</v>
      </c>
      <c r="CF18" s="15">
        <f>IF(ISNA(VLOOKUP(A18,'Données projet'!$A$113:$I$133,3,0)),0,VLOOKUP(A18,'Données projet'!$A$113:$I$133,3,0))</f>
        <v>1</v>
      </c>
      <c r="CG18" s="15">
        <f>IF(ISNA(VLOOKUP(A18,'Données projet'!$A$113:$I$133,4,0)),0,VLOOKUP(A18,'Données projet'!$A$113:$I$133,4,0))</f>
        <v>32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0.1075</v>
      </c>
      <c r="CJ18" s="16">
        <f>IF(ISNA(VLOOKUP(A18,'Données projet'!$A$113:$I$133,7,0)),0%,VLOOKUP(A18,'Données projet'!$A$113:$I$133,7,0))</f>
        <v>0.25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3.6045132655768728</v>
      </c>
      <c r="CM18" s="21">
        <f>EXP(-LN(2)/2)*CM17+(1-EXP(-LN(2)/2))/(LN(2)/2)*CG18*CJ18*VLOOKUP('Données projet'!$B$12,Paramètres!$A$1:$I$89,3,0)*0.475*44/12</f>
        <v>7.1828816955078993</v>
      </c>
      <c r="CN18" s="22">
        <f t="shared" si="12"/>
        <v>10.787394961084772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>
        <f>VLOOKUP(A18,'Données projet'!$A$139:$I$159,2,0)</f>
        <v>65</v>
      </c>
      <c r="CR18" s="12">
        <f>VLOOKUP(A18,'Données projet'!$A$139:$I$159,9,0)</f>
        <v>4.333333333333333</v>
      </c>
      <c r="CS18" s="12">
        <f t="array" ref="CS18">INDEX(CR:CR,MIN(IF(ISNUMBER(CR18:CR214),ROW(CR18:CR214),"")))</f>
        <v>4.333333333333333</v>
      </c>
      <c r="CT18" s="12">
        <f>IF('Données projet'!$A$140&gt;35,CT17+CS18-DB17,IF(A18&lt;'Données projet'!$A$140,$CQ$205^A18,IF(A18='Données projet'!$A$140,'Données projet'!$B$140,CT17+CS18-DB17)))</f>
        <v>65</v>
      </c>
      <c r="CU18" s="17">
        <f>CT18*VLOOKUP('Données projet'!$B$13,Paramètres!$A$1:$I$89,3,0)*VLOOKUP('Données projet'!$B$13,Paramètres!$A$1:$I$89,5,0)</f>
        <v>56.784000000000013</v>
      </c>
      <c r="CV18" s="13">
        <f t="shared" si="41"/>
        <v>16.352574732529362</v>
      </c>
      <c r="CW18" s="20">
        <f t="shared" si="13"/>
        <v>127.37953432582198</v>
      </c>
      <c r="CX18" s="59">
        <f t="shared" si="14"/>
        <v>331.87628425870304</v>
      </c>
      <c r="CY18" s="59">
        <f ca="1">AVERAGE(OFFSET($CX$3,0,0,'Données projet'!$E$13+1,1))-AVERAGE(OFFSET($H$3,0,0,'Données projet'!$E$13+1,1))</f>
        <v>408.246209980743</v>
      </c>
      <c r="CZ18" s="59">
        <f t="shared" si="42"/>
        <v>394.10236303013903</v>
      </c>
      <c r="DA18" s="15">
        <f>IF(ISNA(VLOOKUP(A18,'Données projet'!$A$139:$I$159,3,0)),0,VLOOKUP(A18,'Données projet'!$A$139:$I$159,3,0))</f>
        <v>1</v>
      </c>
      <c r="DB18" s="15">
        <f>IF(ISNA(VLOOKUP(A18,'Données projet'!$A$139:$I$159,4,0)),0,VLOOKUP(A18,'Données projet'!$A$139:$I$159,4,0))</f>
        <v>32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0.13250000000000001</v>
      </c>
      <c r="DE18" s="16">
        <f>IF(ISNA(VLOOKUP(A18,'Données projet'!$A$139:$I$159,7,0)),0%,VLOOKUP(A18,'Données projet'!$A$139:$I$159,7,0))</f>
        <v>0.25</v>
      </c>
      <c r="DF18" s="21">
        <f>EXP(-LN(2)/35)*DF17+(1-EXP(-LN(2)/35))/(LN(2)/35)*DB18*DC18*VLOOKUP('Données projet'!$B$13,Paramètres!$A$1:$I$89,3,0)*0.475*44/12</f>
        <v>0</v>
      </c>
      <c r="DG18" s="21">
        <f>EXP(-LN(2)/25)*DG17+(1-EXP(-LN(2)/25))/(LN(2)/25)*Calculateur!DB18*Calculateur!DD18*VLOOKUP('Données projet'!$B$13,Paramètres!$A$1:$I$89,3,0)*0.475*44/12</f>
        <v>4.0786105117164171</v>
      </c>
      <c r="DH18" s="21">
        <f>EXP(-LN(2)/2)*DH17+(1-EXP(-LN(2)/2))/(LN(2)/2)*DB18*DE18*VLOOKUP('Données projet'!$B$13,Paramètres!$A$1:$I$89,3,0)*0.475*44/12</f>
        <v>6.5941209007941382</v>
      </c>
      <c r="DI18" s="22">
        <f t="shared" si="15"/>
        <v>10.672731412510554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>
        <f>VLOOKUP(A18,'Données projet'!$A$165:$I$185,2,0)</f>
        <v>65</v>
      </c>
      <c r="DM18" s="12">
        <f>VLOOKUP(A18,'Données projet'!$A$165:$I$185,9,0)</f>
        <v>4.333333333333333</v>
      </c>
      <c r="DN18" s="12">
        <f t="array" ref="DN18">INDEX(DM:DM,MIN(IF(ISNUMBER(DM18:DM214),ROW(DM18:DM214),"")))</f>
        <v>4.333333333333333</v>
      </c>
      <c r="DO18" s="12">
        <f>IF('Données projet'!$A$166&gt;35,DO17+DN18-DW17,IF(A18&lt;'Données projet'!$A$166,$DL$205^A18,IF(A18='Données projet'!$A$166,'Données projet'!$B$166,DO17+DN18-DW17)))</f>
        <v>65</v>
      </c>
      <c r="DP18" s="17">
        <f>DO18*VLOOKUP('Données projet'!$B$14,Paramètres!$A$1:$I$89,3,0)*VLOOKUP('Données projet'!$B$14,Paramètres!$A$1:$I$89,5,0)</f>
        <v>50.7</v>
      </c>
      <c r="DQ18" s="13">
        <f t="shared" si="43"/>
        <v>14.79439117980476</v>
      </c>
      <c r="DR18" s="20">
        <f t="shared" si="16"/>
        <v>114.06939797149329</v>
      </c>
      <c r="DS18" s="59">
        <f t="shared" si="17"/>
        <v>318.56614790437436</v>
      </c>
      <c r="DT18" s="59">
        <f ca="1">AVERAGE(OFFSET($DS$3,0,0,'Données projet'!$E$14+1,1))-AVERAGE(OFFSET($H$3,0,0,'Données projet'!$E$14+1,1))</f>
        <v>371.07993287480366</v>
      </c>
      <c r="DU18" s="59">
        <f t="shared" si="44"/>
        <v>358.67120540290637</v>
      </c>
      <c r="DV18" s="15">
        <f>IF(ISNA(VLOOKUP(A18,'Données projet'!$A$165:$I$185,3,0)),0,VLOOKUP(A18,'Données projet'!$A$165:$I$185,3,0))</f>
        <v>1</v>
      </c>
      <c r="DW18" s="15">
        <f>IF(ISNA(VLOOKUP(A18,'Données projet'!$A$165:$I$185,4,0)),0,VLOOKUP(A18,'Données projet'!$A$165:$I$185,4,0))</f>
        <v>32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0.1075</v>
      </c>
      <c r="DZ18" s="16">
        <f>IF(ISNA(VLOOKUP(A18,'Données projet'!$A$165:$I$185,7,0)),0%,VLOOKUP(A18,'Données projet'!$A$165:$I$185,7,0))</f>
        <v>0.25</v>
      </c>
      <c r="EA18" s="21">
        <f>EXP(-LN(2)/35)*EA17+(1-EXP(-LN(2)/35))/(LN(2)/35)*DW18*DX18*VLOOKUP('Données projet'!$B$14,Paramètres!$A$1:$I$89,3,0)*0.475*44/12</f>
        <v>0</v>
      </c>
      <c r="EB18" s="21">
        <f>EXP(-LN(2)/25)*EB17+(1-EXP(-LN(2)/25))/(LN(2)/25)*Calculateur!DW18*Calculateur!DY18*VLOOKUP('Données projet'!$B$14,Paramètres!$A$1:$I$89,3,0)*0.475*44/12</f>
        <v>2.9545190701449777</v>
      </c>
      <c r="EC18" s="21">
        <f>EXP(-LN(2)/2)*EC17+(1-EXP(-LN(2)/2))/(LN(2)/2)*DW18*DZ18*VLOOKUP('Données projet'!$B$14,Paramètres!$A$1:$I$89,3,0)*0.475*44/12</f>
        <v>5.8876079471376217</v>
      </c>
      <c r="ED18" s="22">
        <f t="shared" si="18"/>
        <v>8.8421270172825999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45">
      <c r="A19" s="10">
        <f t="shared" si="31"/>
        <v>16</v>
      </c>
      <c r="B19" s="73">
        <f>'Scénario référence'!$B$16*5+'Scénario référence'!$B$17*0+'Scénario référence'!$B$18*5</f>
        <v>5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1">
        <f t="shared" si="32"/>
        <v>0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18.333333333333332</v>
      </c>
      <c r="H19" s="67">
        <f t="shared" si="1"/>
        <v>183.33333333333334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4.0942857142857143</v>
      </c>
      <c r="N19" s="13">
        <f>IF('Données projet'!$A$36&gt;35,N18+M19-V18,IF(A19&lt;'Données projet'!$A$36,$K$205^A19,IF(A19='Données projet'!$A$36,'Données projet'!$B$36,N18+M19-V18)))</f>
        <v>65.508571428571457</v>
      </c>
      <c r="O19" s="13">
        <f>N19*VLOOKUP('Données projet'!$B$9,Paramètres!$A$1:$I$89,3,0)*VLOOKUP('Données projet'!$B$9,Paramètres!$A$1:$I$89,5,0)</f>
        <v>59.272155428571445</v>
      </c>
      <c r="P19" s="13">
        <f t="shared" si="33"/>
        <v>16.984116557241595</v>
      </c>
      <c r="Q19" s="20">
        <f t="shared" si="2"/>
        <v>132.81300704195772</v>
      </c>
      <c r="R19" s="59">
        <f t="shared" si="0"/>
        <v>339.75505296407175</v>
      </c>
      <c r="S19" s="59">
        <f ca="1">AVERAGE(OFFSET($R$3,0,0,'Données projet'!$E$9+1,1))-AVERAGE(OFFSET($H$3,0,0,'Données projet'!$E$9+1,1))</f>
        <v>681.47578137804555</v>
      </c>
      <c r="T19" s="59">
        <f t="shared" si="34"/>
        <v>300.88511065995885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6.4429411764705877</v>
      </c>
      <c r="AI19" s="13">
        <f>IF('Données projet'!$A$62&gt;35,AI18+AH19-AQ18,IF(A19&lt;'Données projet'!$A$62,$AF$205^A19,IF(A19='Données projet'!$A$62,'Données projet'!$B$62,AI18+AH19-AQ18)))</f>
        <v>103.08705882352939</v>
      </c>
      <c r="AJ19" s="13">
        <f>AI19*VLOOKUP('Données projet'!$B$10,Paramètres!$A$1:$I$89,3,0)*VLOOKUP('Données projet'!$B$10,Paramètres!$A$1:$I$89,5,0)</f>
        <v>48.244743529411757</v>
      </c>
      <c r="AK19" s="13">
        <f t="shared" si="35"/>
        <v>14.159518545821207</v>
      </c>
      <c r="AL19" s="20">
        <f t="shared" si="4"/>
        <v>108.68742311436408</v>
      </c>
      <c r="AM19" s="59">
        <f t="shared" si="5"/>
        <v>315.62946903647816</v>
      </c>
      <c r="AN19" s="59">
        <f ca="1">AVERAGE(OFFSET($AM$3,0,0,'Données projet'!$E$10+1,1))-AVERAGE(OFFSET($H$3,0,0,'Données projet'!$E$10+1,1))</f>
        <v>325.45940224919184</v>
      </c>
      <c r="AO19" s="59">
        <f t="shared" si="36"/>
        <v>256.30046621034876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3.3603333333333336</v>
      </c>
      <c r="BD19" s="12">
        <f>IF('Données projet'!$A$88&gt;35,BD18+BC19-BL18,IF(A19&lt;'Données projet'!$A$88,$BA$205^A19,IF(A19='Données projet'!$A$88,'Données projet'!$B$88,BD18+BC19-BL18)))</f>
        <v>53.765333333333359</v>
      </c>
      <c r="BE19" s="13">
        <f>BD19*VLOOKUP('Données projet'!$B$11,Paramètres!$A$1:$I$89,3,0)*VLOOKUP('Données projet'!$B$11,Paramètres!$A$1:$I$89,5,0)</f>
        <v>54.518048000000029</v>
      </c>
      <c r="BF19" s="13">
        <f t="shared" si="37"/>
        <v>15.774626019217196</v>
      </c>
      <c r="BG19" s="20">
        <f t="shared" si="7"/>
        <v>122.42640725013666</v>
      </c>
      <c r="BH19" s="59">
        <f t="shared" si="8"/>
        <v>329.36845317225072</v>
      </c>
      <c r="BI19" s="59">
        <f ca="1">AVERAGE(OFFSET($BH$3,0,0,'Données projet'!$E$11+1,1))-AVERAGE(OFFSET($H$3,0,0,'Données projet'!$E$11+1,1))</f>
        <v>580.02848304986492</v>
      </c>
      <c r="BJ19" s="59">
        <f t="shared" si="38"/>
        <v>281.68891895586728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13.8</v>
      </c>
      <c r="BY19" s="12">
        <f>IF('Données projet'!$A$114&gt;35,BY18+BX19-CG18,IF(A19&lt;'Données projet'!$A$114,$BV$205^A19,IF(A19='Données projet'!$A$114,'Données projet'!$B$114,BY18+BX19-CG18)))</f>
        <v>46.8</v>
      </c>
      <c r="BZ19" s="13">
        <f>BY19*VLOOKUP('Données projet'!$B$12,Paramètres!$A$1:$I$89,3,0)*VLOOKUP('Données projet'!$B$12,Paramètres!$A$1:$I$89,5,0)</f>
        <v>44.534880000000001</v>
      </c>
      <c r="CA19" s="13">
        <f t="shared" si="39"/>
        <v>13.193002294430819</v>
      </c>
      <c r="CB19" s="20">
        <f t="shared" si="10"/>
        <v>100.54272832946701</v>
      </c>
      <c r="CC19" s="59">
        <f t="shared" si="11"/>
        <v>307.48477425158109</v>
      </c>
      <c r="CD19" s="59">
        <f ca="1">AVERAGE(OFFSET($CC$3,0,0,'Données projet'!$E$12+1,1))-AVERAGE(OFFSET($H$3,0,0,'Données projet'!$E$12+1,1))</f>
        <v>439.15394290667945</v>
      </c>
      <c r="CE19" s="59">
        <f t="shared" si="40"/>
        <v>423.56554025351068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3.5059476607765587</v>
      </c>
      <c r="CM19" s="21">
        <f>EXP(-LN(2)/2)*CM18+(1-EXP(-LN(2)/2))/(LN(2)/2)*CG19*CJ19*VLOOKUP('Données projet'!$B$12,Paramètres!$A$1:$I$89,3,0)*0.475*44/12</f>
        <v>5.0790643553543617</v>
      </c>
      <c r="CN19" s="22">
        <f t="shared" si="12"/>
        <v>8.5850120161309214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13.8</v>
      </c>
      <c r="CT19" s="12">
        <f>IF('Données projet'!$A$140&gt;35,CT18+CS19-DB18,IF(A19&lt;'Données projet'!$A$140,$CQ$205^A19,IF(A19='Données projet'!$A$140,'Données projet'!$B$140,CT18+CS19-DB18)))</f>
        <v>46.8</v>
      </c>
      <c r="CU19" s="17">
        <f>CT19*VLOOKUP('Données projet'!$B$13,Paramètres!$A$1:$I$89,3,0)*VLOOKUP('Données projet'!$B$13,Paramètres!$A$1:$I$89,5,0)</f>
        <v>40.884480000000003</v>
      </c>
      <c r="CV19" s="13">
        <f t="shared" si="41"/>
        <v>12.23277918777527</v>
      </c>
      <c r="CW19" s="20">
        <f t="shared" si="13"/>
        <v>92.512559752041952</v>
      </c>
      <c r="CX19" s="59">
        <f t="shared" si="14"/>
        <v>299.45460567415603</v>
      </c>
      <c r="CY19" s="59">
        <f ca="1">AVERAGE(OFFSET($CX$3,0,0,'Données projet'!$E$13+1,1))-AVERAGE(OFFSET($H$3,0,0,'Données projet'!$E$13+1,1))</f>
        <v>408.246209980743</v>
      </c>
      <c r="CZ19" s="59">
        <f t="shared" si="42"/>
        <v>394.10236303013903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>
        <f>EXP(-LN(2)/35)*DF18+(1-EXP(-LN(2)/35))/(LN(2)/35)*DB19*DC19*VLOOKUP('Données projet'!$B$13,Paramètres!$A$1:$I$89,3,0)*0.475*44/12</f>
        <v>0</v>
      </c>
      <c r="DG19" s="21">
        <f>EXP(-LN(2)/25)*DG18+(1-EXP(-LN(2)/25))/(LN(2)/25)*Calculateur!DB19*Calculateur!DD19*VLOOKUP('Données projet'!$B$13,Paramètres!$A$1:$I$89,3,0)*0.475*44/12</f>
        <v>3.9670806927887265</v>
      </c>
      <c r="DH19" s="21">
        <f>EXP(-LN(2)/2)*DH18+(1-EXP(-LN(2)/2))/(LN(2)/2)*DB19*DE19*VLOOKUP('Données projet'!$B$13,Paramètres!$A$1:$I$89,3,0)*0.475*44/12</f>
        <v>4.6627476049154808</v>
      </c>
      <c r="DI19" s="22">
        <f t="shared" si="15"/>
        <v>8.6298282977042078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13.8</v>
      </c>
      <c r="DO19" s="12">
        <f>IF('Données projet'!$A$166&gt;35,DO18+DN19-DW18,IF(A19&lt;'Données projet'!$A$166,$DL$205^A19,IF(A19='Données projet'!$A$166,'Données projet'!$B$166,DO18+DN19-DW18)))</f>
        <v>46.8</v>
      </c>
      <c r="DP19" s="17">
        <f>DO19*VLOOKUP('Données projet'!$B$14,Paramètres!$A$1:$I$89,3,0)*VLOOKUP('Données projet'!$B$14,Paramètres!$A$1:$I$89,5,0)</f>
        <v>36.503999999999998</v>
      </c>
      <c r="DQ19" s="13">
        <f t="shared" si="43"/>
        <v>11.067157525971377</v>
      </c>
      <c r="DR19" s="20">
        <f t="shared" si="16"/>
        <v>82.85309935773347</v>
      </c>
      <c r="DS19" s="59">
        <f t="shared" si="17"/>
        <v>289.79514527984753</v>
      </c>
      <c r="DT19" s="59">
        <f ca="1">AVERAGE(OFFSET($DS$3,0,0,'Données projet'!$E$14+1,1))-AVERAGE(OFFSET($H$3,0,0,'Données projet'!$E$14+1,1))</f>
        <v>371.07993287480366</v>
      </c>
      <c r="DU19" s="59">
        <f t="shared" si="44"/>
        <v>358.67120540290637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>
        <f>EXP(-LN(2)/35)*EA18+(1-EXP(-LN(2)/35))/(LN(2)/35)*DW19*DX19*VLOOKUP('Données projet'!$B$14,Paramètres!$A$1:$I$89,3,0)*0.475*44/12</f>
        <v>0</v>
      </c>
      <c r="EB19" s="21">
        <f>EXP(-LN(2)/25)*EB18+(1-EXP(-LN(2)/25))/(LN(2)/25)*Calculateur!DW19*Calculateur!DY19*VLOOKUP('Données projet'!$B$14,Paramètres!$A$1:$I$89,3,0)*0.475*44/12</f>
        <v>2.873727590800458</v>
      </c>
      <c r="EC19" s="21">
        <f>EXP(-LN(2)/2)*EC18+(1-EXP(-LN(2)/2))/(LN(2)/2)*DW19*DZ19*VLOOKUP('Données projet'!$B$14,Paramètres!$A$1:$I$89,3,0)*0.475*44/12</f>
        <v>4.163167504388821</v>
      </c>
      <c r="ED19" s="22">
        <f t="shared" si="18"/>
        <v>7.036895095189279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45">
      <c r="A20" s="10">
        <f t="shared" si="31"/>
        <v>17</v>
      </c>
      <c r="B20" s="73">
        <f>'Scénario référence'!$B$16*5+'Scénario référence'!$B$17*0+'Scénario référence'!$B$18*5</f>
        <v>5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1">
        <f t="shared" si="32"/>
        <v>0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18.333333333333332</v>
      </c>
      <c r="H20" s="67">
        <f t="shared" si="1"/>
        <v>183.33333333333334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4.0942857142857143</v>
      </c>
      <c r="N20" s="13">
        <f>IF('Données projet'!$A$36&gt;35,N19+M20-V19,IF(A20&lt;'Données projet'!$A$36,$K$205^A20,IF(A20='Données projet'!$A$36,'Données projet'!$B$36,N19+M20-V19)))</f>
        <v>69.602857142857175</v>
      </c>
      <c r="O20" s="13">
        <f>N20*VLOOKUP('Données projet'!$B$9,Paramètres!$A$1:$I$89,3,0)*VLOOKUP('Données projet'!$B$9,Paramètres!$A$1:$I$89,5,0)</f>
        <v>62.976665142857165</v>
      </c>
      <c r="P20" s="13">
        <f t="shared" si="33"/>
        <v>17.918729435240664</v>
      </c>
      <c r="Q20" s="20">
        <f t="shared" si="2"/>
        <v>140.89281222352039</v>
      </c>
      <c r="R20" s="59">
        <f t="shared" si="0"/>
        <v>350.25893653939312</v>
      </c>
      <c r="S20" s="59">
        <f ca="1">AVERAGE(OFFSET($R$3,0,0,'Données projet'!$E$9+1,1))-AVERAGE(OFFSET($H$3,0,0,'Données projet'!$E$9+1,1))</f>
        <v>681.47578137804555</v>
      </c>
      <c r="T20" s="59">
        <f t="shared" si="34"/>
        <v>300.88511065995885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6.4429411764705877</v>
      </c>
      <c r="AI20" s="13">
        <f>IF('Données projet'!$A$62&gt;35,AI19+AH20-AQ19,IF(A20&lt;'Données projet'!$A$62,$AF$205^A20,IF(A20='Données projet'!$A$62,'Données projet'!$B$62,AI19+AH20-AQ19)))</f>
        <v>109.52999999999997</v>
      </c>
      <c r="AJ20" s="13">
        <f>AI20*VLOOKUP('Données projet'!$B$10,Paramètres!$A$1:$I$89,3,0)*VLOOKUP('Données projet'!$B$10,Paramètres!$A$1:$I$89,5,0)</f>
        <v>51.260039999999989</v>
      </c>
      <c r="AK20" s="13">
        <f t="shared" si="35"/>
        <v>14.938697629678151</v>
      </c>
      <c r="AL20" s="20">
        <f t="shared" si="4"/>
        <v>115.29613470502277</v>
      </c>
      <c r="AM20" s="59">
        <f t="shared" si="5"/>
        <v>324.66225902089548</v>
      </c>
      <c r="AN20" s="59">
        <f ca="1">AVERAGE(OFFSET($AM$3,0,0,'Données projet'!$E$10+1,1))-AVERAGE(OFFSET($H$3,0,0,'Données projet'!$E$10+1,1))</f>
        <v>325.45940224919184</v>
      </c>
      <c r="AO20" s="59">
        <f t="shared" si="36"/>
        <v>256.30046621034876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3.3603333333333336</v>
      </c>
      <c r="BD20" s="12">
        <f>IF('Données projet'!$A$88&gt;35,BD19+BC20-BL19,IF(A20&lt;'Données projet'!$A$88,$BA$205^A20,IF(A20='Données projet'!$A$88,'Données projet'!$B$88,BD19+BC20-BL19)))</f>
        <v>57.125666666666696</v>
      </c>
      <c r="BE20" s="13">
        <f>BD20*VLOOKUP('Données projet'!$B$11,Paramètres!$A$1:$I$89,3,0)*VLOOKUP('Données projet'!$B$11,Paramètres!$A$1:$I$89,5,0)</f>
        <v>57.925426000000037</v>
      </c>
      <c r="BF20" s="13">
        <f t="shared" si="37"/>
        <v>16.64268227480698</v>
      </c>
      <c r="BG20" s="20">
        <f t="shared" si="7"/>
        <v>129.87278857862222</v>
      </c>
      <c r="BH20" s="59">
        <f t="shared" si="8"/>
        <v>339.23891289449494</v>
      </c>
      <c r="BI20" s="59">
        <f ca="1">AVERAGE(OFFSET($BH$3,0,0,'Données projet'!$E$11+1,1))-AVERAGE(OFFSET($H$3,0,0,'Données projet'!$E$11+1,1))</f>
        <v>580.02848304986492</v>
      </c>
      <c r="BJ20" s="59">
        <f t="shared" si="38"/>
        <v>281.68891895586728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13.8</v>
      </c>
      <c r="BY20" s="12">
        <f>IF('Données projet'!$A$114&gt;35,BY19+BX20-CG19,IF(A20&lt;'Données projet'!$A$114,$BV$205^A20,IF(A20='Données projet'!$A$114,'Données projet'!$B$114,BY19+BX20-CG19)))</f>
        <v>60.599999999999994</v>
      </c>
      <c r="BZ20" s="13">
        <f>BY20*VLOOKUP('Données projet'!$B$12,Paramètres!$A$1:$I$89,3,0)*VLOOKUP('Données projet'!$B$12,Paramètres!$A$1:$I$89,5,0)</f>
        <v>57.666959999999996</v>
      </c>
      <c r="CA20" s="13">
        <f t="shared" si="39"/>
        <v>16.577048683233549</v>
      </c>
      <c r="CB20" s="20">
        <f t="shared" si="10"/>
        <v>129.3083151232984</v>
      </c>
      <c r="CC20" s="59">
        <f t="shared" si="11"/>
        <v>338.67443943917112</v>
      </c>
      <c r="CD20" s="59">
        <f ca="1">AVERAGE(OFFSET($CC$3,0,0,'Données projet'!$E$12+1,1))-AVERAGE(OFFSET($H$3,0,0,'Données projet'!$E$12+1,1))</f>
        <v>439.15394290667945</v>
      </c>
      <c r="CE20" s="59">
        <f t="shared" si="40"/>
        <v>423.56554025351068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3.410077337622849</v>
      </c>
      <c r="CM20" s="21">
        <f>EXP(-LN(2)/2)*CM19+(1-EXP(-LN(2)/2))/(LN(2)/2)*CG20*CJ20*VLOOKUP('Données projet'!$B$12,Paramètres!$A$1:$I$89,3,0)*0.475*44/12</f>
        <v>3.5914408477539501</v>
      </c>
      <c r="CN20" s="22">
        <f t="shared" si="12"/>
        <v>7.0015181853767992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13.8</v>
      </c>
      <c r="CT20" s="12">
        <f>IF('Données projet'!$A$140&gt;35,CT19+CS20-DB19,IF(A20&lt;'Données projet'!$A$140,$CQ$205^A20,IF(A20='Données projet'!$A$140,'Données projet'!$B$140,CT19+CS20-DB19)))</f>
        <v>60.599999999999994</v>
      </c>
      <c r="CU20" s="17">
        <f>CT20*VLOOKUP('Données projet'!$B$13,Paramètres!$A$1:$I$89,3,0)*VLOOKUP('Données projet'!$B$13,Paramètres!$A$1:$I$89,5,0)</f>
        <v>52.940159999999999</v>
      </c>
      <c r="CV20" s="13">
        <f t="shared" si="41"/>
        <v>15.37052534377243</v>
      </c>
      <c r="CW20" s="20">
        <f t="shared" si="13"/>
        <v>118.97444364040366</v>
      </c>
      <c r="CX20" s="59">
        <f t="shared" si="14"/>
        <v>328.3405679562764</v>
      </c>
      <c r="CY20" s="59">
        <f ca="1">AVERAGE(OFFSET($CX$3,0,0,'Données projet'!$E$13+1,1))-AVERAGE(OFFSET($H$3,0,0,'Données projet'!$E$13+1,1))</f>
        <v>408.246209980743</v>
      </c>
      <c r="CZ20" s="59">
        <f t="shared" si="42"/>
        <v>394.10236303013903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>
        <f>EXP(-LN(2)/35)*DF19+(1-EXP(-LN(2)/35))/(LN(2)/35)*DB20*DC20*VLOOKUP('Données projet'!$B$13,Paramètres!$A$1:$I$89,3,0)*0.475*44/12</f>
        <v>0</v>
      </c>
      <c r="DG20" s="21">
        <f>EXP(-LN(2)/25)*DG19+(1-EXP(-LN(2)/25))/(LN(2)/25)*Calculateur!DB20*Calculateur!DD20*VLOOKUP('Données projet'!$B$13,Paramètres!$A$1:$I$89,3,0)*0.475*44/12</f>
        <v>3.858600662624712</v>
      </c>
      <c r="DH20" s="21">
        <f>EXP(-LN(2)/2)*DH19+(1-EXP(-LN(2)/2))/(LN(2)/2)*DB20*DE20*VLOOKUP('Données projet'!$B$13,Paramètres!$A$1:$I$89,3,0)*0.475*44/12</f>
        <v>3.2970604503970695</v>
      </c>
      <c r="DI20" s="22">
        <f t="shared" si="15"/>
        <v>7.1556611130217815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13.8</v>
      </c>
      <c r="DO20" s="12">
        <f>IF('Données projet'!$A$166&gt;35,DO19+DN20-DW19,IF(A20&lt;'Données projet'!$A$166,$DL$205^A20,IF(A20='Données projet'!$A$166,'Données projet'!$B$166,DO19+DN20-DW19)))</f>
        <v>60.599999999999994</v>
      </c>
      <c r="DP20" s="17">
        <f>DO20*VLOOKUP('Données projet'!$B$14,Paramètres!$A$1:$I$89,3,0)*VLOOKUP('Données projet'!$B$14,Paramètres!$A$1:$I$89,5,0)</f>
        <v>47.268000000000001</v>
      </c>
      <c r="DQ20" s="13">
        <f t="shared" si="43"/>
        <v>13.905918076773673</v>
      </c>
      <c r="DR20" s="20">
        <f t="shared" si="16"/>
        <v>106.54457398371414</v>
      </c>
      <c r="DS20" s="59">
        <f t="shared" si="17"/>
        <v>315.9106982995869</v>
      </c>
      <c r="DT20" s="59">
        <f ca="1">AVERAGE(OFFSET($DS$3,0,0,'Données projet'!$E$14+1,1))-AVERAGE(OFFSET($H$3,0,0,'Données projet'!$E$14+1,1))</f>
        <v>371.07993287480366</v>
      </c>
      <c r="DU20" s="59">
        <f t="shared" si="44"/>
        <v>358.67120540290637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>
        <f>EXP(-LN(2)/35)*EA19+(1-EXP(-LN(2)/35))/(LN(2)/35)*DW20*DX20*VLOOKUP('Données projet'!$B$14,Paramètres!$A$1:$I$89,3,0)*0.475*44/12</f>
        <v>0</v>
      </c>
      <c r="EB20" s="21">
        <f>EXP(-LN(2)/25)*EB19+(1-EXP(-LN(2)/25))/(LN(2)/25)*Calculateur!DW20*Calculateur!DY20*VLOOKUP('Données projet'!$B$14,Paramètres!$A$1:$I$89,3,0)*0.475*44/12</f>
        <v>2.7951453587072534</v>
      </c>
      <c r="EC20" s="21">
        <f>EXP(-LN(2)/2)*EC19+(1-EXP(-LN(2)/2))/(LN(2)/2)*DW20*DZ20*VLOOKUP('Données projet'!$B$14,Paramètres!$A$1:$I$89,3,0)*0.475*44/12</f>
        <v>2.9438039735688113</v>
      </c>
      <c r="ED20" s="22">
        <f t="shared" si="18"/>
        <v>5.7389493322760643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45">
      <c r="A21" s="10">
        <f t="shared" si="31"/>
        <v>18</v>
      </c>
      <c r="B21" s="73">
        <f>'Scénario référence'!$B$16*5+'Scénario référence'!$B$17*0+'Scénario référence'!$B$18*5</f>
        <v>5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1">
        <f t="shared" si="32"/>
        <v>0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18.333333333333332</v>
      </c>
      <c r="H21" s="67">
        <f t="shared" si="1"/>
        <v>183.33333333333334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4.0942857142857143</v>
      </c>
      <c r="N21" s="13">
        <f>IF('Données projet'!$A$36&gt;35,N20+M21-V20,IF(A21&lt;'Données projet'!$A$36,$K$205^A21,IF(A21='Données projet'!$A$36,'Données projet'!$B$36,N20+M21-V20)))</f>
        <v>73.697142857142893</v>
      </c>
      <c r="O21" s="13">
        <f>N21*VLOOKUP('Données projet'!$B$9,Paramètres!$A$1:$I$89,3,0)*VLOOKUP('Données projet'!$B$9,Paramètres!$A$1:$I$89,5,0)</f>
        <v>66.681174857142892</v>
      </c>
      <c r="P21" s="13">
        <f t="shared" si="33"/>
        <v>18.846960938055496</v>
      </c>
      <c r="Q21" s="20">
        <f t="shared" si="2"/>
        <v>148.96150317663719</v>
      </c>
      <c r="R21" s="59">
        <f t="shared" si="0"/>
        <v>360.73085636864027</v>
      </c>
      <c r="S21" s="59">
        <f ca="1">AVERAGE(OFFSET($R$3,0,0,'Données projet'!$E$9+1,1))-AVERAGE(OFFSET($H$3,0,0,'Données projet'!$E$9+1,1))</f>
        <v>681.47578137804555</v>
      </c>
      <c r="T21" s="59">
        <f t="shared" si="34"/>
        <v>300.88511065995885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6.4429411764705877</v>
      </c>
      <c r="AI21" s="13">
        <f>IF('Données projet'!$A$62&gt;35,AI20+AH21-AQ20,IF(A21&lt;'Données projet'!$A$62,$AF$205^A21,IF(A21='Données projet'!$A$62,'Données projet'!$B$62,AI20+AH21-AQ20)))</f>
        <v>115.97294117647056</v>
      </c>
      <c r="AJ21" s="13">
        <f>AI21*VLOOKUP('Données projet'!$B$10,Paramètres!$A$1:$I$89,3,0)*VLOOKUP('Données projet'!$B$10,Paramètres!$A$1:$I$89,5,0)</f>
        <v>54.275336470588222</v>
      </c>
      <c r="AK21" s="13">
        <f t="shared" si="35"/>
        <v>15.712556613430714</v>
      </c>
      <c r="AL21" s="20">
        <f t="shared" si="4"/>
        <v>121.89558045466629</v>
      </c>
      <c r="AM21" s="59">
        <f t="shared" si="5"/>
        <v>333.6649336466694</v>
      </c>
      <c r="AN21" s="59">
        <f ca="1">AVERAGE(OFFSET($AM$3,0,0,'Données projet'!$E$10+1,1))-AVERAGE(OFFSET($H$3,0,0,'Données projet'!$E$10+1,1))</f>
        <v>325.45940224919184</v>
      </c>
      <c r="AO21" s="59">
        <f t="shared" si="36"/>
        <v>256.30046621034876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3.3603333333333336</v>
      </c>
      <c r="BD21" s="12">
        <f>IF('Données projet'!$A$88&gt;35,BD20+BC21-BL20,IF(A21&lt;'Données projet'!$A$88,$BA$205^A21,IF(A21='Données projet'!$A$88,'Données projet'!$B$88,BD20+BC21-BL20)))</f>
        <v>60.486000000000033</v>
      </c>
      <c r="BE21" s="13">
        <f>BD21*VLOOKUP('Données projet'!$B$11,Paramètres!$A$1:$I$89,3,0)*VLOOKUP('Données projet'!$B$11,Paramètres!$A$1:$I$89,5,0)</f>
        <v>61.332804000000031</v>
      </c>
      <c r="BF21" s="13">
        <f t="shared" si="37"/>
        <v>17.504811592326099</v>
      </c>
      <c r="BG21" s="20">
        <f t="shared" si="7"/>
        <v>137.30884715663467</v>
      </c>
      <c r="BH21" s="59">
        <f t="shared" si="8"/>
        <v>349.07820034863778</v>
      </c>
      <c r="BI21" s="59">
        <f ca="1">AVERAGE(OFFSET($BH$3,0,0,'Données projet'!$E$11+1,1))-AVERAGE(OFFSET($H$3,0,0,'Données projet'!$E$11+1,1))</f>
        <v>580.02848304986492</v>
      </c>
      <c r="BJ21" s="59">
        <f t="shared" si="38"/>
        <v>281.68891895586728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13.8</v>
      </c>
      <c r="BY21" s="12">
        <f>IF('Données projet'!$A$114&gt;35,BY20+BX21-CG20,IF(A21&lt;'Données projet'!$A$114,$BV$205^A21,IF(A21='Données projet'!$A$114,'Données projet'!$B$114,BY20+BX21-CG20)))</f>
        <v>74.399999999999991</v>
      </c>
      <c r="BZ21" s="13">
        <f>BY21*VLOOKUP('Données projet'!$B$12,Paramètres!$A$1:$I$89,3,0)*VLOOKUP('Données projet'!$B$12,Paramètres!$A$1:$I$89,5,0)</f>
        <v>70.799039999999991</v>
      </c>
      <c r="CA21" s="13">
        <f t="shared" si="39"/>
        <v>19.871756095926923</v>
      </c>
      <c r="CB21" s="20">
        <f t="shared" si="10"/>
        <v>157.91830320040603</v>
      </c>
      <c r="CC21" s="59">
        <f t="shared" si="11"/>
        <v>369.68765639240917</v>
      </c>
      <c r="CD21" s="59">
        <f ca="1">AVERAGE(OFFSET($CC$3,0,0,'Données projet'!$E$12+1,1))-AVERAGE(OFFSET($H$3,0,0,'Données projet'!$E$12+1,1))</f>
        <v>439.15394290667945</v>
      </c>
      <c r="CE21" s="59">
        <f t="shared" si="40"/>
        <v>423.56554025351068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3.3168285934973789</v>
      </c>
      <c r="CM21" s="21">
        <f>EXP(-LN(2)/2)*CM20+(1-EXP(-LN(2)/2))/(LN(2)/2)*CG21*CJ21*VLOOKUP('Données projet'!$B$12,Paramètres!$A$1:$I$89,3,0)*0.475*44/12</f>
        <v>2.5395321776771813</v>
      </c>
      <c r="CN21" s="22">
        <f t="shared" si="12"/>
        <v>5.8563607711745602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13.8</v>
      </c>
      <c r="CT21" s="12">
        <f>IF('Données projet'!$A$140&gt;35,CT20+CS21-DB20,IF(A21&lt;'Données projet'!$A$140,$CQ$205^A21,IF(A21='Données projet'!$A$140,'Données projet'!$B$140,CT20+CS21-DB20)))</f>
        <v>74.399999999999991</v>
      </c>
      <c r="CU21" s="17">
        <f>CT21*VLOOKUP('Données projet'!$B$13,Paramètres!$A$1:$I$89,3,0)*VLOOKUP('Données projet'!$B$13,Paramètres!$A$1:$I$89,5,0)</f>
        <v>64.995840000000001</v>
      </c>
      <c r="CV21" s="13">
        <f t="shared" si="41"/>
        <v>18.425434860828894</v>
      </c>
      <c r="CW21" s="20">
        <f t="shared" si="13"/>
        <v>145.29205371594367</v>
      </c>
      <c r="CX21" s="59">
        <f t="shared" si="14"/>
        <v>357.06140690794678</v>
      </c>
      <c r="CY21" s="59">
        <f ca="1">AVERAGE(OFFSET($CX$3,0,0,'Données projet'!$E$13+1,1))-AVERAGE(OFFSET($H$3,0,0,'Données projet'!$E$13+1,1))</f>
        <v>408.246209980743</v>
      </c>
      <c r="CZ21" s="59">
        <f t="shared" si="42"/>
        <v>394.10236303013903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>
        <f>EXP(-LN(2)/35)*DF20+(1-EXP(-LN(2)/35))/(LN(2)/35)*DB21*DC21*VLOOKUP('Données projet'!$B$13,Paramètres!$A$1:$I$89,3,0)*0.475*44/12</f>
        <v>0</v>
      </c>
      <c r="DG21" s="21">
        <f>EXP(-LN(2)/25)*DG20+(1-EXP(-LN(2)/25))/(LN(2)/25)*Calculateur!DB21*Calculateur!DD21*VLOOKUP('Données projet'!$B$13,Paramètres!$A$1:$I$89,3,0)*0.475*44/12</f>
        <v>3.7530870245902492</v>
      </c>
      <c r="DH21" s="21">
        <f>EXP(-LN(2)/2)*DH20+(1-EXP(-LN(2)/2))/(LN(2)/2)*DB21*DE21*VLOOKUP('Données projet'!$B$13,Paramètres!$A$1:$I$89,3,0)*0.475*44/12</f>
        <v>2.3313738024577408</v>
      </c>
      <c r="DI21" s="22">
        <f t="shared" si="15"/>
        <v>6.0844608270479901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13.8</v>
      </c>
      <c r="DO21" s="12">
        <f>IF('Données projet'!$A$166&gt;35,DO20+DN21-DW20,IF(A21&lt;'Données projet'!$A$166,$DL$205^A21,IF(A21='Données projet'!$A$166,'Données projet'!$B$166,DO20+DN21-DW20)))</f>
        <v>74.399999999999991</v>
      </c>
      <c r="DP21" s="17">
        <f>DO21*VLOOKUP('Données projet'!$B$14,Paramètres!$A$1:$I$89,3,0)*VLOOKUP('Données projet'!$B$14,Paramètres!$A$1:$I$89,5,0)</f>
        <v>58.031999999999996</v>
      </c>
      <c r="DQ21" s="13">
        <f t="shared" si="43"/>
        <v>16.669735221992795</v>
      </c>
      <c r="DR21" s="20">
        <f t="shared" si="16"/>
        <v>130.10552217830411</v>
      </c>
      <c r="DS21" s="59">
        <f t="shared" si="17"/>
        <v>341.87487537030722</v>
      </c>
      <c r="DT21" s="59">
        <f ca="1">AVERAGE(OFFSET($DS$3,0,0,'Données projet'!$E$14+1,1))-AVERAGE(OFFSET($H$3,0,0,'Données projet'!$E$14+1,1))</f>
        <v>371.07993287480366</v>
      </c>
      <c r="DU21" s="59">
        <f t="shared" si="44"/>
        <v>358.67120540290637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>
        <f>EXP(-LN(2)/35)*EA20+(1-EXP(-LN(2)/35))/(LN(2)/35)*DW21*DX21*VLOOKUP('Données projet'!$B$14,Paramètres!$A$1:$I$89,3,0)*0.475*44/12</f>
        <v>0</v>
      </c>
      <c r="EB21" s="21">
        <f>EXP(-LN(2)/25)*EB20+(1-EXP(-LN(2)/25))/(LN(2)/25)*Calculateur!DW21*Calculateur!DY21*VLOOKUP('Données projet'!$B$14,Paramètres!$A$1:$I$89,3,0)*0.475*44/12</f>
        <v>2.7187119618830975</v>
      </c>
      <c r="EC21" s="21">
        <f>EXP(-LN(2)/2)*EC20+(1-EXP(-LN(2)/2))/(LN(2)/2)*DW21*DZ21*VLOOKUP('Données projet'!$B$14,Paramètres!$A$1:$I$89,3,0)*0.475*44/12</f>
        <v>2.0815837521944109</v>
      </c>
      <c r="ED21" s="22">
        <f t="shared" si="18"/>
        <v>4.8002957140775084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45">
      <c r="A22" s="10">
        <f t="shared" si="31"/>
        <v>19</v>
      </c>
      <c r="B22" s="73">
        <f>'Scénario référence'!$B$16*5+'Scénario référence'!$B$17*0+'Scénario référence'!$B$18*5</f>
        <v>5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1">
        <f t="shared" si="32"/>
        <v>0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18.333333333333332</v>
      </c>
      <c r="H22" s="67">
        <f t="shared" si="1"/>
        <v>183.33333333333334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4.0942857142857143</v>
      </c>
      <c r="N22" s="13">
        <f>IF('Données projet'!$A$36&gt;35,N21+M22-V21,IF(A22&lt;'Données projet'!$A$36,$K$205^A22,IF(A22='Données projet'!$A$36,'Données projet'!$B$36,N21+M22-V21)))</f>
        <v>77.791428571428611</v>
      </c>
      <c r="O22" s="13">
        <f>N22*VLOOKUP('Données projet'!$B$9,Paramètres!$A$1:$I$89,3,0)*VLOOKUP('Données projet'!$B$9,Paramètres!$A$1:$I$89,5,0)</f>
        <v>70.385684571428612</v>
      </c>
      <c r="P22" s="13">
        <f t="shared" si="33"/>
        <v>19.769205993092573</v>
      </c>
      <c r="Q22" s="20">
        <f t="shared" si="2"/>
        <v>157.01976773320771</v>
      </c>
      <c r="R22" s="59">
        <f t="shared" si="0"/>
        <v>371.17186197623124</v>
      </c>
      <c r="S22" s="59">
        <f ca="1">AVERAGE(OFFSET($R$3,0,0,'Données projet'!$E$9+1,1))-AVERAGE(OFFSET($H$3,0,0,'Données projet'!$E$9+1,1))</f>
        <v>681.47578137804555</v>
      </c>
      <c r="T22" s="59">
        <f t="shared" si="34"/>
        <v>300.88511065995885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6.4429411764705877</v>
      </c>
      <c r="AI22" s="13">
        <f>IF('Données projet'!$A$62&gt;35,AI21+AH22-AQ21,IF(A22&lt;'Données projet'!$A$62,$AF$205^A22,IF(A22='Données projet'!$A$62,'Données projet'!$B$62,AI21+AH22-AQ21)))</f>
        <v>122.41588235294114</v>
      </c>
      <c r="AJ22" s="13">
        <f>AI22*VLOOKUP('Données projet'!$B$10,Paramètres!$A$1:$I$89,3,0)*VLOOKUP('Données projet'!$B$10,Paramètres!$A$1:$I$89,5,0)</f>
        <v>57.290632941176455</v>
      </c>
      <c r="AK22" s="13">
        <f t="shared" si="35"/>
        <v>16.481424744815605</v>
      </c>
      <c r="AL22" s="20">
        <f t="shared" si="4"/>
        <v>128.48633380310281</v>
      </c>
      <c r="AM22" s="59">
        <f t="shared" si="5"/>
        <v>342.63842804612636</v>
      </c>
      <c r="AN22" s="59">
        <f ca="1">AVERAGE(OFFSET($AM$3,0,0,'Données projet'!$E$10+1,1))-AVERAGE(OFFSET($H$3,0,0,'Données projet'!$E$10+1,1))</f>
        <v>325.45940224919184</v>
      </c>
      <c r="AO22" s="59">
        <f t="shared" si="36"/>
        <v>256.30046621034876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3.3603333333333336</v>
      </c>
      <c r="BD22" s="12">
        <f>IF('Données projet'!$A$88&gt;35,BD21+BC22-BL21,IF(A22&lt;'Données projet'!$A$88,$BA$205^A22,IF(A22='Données projet'!$A$88,'Données projet'!$B$88,BD21+BC22-BL21)))</f>
        <v>63.846333333333369</v>
      </c>
      <c r="BE22" s="13">
        <f>BD22*VLOOKUP('Données projet'!$B$11,Paramètres!$A$1:$I$89,3,0)*VLOOKUP('Données projet'!$B$11,Paramètres!$A$1:$I$89,5,0)</f>
        <v>64.740182000000047</v>
      </c>
      <c r="BF22" s="13">
        <f t="shared" si="37"/>
        <v>18.361380775200633</v>
      </c>
      <c r="BG22" s="20">
        <f t="shared" si="7"/>
        <v>144.73522183347453</v>
      </c>
      <c r="BH22" s="59">
        <f t="shared" si="8"/>
        <v>358.88731607649805</v>
      </c>
      <c r="BI22" s="59">
        <f ca="1">AVERAGE(OFFSET($BH$3,0,0,'Données projet'!$E$11+1,1))-AVERAGE(OFFSET($H$3,0,0,'Données projet'!$E$11+1,1))</f>
        <v>580.02848304986492</v>
      </c>
      <c r="BJ22" s="59">
        <f t="shared" si="38"/>
        <v>281.68891895586728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13.8</v>
      </c>
      <c r="BY22" s="12">
        <f>IF('Données projet'!$A$114&gt;35,BY21+BX22-CG21,IF(A22&lt;'Données projet'!$A$114,$BV$205^A22,IF(A22='Données projet'!$A$114,'Données projet'!$B$114,BY21+BX22-CG21)))</f>
        <v>88.199999999999989</v>
      </c>
      <c r="BZ22" s="13">
        <f>BY22*VLOOKUP('Données projet'!$B$12,Paramètres!$A$1:$I$89,3,0)*VLOOKUP('Données projet'!$B$12,Paramètres!$A$1:$I$89,5,0)</f>
        <v>83.931119999999993</v>
      </c>
      <c r="CA22" s="13">
        <f t="shared" si="39"/>
        <v>23.095663536885745</v>
      </c>
      <c r="CB22" s="20">
        <f t="shared" si="10"/>
        <v>186.40498132674267</v>
      </c>
      <c r="CC22" s="59">
        <f t="shared" si="11"/>
        <v>400.5570755697662</v>
      </c>
      <c r="CD22" s="59">
        <f ca="1">AVERAGE(OFFSET($CC$3,0,0,'Données projet'!$E$12+1,1))-AVERAGE(OFFSET($H$3,0,0,'Données projet'!$E$12+1,1))</f>
        <v>439.15394290667945</v>
      </c>
      <c r="CE22" s="59">
        <f t="shared" si="40"/>
        <v>423.56554025351068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3.2261297411837582</v>
      </c>
      <c r="CM22" s="21">
        <f>EXP(-LN(2)/2)*CM21+(1-EXP(-LN(2)/2))/(LN(2)/2)*CG22*CJ22*VLOOKUP('Données projet'!$B$12,Paramètres!$A$1:$I$89,3,0)*0.475*44/12</f>
        <v>1.7957204238769753</v>
      </c>
      <c r="CN22" s="22">
        <f t="shared" si="12"/>
        <v>5.0218501650607337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13.8</v>
      </c>
      <c r="CT22" s="12">
        <f>IF('Données projet'!$A$140&gt;35,CT21+CS22-DB21,IF(A22&lt;'Données projet'!$A$140,$CQ$205^A22,IF(A22='Données projet'!$A$140,'Données projet'!$B$140,CT21+CS22-DB21)))</f>
        <v>88.199999999999989</v>
      </c>
      <c r="CU22" s="17">
        <f>CT22*VLOOKUP('Données projet'!$B$13,Paramètres!$A$1:$I$89,3,0)*VLOOKUP('Données projet'!$B$13,Paramètres!$A$1:$I$89,5,0)</f>
        <v>77.051519999999996</v>
      </c>
      <c r="CV22" s="13">
        <f t="shared" si="41"/>
        <v>21.414697423431697</v>
      </c>
      <c r="CW22" s="20">
        <f t="shared" si="13"/>
        <v>171.49532867914351</v>
      </c>
      <c r="CX22" s="59">
        <f t="shared" si="14"/>
        <v>385.64742292216704</v>
      </c>
      <c r="CY22" s="59">
        <f ca="1">AVERAGE(OFFSET($CX$3,0,0,'Données projet'!$E$13+1,1))-AVERAGE(OFFSET($H$3,0,0,'Données projet'!$E$13+1,1))</f>
        <v>408.246209980743</v>
      </c>
      <c r="CZ22" s="59">
        <f t="shared" si="42"/>
        <v>394.10236303013903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>
        <f>EXP(-LN(2)/35)*DF21+(1-EXP(-LN(2)/35))/(LN(2)/35)*DB22*DC22*VLOOKUP('Données projet'!$B$13,Paramètres!$A$1:$I$89,3,0)*0.475*44/12</f>
        <v>0</v>
      </c>
      <c r="DG22" s="21">
        <f>EXP(-LN(2)/25)*DG21+(1-EXP(-LN(2)/25))/(LN(2)/25)*Calculateur!DB22*Calculateur!DD22*VLOOKUP('Données projet'!$B$13,Paramètres!$A$1:$I$89,3,0)*0.475*44/12</f>
        <v>3.6504586625365603</v>
      </c>
      <c r="DH22" s="21">
        <f>EXP(-LN(2)/2)*DH21+(1-EXP(-LN(2)/2))/(LN(2)/2)*DB22*DE22*VLOOKUP('Données projet'!$B$13,Paramètres!$A$1:$I$89,3,0)*0.475*44/12</f>
        <v>1.6485302251985352</v>
      </c>
      <c r="DI22" s="22">
        <f t="shared" si="15"/>
        <v>5.2989888877350957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13.8</v>
      </c>
      <c r="DO22" s="12">
        <f>IF('Données projet'!$A$166&gt;35,DO21+DN22-DW21,IF(A22&lt;'Données projet'!$A$166,$DL$205^A22,IF(A22='Données projet'!$A$166,'Données projet'!$B$166,DO21+DN22-DW21)))</f>
        <v>88.199999999999989</v>
      </c>
      <c r="DP22" s="17">
        <f>DO22*VLOOKUP('Données projet'!$B$14,Paramètres!$A$1:$I$89,3,0)*VLOOKUP('Données projet'!$B$14,Paramètres!$A$1:$I$89,5,0)</f>
        <v>68.795999999999992</v>
      </c>
      <c r="DQ22" s="13">
        <f t="shared" si="43"/>
        <v>19.374160697102734</v>
      </c>
      <c r="DR22" s="20">
        <f t="shared" si="16"/>
        <v>153.56302988078724</v>
      </c>
      <c r="DS22" s="59">
        <f t="shared" si="17"/>
        <v>367.71512412381077</v>
      </c>
      <c r="DT22" s="59">
        <f ca="1">AVERAGE(OFFSET($DS$3,0,0,'Données projet'!$E$14+1,1))-AVERAGE(OFFSET($H$3,0,0,'Données projet'!$E$14+1,1))</f>
        <v>371.07993287480366</v>
      </c>
      <c r="DU22" s="59">
        <f t="shared" si="44"/>
        <v>358.67120540290637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>
        <f>EXP(-LN(2)/35)*EA21+(1-EXP(-LN(2)/35))/(LN(2)/35)*DW22*DX22*VLOOKUP('Données projet'!$B$14,Paramètres!$A$1:$I$89,3,0)*0.475*44/12</f>
        <v>0</v>
      </c>
      <c r="EB22" s="21">
        <f>EXP(-LN(2)/25)*EB21+(1-EXP(-LN(2)/25))/(LN(2)/25)*Calculateur!DW22*Calculateur!DY22*VLOOKUP('Données projet'!$B$14,Paramètres!$A$1:$I$89,3,0)*0.475*44/12</f>
        <v>2.6443686403145557</v>
      </c>
      <c r="EC22" s="21">
        <f>EXP(-LN(2)/2)*EC21+(1-EXP(-LN(2)/2))/(LN(2)/2)*DW22*DZ22*VLOOKUP('Données projet'!$B$14,Paramètres!$A$1:$I$89,3,0)*0.475*44/12</f>
        <v>1.4719019867844061</v>
      </c>
      <c r="ED22" s="22">
        <f t="shared" si="18"/>
        <v>4.1162706270989613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45">
      <c r="A23" s="10">
        <f t="shared" si="31"/>
        <v>20</v>
      </c>
      <c r="B23" s="73">
        <f>'Scénario référence'!$B$16*5+'Scénario référence'!$B$17*0+'Scénario référence'!$B$18*5</f>
        <v>5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1">
        <f t="shared" si="32"/>
        <v>0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18.333333333333332</v>
      </c>
      <c r="H23" s="67">
        <f t="shared" si="1"/>
        <v>183.33333333333334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4.0942857142857143</v>
      </c>
      <c r="N23" s="13">
        <f>IF('Données projet'!$A$36&gt;35,N22+M23-V22,IF(A23&lt;'Données projet'!$A$36,$K$205^A23,IF(A23='Données projet'!$A$36,'Données projet'!$B$36,N22+M23-V22)))</f>
        <v>81.885714285714329</v>
      </c>
      <c r="O23" s="13">
        <f>N23*VLOOKUP('Données projet'!$B$9,Paramètres!$A$1:$I$89,3,0)*VLOOKUP('Données projet'!$B$9,Paramètres!$A$1:$I$89,5,0)</f>
        <v>74.090194285714318</v>
      </c>
      <c r="P23" s="13">
        <f t="shared" si="33"/>
        <v>20.685815608516002</v>
      </c>
      <c r="Q23" s="20">
        <f t="shared" si="2"/>
        <v>165.06821723245113</v>
      </c>
      <c r="R23" s="59">
        <f t="shared" si="0"/>
        <v>381.58292011934685</v>
      </c>
      <c r="S23" s="59">
        <f ca="1">AVERAGE(OFFSET($R$3,0,0,'Données projet'!$E$9+1,1))-AVERAGE(OFFSET($H$3,0,0,'Données projet'!$E$9+1,1))</f>
        <v>681.47578137804555</v>
      </c>
      <c r="T23" s="59">
        <f t="shared" si="34"/>
        <v>300.88511065995885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0</v>
      </c>
      <c r="AC23" s="22">
        <f t="shared" si="3"/>
        <v>0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6.4429411764705877</v>
      </c>
      <c r="AI23" s="13">
        <f>IF('Données projet'!$A$62&gt;35,AI22+AH23-AQ22,IF(A23&lt;'Données projet'!$A$62,$AF$205^A23,IF(A23='Données projet'!$A$62,'Données projet'!$B$62,AI22+AH23-AQ22)))</f>
        <v>128.85882352941172</v>
      </c>
      <c r="AJ23" s="13">
        <f>AI23*VLOOKUP('Données projet'!$B$10,Paramètres!$A$1:$I$89,3,0)*VLOOKUP('Données projet'!$B$10,Paramètres!$A$1:$I$89,5,0)</f>
        <v>60.305929411764687</v>
      </c>
      <c r="AK23" s="13">
        <f t="shared" si="35"/>
        <v>17.245594656457669</v>
      </c>
      <c r="AL23" s="20">
        <f t="shared" si="4"/>
        <v>135.06890441882061</v>
      </c>
      <c r="AM23" s="59">
        <f t="shared" si="5"/>
        <v>351.58360730571633</v>
      </c>
      <c r="AN23" s="59">
        <f ca="1">AVERAGE(OFFSET($AM$3,0,0,'Données projet'!$E$10+1,1))-AVERAGE(OFFSET($H$3,0,0,'Données projet'!$E$10+1,1))</f>
        <v>325.45940224919184</v>
      </c>
      <c r="AO23" s="59">
        <f t="shared" si="36"/>
        <v>256.30046621034876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3.3603333333333336</v>
      </c>
      <c r="BD23" s="12">
        <f>IF('Données projet'!$A$88&gt;35,BD22+BC23-BL22,IF(A23&lt;'Données projet'!$A$88,$BA$205^A23,IF(A23='Données projet'!$A$88,'Données projet'!$B$88,BD22+BC23-BL22)))</f>
        <v>67.206666666666706</v>
      </c>
      <c r="BE23" s="13">
        <f>BD23*VLOOKUP('Données projet'!$B$11,Paramètres!$A$1:$I$89,3,0)*VLOOKUP('Données projet'!$B$11,Paramètres!$A$1:$I$89,5,0)</f>
        <v>68.147560000000055</v>
      </c>
      <c r="BF23" s="13">
        <f t="shared" si="37"/>
        <v>19.212715835236935</v>
      </c>
      <c r="BG23" s="20">
        <f t="shared" si="7"/>
        <v>152.15248041303775</v>
      </c>
      <c r="BH23" s="59">
        <f t="shared" si="8"/>
        <v>368.66718329993347</v>
      </c>
      <c r="BI23" s="59">
        <f ca="1">AVERAGE(OFFSET($BH$3,0,0,'Données projet'!$E$11+1,1))-AVERAGE(OFFSET($H$3,0,0,'Données projet'!$E$11+1,1))</f>
        <v>580.02848304986492</v>
      </c>
      <c r="BJ23" s="59">
        <f t="shared" si="38"/>
        <v>281.68891895586728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0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0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>
        <f>VLOOKUP(A23,'Données projet'!$A$113:$I$133,2,0)</f>
        <v>102</v>
      </c>
      <c r="BW23" s="12">
        <f>VLOOKUP(A23,'Données projet'!$A$113:$I$133,9,0)</f>
        <v>13.8</v>
      </c>
      <c r="BX23" s="12">
        <f t="array" ref="BX23">INDEX(BW:BW,MIN(IF(ISNUMBER(BW23:BW219),ROW(BW23:BW219),"")))</f>
        <v>13.8</v>
      </c>
      <c r="BY23" s="12">
        <f>IF('Données projet'!$A$114&gt;35,BY22+BX23-CG22,IF(A23&lt;'Données projet'!$A$114,$BV$205^A23,IF(A23='Données projet'!$A$114,'Données projet'!$B$114,BY22+BX23-CG22)))</f>
        <v>101.99999999999999</v>
      </c>
      <c r="BZ23" s="13">
        <f>BY23*VLOOKUP('Données projet'!$B$12,Paramètres!$A$1:$I$89,3,0)*VLOOKUP('Données projet'!$B$12,Paramètres!$A$1:$I$89,5,0)</f>
        <v>97.063199999999995</v>
      </c>
      <c r="CA23" s="13">
        <f t="shared" si="39"/>
        <v>26.261136311968997</v>
      </c>
      <c r="CB23" s="20">
        <f t="shared" si="10"/>
        <v>214.78988574334596</v>
      </c>
      <c r="CC23" s="59">
        <f t="shared" si="11"/>
        <v>431.30458863024171</v>
      </c>
      <c r="CD23" s="59">
        <f ca="1">AVERAGE(OFFSET($CC$3,0,0,'Données projet'!$E$12+1,1))-AVERAGE(OFFSET($H$3,0,0,'Données projet'!$E$12+1,1))</f>
        <v>439.15394290667945</v>
      </c>
      <c r="CE23" s="59">
        <f t="shared" si="40"/>
        <v>423.56554025351068</v>
      </c>
      <c r="CF23" s="15">
        <f>IF(ISNA(VLOOKUP(A23,'Données projet'!$A$113:$I$133,3,0)),0,VLOOKUP(A23,'Données projet'!$A$113:$I$133,3,0))</f>
        <v>2</v>
      </c>
      <c r="CG23" s="15">
        <f>IF(ISNA(VLOOKUP(A23,'Données projet'!$A$113:$I$133,4,0)),0,VLOOKUP(A23,'Données projet'!$A$113:$I$133,4,0))</f>
        <v>35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0.1075</v>
      </c>
      <c r="CJ23" s="16">
        <f>IF(ISNA(VLOOKUP(A23,'Données projet'!$A$113:$I$133,7,0)),0%,VLOOKUP(A23,'Données projet'!$A$113:$I$133,7,0))</f>
        <v>0.25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7.0803474379810032</v>
      </c>
      <c r="CM23" s="21">
        <f>EXP(-LN(2)/2)*CM22+(1-EXP(-LN(2)/2))/(LN(2)/2)*CG23*CJ23*VLOOKUP('Données projet'!$B$12,Paramètres!$A$1:$I$89,3,0)*0.475*44/12</f>
        <v>9.1260429433003569</v>
      </c>
      <c r="CN23" s="22">
        <f t="shared" si="12"/>
        <v>16.206390381281359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>
        <f>VLOOKUP(A23,'Données projet'!$A$139:$I$159,2,0)</f>
        <v>102</v>
      </c>
      <c r="CR23" s="12">
        <f>VLOOKUP(A23,'Données projet'!$A$139:$I$159,9,0)</f>
        <v>13.8</v>
      </c>
      <c r="CS23" s="12">
        <f t="array" ref="CS23">INDEX(CR:CR,MIN(IF(ISNUMBER(CR23:CR219),ROW(CR23:CR219),"")))</f>
        <v>13.8</v>
      </c>
      <c r="CT23" s="12">
        <f>IF('Données projet'!$A$140&gt;35,CT22+CS23-DB22,IF(A23&lt;'Données projet'!$A$140,$CQ$205^A23,IF(A23='Données projet'!$A$140,'Données projet'!$B$140,CT22+CS23-DB22)))</f>
        <v>101.99999999999999</v>
      </c>
      <c r="CU23" s="17">
        <f>CT23*VLOOKUP('Données projet'!$B$13,Paramètres!$A$1:$I$89,3,0)*VLOOKUP('Données projet'!$B$13,Paramètres!$A$1:$I$89,5,0)</f>
        <v>89.107200000000006</v>
      </c>
      <c r="CV23" s="13">
        <f t="shared" si="41"/>
        <v>24.349778356363352</v>
      </c>
      <c r="CW23" s="20">
        <f t="shared" si="13"/>
        <v>197.6042373039995</v>
      </c>
      <c r="CX23" s="59">
        <f t="shared" si="14"/>
        <v>414.11894019089522</v>
      </c>
      <c r="CY23" s="59">
        <f ca="1">AVERAGE(OFFSET($CX$3,0,0,'Données projet'!$E$13+1,1))-AVERAGE(OFFSET($H$3,0,0,'Données projet'!$E$13+1,1))</f>
        <v>408.246209980743</v>
      </c>
      <c r="CZ23" s="59">
        <f t="shared" si="42"/>
        <v>394.10236303013903</v>
      </c>
      <c r="DA23" s="15">
        <f>IF(ISNA(VLOOKUP(A23,'Données projet'!$A$139:$I$159,3,0)),0,VLOOKUP(A23,'Données projet'!$A$139:$I$159,3,0))</f>
        <v>2</v>
      </c>
      <c r="DB23" s="15">
        <f>IF(ISNA(VLOOKUP(A23,'Données projet'!$A$139:$I$159,4,0)),0,VLOOKUP(A23,'Données projet'!$A$139:$I$159,4,0))</f>
        <v>35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0.13250000000000001</v>
      </c>
      <c r="DE23" s="16">
        <f>IF(ISNA(VLOOKUP(A23,'Données projet'!$A$139:$I$159,7,0)),0%,VLOOKUP(A23,'Données projet'!$A$139:$I$159,7,0))</f>
        <v>0.25</v>
      </c>
      <c r="DF23" s="21">
        <f>EXP(-LN(2)/35)*DF22+(1-EXP(-LN(2)/35))/(LN(2)/35)*DB23*DC23*VLOOKUP('Données projet'!$B$13,Paramètres!$A$1:$I$89,3,0)*0.475*44/12</f>
        <v>0</v>
      </c>
      <c r="DG23" s="21">
        <f>EXP(-LN(2)/25)*DG22+(1-EXP(-LN(2)/25))/(LN(2)/25)*Calculateur!DB23*Calculateur!DD23*VLOOKUP('Données projet'!$B$13,Paramètres!$A$1:$I$89,3,0)*0.475*44/12</f>
        <v>8.0116169256300509</v>
      </c>
      <c r="DH23" s="21">
        <f>EXP(-LN(2)/2)*DH22+(1-EXP(-LN(2)/2))/(LN(2)/2)*DB23*DE23*VLOOKUP('Données projet'!$B$13,Paramètres!$A$1:$I$89,3,0)*0.475*44/12</f>
        <v>8.3780066364724597</v>
      </c>
      <c r="DI23" s="22">
        <f t="shared" si="15"/>
        <v>16.389623562102511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>
        <f>VLOOKUP(A23,'Données projet'!$A$165:$I$185,2,0)</f>
        <v>102</v>
      </c>
      <c r="DM23" s="12">
        <f>VLOOKUP(A23,'Données projet'!$A$165:$I$185,9,0)</f>
        <v>13.8</v>
      </c>
      <c r="DN23" s="12">
        <f t="array" ref="DN23">INDEX(DM:DM,MIN(IF(ISNUMBER(DM23:DM219),ROW(DM23:DM219),"")))</f>
        <v>13.8</v>
      </c>
      <c r="DO23" s="12">
        <f>IF('Données projet'!$A$166&gt;35,DO22+DN23-DW22,IF(A23&lt;'Données projet'!$A$166,$DL$205^A23,IF(A23='Données projet'!$A$166,'Données projet'!$B$166,DO22+DN23-DW22)))</f>
        <v>101.99999999999999</v>
      </c>
      <c r="DP23" s="17">
        <f>DO23*VLOOKUP('Données projet'!$B$14,Paramètres!$A$1:$I$89,3,0)*VLOOKUP('Données projet'!$B$14,Paramètres!$A$1:$I$89,5,0)</f>
        <v>79.559999999999988</v>
      </c>
      <c r="DQ23" s="13">
        <f t="shared" si="43"/>
        <v>22.029567333453311</v>
      </c>
      <c r="DR23" s="20">
        <f t="shared" si="16"/>
        <v>176.93516310576447</v>
      </c>
      <c r="DS23" s="59">
        <f t="shared" si="17"/>
        <v>393.44986599266019</v>
      </c>
      <c r="DT23" s="59">
        <f ca="1">AVERAGE(OFFSET($DS$3,0,0,'Données projet'!$E$14+1,1))-AVERAGE(OFFSET($H$3,0,0,'Données projet'!$E$14+1,1))</f>
        <v>371.07993287480366</v>
      </c>
      <c r="DU23" s="59">
        <f t="shared" si="44"/>
        <v>358.67120540290637</v>
      </c>
      <c r="DV23" s="15">
        <f>IF(ISNA(VLOOKUP(A23,'Données projet'!$A$165:$I$185,3,0)),0,VLOOKUP(A23,'Données projet'!$A$165:$I$185,3,0))</f>
        <v>2</v>
      </c>
      <c r="DW23" s="15">
        <f>IF(ISNA(VLOOKUP(A23,'Données projet'!$A$165:$I$185,4,0)),0,VLOOKUP(A23,'Données projet'!$A$165:$I$185,4,0))</f>
        <v>35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0.1075</v>
      </c>
      <c r="DZ23" s="16">
        <f>IF(ISNA(VLOOKUP(A23,'Données projet'!$A$165:$I$185,7,0)),0%,VLOOKUP(A23,'Données projet'!$A$165:$I$185,7,0))</f>
        <v>0.25</v>
      </c>
      <c r="EA23" s="21">
        <f>EXP(-LN(2)/35)*EA22+(1-EXP(-LN(2)/35))/(LN(2)/35)*DW23*DX23*VLOOKUP('Données projet'!$B$14,Paramètres!$A$1:$I$89,3,0)*0.475*44/12</f>
        <v>0</v>
      </c>
      <c r="EB23" s="21">
        <f>EXP(-LN(2)/25)*EB22+(1-EXP(-LN(2)/25))/(LN(2)/25)*Calculateur!DW23*Calculateur!DY23*VLOOKUP('Données projet'!$B$14,Paramètres!$A$1:$I$89,3,0)*0.475*44/12</f>
        <v>5.8035634737549202</v>
      </c>
      <c r="EC23" s="21">
        <f>EXP(-LN(2)/2)*EC22+(1-EXP(-LN(2)/2))/(LN(2)/2)*DW23*DZ23*VLOOKUP('Données projet'!$B$14,Paramètres!$A$1:$I$89,3,0)*0.475*44/12</f>
        <v>7.4803630682789803</v>
      </c>
      <c r="ED23" s="22">
        <f t="shared" si="18"/>
        <v>13.2839265420339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45">
      <c r="A24" s="10">
        <f t="shared" si="31"/>
        <v>21</v>
      </c>
      <c r="B24" s="73">
        <f>'Scénario référence'!$B$16*5+'Scénario référence'!$B$17*0+'Scénario référence'!$B$18*5</f>
        <v>5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1">
        <f t="shared" si="32"/>
        <v>0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18.333333333333332</v>
      </c>
      <c r="H24" s="67">
        <f t="shared" si="1"/>
        <v>183.33333333333334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4.0942857142857143</v>
      </c>
      <c r="N24" s="13">
        <f>IF('Données projet'!$A$36&gt;35,N23+M24-V23,IF(A24&lt;'Données projet'!$A$36,$K$205^A24,IF(A24='Données projet'!$A$36,'Données projet'!$B$36,N23+M24-V23)))</f>
        <v>85.980000000000047</v>
      </c>
      <c r="O24" s="13">
        <f>N24*VLOOKUP('Données projet'!$B$9,Paramètres!$A$1:$I$89,3,0)*VLOOKUP('Données projet'!$B$9,Paramètres!$A$1:$I$89,5,0)</f>
        <v>77.794704000000038</v>
      </c>
      <c r="P24" s="13">
        <f t="shared" si="33"/>
        <v>21.597103708846074</v>
      </c>
      <c r="Q24" s="20">
        <f t="shared" si="2"/>
        <v>173.10739842624028</v>
      </c>
      <c r="R24" s="59">
        <f t="shared" si="0"/>
        <v>391.96492680211463</v>
      </c>
      <c r="S24" s="59">
        <f ca="1">AVERAGE(OFFSET($R$3,0,0,'Données projet'!$E$9+1,1))-AVERAGE(OFFSET($H$3,0,0,'Données projet'!$E$9+1,1))</f>
        <v>681.47578137804555</v>
      </c>
      <c r="T24" s="59">
        <f t="shared" si="34"/>
        <v>300.88511065995885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0</v>
      </c>
      <c r="AC24" s="22">
        <f t="shared" si="3"/>
        <v>0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6.4429411764705877</v>
      </c>
      <c r="AI24" s="13">
        <f>IF('Données projet'!$A$62&gt;35,AI23+AH24-AQ23,IF(A24&lt;'Données projet'!$A$62,$AF$205^A24,IF(A24='Données projet'!$A$62,'Données projet'!$B$62,AI23+AH24-AQ23)))</f>
        <v>135.30176470588231</v>
      </c>
      <c r="AJ24" s="13">
        <f>AI24*VLOOKUP('Données projet'!$B$10,Paramètres!$A$1:$I$89,3,0)*VLOOKUP('Données projet'!$B$10,Paramètres!$A$1:$I$89,5,0)</f>
        <v>63.32122588235292</v>
      </c>
      <c r="AK24" s="13">
        <f t="shared" si="35"/>
        <v>18.005328064652414</v>
      </c>
      <c r="AL24" s="20">
        <f t="shared" si="4"/>
        <v>141.64374812436762</v>
      </c>
      <c r="AM24" s="59">
        <f t="shared" si="5"/>
        <v>360.501276500242</v>
      </c>
      <c r="AN24" s="59">
        <f ca="1">AVERAGE(OFFSET($AM$3,0,0,'Données projet'!$E$10+1,1))-AVERAGE(OFFSET($H$3,0,0,'Données projet'!$E$10+1,1))</f>
        <v>325.45940224919184</v>
      </c>
      <c r="AO24" s="59">
        <f t="shared" si="36"/>
        <v>256.30046621034876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3.3603333333333336</v>
      </c>
      <c r="BD24" s="12">
        <f>IF('Données projet'!$A$88&gt;35,BD23+BC24-BL23,IF(A24&lt;'Données projet'!$A$88,$BA$205^A24,IF(A24='Données projet'!$A$88,'Données projet'!$B$88,BD23+BC24-BL23)))</f>
        <v>70.567000000000036</v>
      </c>
      <c r="BE24" s="13">
        <f>BD24*VLOOKUP('Données projet'!$B$11,Paramètres!$A$1:$I$89,3,0)*VLOOKUP('Données projet'!$B$11,Paramètres!$A$1:$I$89,5,0)</f>
        <v>71.55493800000005</v>
      </c>
      <c r="BF24" s="13">
        <f t="shared" si="37"/>
        <v>20.059108341436531</v>
      </c>
      <c r="BG24" s="20">
        <f t="shared" si="7"/>
        <v>159.56113071133535</v>
      </c>
      <c r="BH24" s="59">
        <f t="shared" si="8"/>
        <v>378.41865908720973</v>
      </c>
      <c r="BI24" s="59">
        <f ca="1">AVERAGE(OFFSET($BH$3,0,0,'Données projet'!$E$11+1,1))-AVERAGE(OFFSET($H$3,0,0,'Données projet'!$E$11+1,1))</f>
        <v>580.02848304986492</v>
      </c>
      <c r="BJ24" s="59">
        <f t="shared" si="38"/>
        <v>281.68891895586728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0</v>
      </c>
      <c r="BR24" s="21">
        <f>EXP(-LN(2)/2)*BR23+(1-EXP(-LN(2)/2))/(LN(2)/2)*BL24*BO24*VLOOKUP('Données projet'!$B$11,Paramètres!$A$1:$I$89,3,0)*0.475*44/12</f>
        <v>0</v>
      </c>
      <c r="BS24" s="22">
        <f t="shared" si="9"/>
        <v>0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14.8</v>
      </c>
      <c r="BY24" s="12">
        <f>IF('Données projet'!$A$114&gt;35,BY23+BX24-CG23,IF(A24&lt;'Données projet'!$A$114,$BV$205^A24,IF(A24='Données projet'!$A$114,'Données projet'!$B$114,BY23+BX24-CG23)))</f>
        <v>81.799999999999983</v>
      </c>
      <c r="BZ24" s="13">
        <f>BY24*VLOOKUP('Données projet'!$B$12,Paramètres!$A$1:$I$89,3,0)*VLOOKUP('Données projet'!$B$12,Paramètres!$A$1:$I$89,5,0)</f>
        <v>77.840879999999984</v>
      </c>
      <c r="CA24" s="13">
        <f t="shared" si="39"/>
        <v>21.608430385373108</v>
      </c>
      <c r="CB24" s="20">
        <f t="shared" si="10"/>
        <v>173.20754892119149</v>
      </c>
      <c r="CC24" s="59">
        <f t="shared" si="11"/>
        <v>392.06507729706584</v>
      </c>
      <c r="CD24" s="59">
        <f ca="1">AVERAGE(OFFSET($CC$3,0,0,'Données projet'!$E$12+1,1))-AVERAGE(OFFSET($H$3,0,0,'Données projet'!$E$12+1,1))</f>
        <v>439.15394290667945</v>
      </c>
      <c r="CE24" s="59">
        <f t="shared" si="40"/>
        <v>423.56554025351068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6.8867349649501231</v>
      </c>
      <c r="CM24" s="21">
        <f>EXP(-LN(2)/2)*CM23+(1-EXP(-LN(2)/2))/(LN(2)/2)*CG24*CJ24*VLOOKUP('Données projet'!$B$12,Paramètres!$A$1:$I$89,3,0)*0.475*44/12</f>
        <v>6.4530868506073222</v>
      </c>
      <c r="CN24" s="22">
        <f t="shared" si="12"/>
        <v>13.339821815557446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14.8</v>
      </c>
      <c r="CT24" s="12">
        <f>IF('Données projet'!$A$140&gt;35,CT23+CS24-DB23,IF(A24&lt;'Données projet'!$A$140,$CQ$205^A24,IF(A24='Données projet'!$A$140,'Données projet'!$B$140,CT23+CS24-DB23)))</f>
        <v>81.799999999999983</v>
      </c>
      <c r="CU24" s="17">
        <f>CT24*VLOOKUP('Données projet'!$B$13,Paramètres!$A$1:$I$89,3,0)*VLOOKUP('Données projet'!$B$13,Paramètres!$A$1:$I$89,5,0)</f>
        <v>71.46047999999999</v>
      </c>
      <c r="CV24" s="13">
        <f t="shared" si="41"/>
        <v>20.035709203981977</v>
      </c>
      <c r="CW24" s="20">
        <f t="shared" si="13"/>
        <v>159.35586286360191</v>
      </c>
      <c r="CX24" s="59">
        <f t="shared" si="14"/>
        <v>378.21339123947632</v>
      </c>
      <c r="CY24" s="59">
        <f ca="1">AVERAGE(OFFSET($CX$3,0,0,'Données projet'!$E$13+1,1))-AVERAGE(OFFSET($H$3,0,0,'Données projet'!$E$13+1,1))</f>
        <v>408.246209980743</v>
      </c>
      <c r="CZ24" s="59">
        <f t="shared" si="42"/>
        <v>394.10236303013903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>
        <f>EXP(-LN(2)/35)*DF23+(1-EXP(-LN(2)/35))/(LN(2)/35)*DB24*DC24*VLOOKUP('Données projet'!$B$13,Paramètres!$A$1:$I$89,3,0)*0.475*44/12</f>
        <v>0</v>
      </c>
      <c r="DG24" s="21">
        <f>EXP(-LN(2)/25)*DG23+(1-EXP(-LN(2)/25))/(LN(2)/25)*Calculateur!DB24*Calculateur!DD24*VLOOKUP('Données projet'!$B$13,Paramètres!$A$1:$I$89,3,0)*0.475*44/12</f>
        <v>7.792538839486074</v>
      </c>
      <c r="DH24" s="21">
        <f>EXP(-LN(2)/2)*DH23+(1-EXP(-LN(2)/2))/(LN(2)/2)*DB24*DE24*VLOOKUP('Données projet'!$B$13,Paramètres!$A$1:$I$89,3,0)*0.475*44/12</f>
        <v>5.9241453054755748</v>
      </c>
      <c r="DI24" s="22">
        <f t="shared" si="15"/>
        <v>13.716684144961649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14.8</v>
      </c>
      <c r="DO24" s="12">
        <f>IF('Données projet'!$A$166&gt;35,DO23+DN24-DW23,IF(A24&lt;'Données projet'!$A$166,$DL$205^A24,IF(A24='Données projet'!$A$166,'Données projet'!$B$166,DO23+DN24-DW23)))</f>
        <v>81.799999999999983</v>
      </c>
      <c r="DP24" s="17">
        <f>DO24*VLOOKUP('Données projet'!$B$14,Paramètres!$A$1:$I$89,3,0)*VLOOKUP('Données projet'!$B$14,Paramètres!$A$1:$I$89,5,0)</f>
        <v>63.803999999999988</v>
      </c>
      <c r="DQ24" s="13">
        <f t="shared" si="43"/>
        <v>18.126571770919856</v>
      </c>
      <c r="DR24" s="20">
        <f t="shared" si="16"/>
        <v>142.69574583435204</v>
      </c>
      <c r="DS24" s="59">
        <f t="shared" si="17"/>
        <v>361.55327421022639</v>
      </c>
      <c r="DT24" s="59">
        <f ca="1">AVERAGE(OFFSET($DS$3,0,0,'Données projet'!$E$14+1,1))-AVERAGE(OFFSET($H$3,0,0,'Données projet'!$E$14+1,1))</f>
        <v>371.07993287480366</v>
      </c>
      <c r="DU24" s="59">
        <f t="shared" si="44"/>
        <v>358.67120540290637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>
        <f>EXP(-LN(2)/35)*EA23+(1-EXP(-LN(2)/35))/(LN(2)/35)*DW24*DX24*VLOOKUP('Données projet'!$B$14,Paramètres!$A$1:$I$89,3,0)*0.475*44/12</f>
        <v>0</v>
      </c>
      <c r="EB24" s="21">
        <f>EXP(-LN(2)/25)*EB23+(1-EXP(-LN(2)/25))/(LN(2)/25)*Calculateur!DW24*Calculateur!DY24*VLOOKUP('Données projet'!$B$14,Paramètres!$A$1:$I$89,3,0)*0.475*44/12</f>
        <v>5.6448647253689535</v>
      </c>
      <c r="EC24" s="21">
        <f>EXP(-LN(2)/2)*EC23+(1-EXP(-LN(2)/2))/(LN(2)/2)*DW24*DZ24*VLOOKUP('Données projet'!$B$14,Paramètres!$A$1:$I$89,3,0)*0.475*44/12</f>
        <v>5.2894154513174767</v>
      </c>
      <c r="ED24" s="22">
        <f t="shared" si="18"/>
        <v>10.93428017668643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45">
      <c r="A25" s="10">
        <f t="shared" si="31"/>
        <v>22</v>
      </c>
      <c r="B25" s="73">
        <f>'Scénario référence'!$B$16*5+'Scénario référence'!$B$17*0+'Scénario référence'!$B$18*5</f>
        <v>5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1">
        <f t="shared" si="32"/>
        <v>0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18.333333333333332</v>
      </c>
      <c r="H25" s="67">
        <f t="shared" si="1"/>
        <v>183.33333333333334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4.0942857142857143</v>
      </c>
      <c r="N25" s="13">
        <f>IF('Données projet'!$A$36&gt;35,N24+M25-V24,IF(A25&lt;'Données projet'!$A$36,$K$205^A25,IF(A25='Données projet'!$A$36,'Données projet'!$B$36,N24+M25-V24)))</f>
        <v>90.074285714285764</v>
      </c>
      <c r="O25" s="13">
        <f>N25*VLOOKUP('Données projet'!$B$9,Paramètres!$A$1:$I$89,3,0)*VLOOKUP('Données projet'!$B$9,Paramètres!$A$1:$I$89,5,0)</f>
        <v>81.499213714285759</v>
      </c>
      <c r="P25" s="13">
        <f t="shared" si="33"/>
        <v>22.503352631648468</v>
      </c>
      <c r="Q25" s="20">
        <f t="shared" si="2"/>
        <v>181.13780305250211</v>
      </c>
      <c r="R25" s="59">
        <f t="shared" si="0"/>
        <v>402.3187169559705</v>
      </c>
      <c r="S25" s="59">
        <f ca="1">AVERAGE(OFFSET($R$3,0,0,'Données projet'!$E$9+1,1))-AVERAGE(OFFSET($H$3,0,0,'Données projet'!$E$9+1,1))</f>
        <v>681.47578137804555</v>
      </c>
      <c r="T25" s="59">
        <f t="shared" si="34"/>
        <v>300.88511065995885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0</v>
      </c>
      <c r="AC25" s="22">
        <f t="shared" si="3"/>
        <v>0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6.4429411764705877</v>
      </c>
      <c r="AI25" s="13">
        <f>IF('Données projet'!$A$62&gt;35,AI24+AH25-AQ24,IF(A25&lt;'Données projet'!$A$62,$AF$205^A25,IF(A25='Données projet'!$A$62,'Données projet'!$B$62,AI24+AH25-AQ24)))</f>
        <v>141.74470588235289</v>
      </c>
      <c r="AJ25" s="13">
        <f>AI25*VLOOKUP('Données projet'!$B$10,Paramètres!$A$1:$I$89,3,0)*VLOOKUP('Données projet'!$B$10,Paramètres!$A$1:$I$89,5,0)</f>
        <v>66.336522352941145</v>
      </c>
      <c r="AK25" s="13">
        <f t="shared" si="35"/>
        <v>18.760860351910516</v>
      </c>
      <c r="AL25" s="20">
        <f t="shared" si="4"/>
        <v>148.21127487761666</v>
      </c>
      <c r="AM25" s="59">
        <f t="shared" si="5"/>
        <v>369.39218878108505</v>
      </c>
      <c r="AN25" s="59">
        <f ca="1">AVERAGE(OFFSET($AM$3,0,0,'Données projet'!$E$10+1,1))-AVERAGE(OFFSET($H$3,0,0,'Données projet'!$E$10+1,1))</f>
        <v>325.45940224919184</v>
      </c>
      <c r="AO25" s="59">
        <f t="shared" si="36"/>
        <v>256.30046621034876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3.3603333333333336</v>
      </c>
      <c r="BD25" s="12">
        <f>IF('Données projet'!$A$88&gt;35,BD24+BC25-BL24,IF(A25&lt;'Données projet'!$A$88,$BA$205^A25,IF(A25='Données projet'!$A$88,'Données projet'!$B$88,BD24+BC25-BL24)))</f>
        <v>73.927333333333365</v>
      </c>
      <c r="BE25" s="13">
        <f>BD25*VLOOKUP('Données projet'!$B$11,Paramètres!$A$1:$I$89,3,0)*VLOOKUP('Données projet'!$B$11,Paramètres!$A$1:$I$89,5,0)</f>
        <v>74.962316000000044</v>
      </c>
      <c r="BF25" s="13">
        <f t="shared" si="37"/>
        <v>20.900820525249284</v>
      </c>
      <c r="BG25" s="20">
        <f t="shared" si="7"/>
        <v>166.96162944814259</v>
      </c>
      <c r="BH25" s="59">
        <f t="shared" si="8"/>
        <v>388.14254335161098</v>
      </c>
      <c r="BI25" s="59">
        <f ca="1">AVERAGE(OFFSET($BH$3,0,0,'Données projet'!$E$11+1,1))-AVERAGE(OFFSET($H$3,0,0,'Données projet'!$E$11+1,1))</f>
        <v>580.02848304986492</v>
      </c>
      <c r="BJ25" s="59">
        <f t="shared" si="38"/>
        <v>281.68891895586728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0</v>
      </c>
      <c r="BR25" s="21">
        <f>EXP(-LN(2)/2)*BR24+(1-EXP(-LN(2)/2))/(LN(2)/2)*BL25*BO25*VLOOKUP('Données projet'!$B$11,Paramètres!$A$1:$I$89,3,0)*0.475*44/12</f>
        <v>0</v>
      </c>
      <c r="BS25" s="22">
        <f t="shared" si="9"/>
        <v>0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14.8</v>
      </c>
      <c r="BY25" s="12">
        <f>IF('Données projet'!$A$114&gt;35,BY24+BX25-CG24,IF(A25&lt;'Données projet'!$A$114,$BV$205^A25,IF(A25='Données projet'!$A$114,'Données projet'!$B$114,BY24+BX25-CG24)))</f>
        <v>96.59999999999998</v>
      </c>
      <c r="BZ25" s="13">
        <f>BY25*VLOOKUP('Données projet'!$B$12,Paramètres!$A$1:$I$89,3,0)*VLOOKUP('Données projet'!$B$12,Paramètres!$A$1:$I$89,5,0)</f>
        <v>91.924559999999985</v>
      </c>
      <c r="CA25" s="13">
        <f t="shared" si="39"/>
        <v>25.028809401478473</v>
      </c>
      <c r="CB25" s="20">
        <f t="shared" si="10"/>
        <v>203.6937850409083</v>
      </c>
      <c r="CC25" s="59">
        <f t="shared" si="11"/>
        <v>424.87469894437669</v>
      </c>
      <c r="CD25" s="59">
        <f ca="1">AVERAGE(OFFSET($CC$3,0,0,'Données projet'!$E$12+1,1))-AVERAGE(OFFSET($H$3,0,0,'Données projet'!$E$12+1,1))</f>
        <v>439.15394290667945</v>
      </c>
      <c r="CE25" s="59">
        <f t="shared" si="40"/>
        <v>423.56554025351068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6.6984168351759097</v>
      </c>
      <c r="CM25" s="21">
        <f>EXP(-LN(2)/2)*CM24+(1-EXP(-LN(2)/2))/(LN(2)/2)*CG25*CJ25*VLOOKUP('Données projet'!$B$12,Paramètres!$A$1:$I$89,3,0)*0.475*44/12</f>
        <v>4.5630214716501794</v>
      </c>
      <c r="CN25" s="22">
        <f t="shared" si="12"/>
        <v>11.26143830682609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14.8</v>
      </c>
      <c r="CT25" s="12">
        <f>IF('Données projet'!$A$140&gt;35,CT24+CS25-DB24,IF(A25&lt;'Données projet'!$A$140,$CQ$205^A25,IF(A25='Données projet'!$A$140,'Données projet'!$B$140,CT24+CS25-DB24)))</f>
        <v>96.59999999999998</v>
      </c>
      <c r="CU25" s="17">
        <f>CT25*VLOOKUP('Données projet'!$B$13,Paramètres!$A$1:$I$89,3,0)*VLOOKUP('Données projet'!$B$13,Paramètres!$A$1:$I$89,5,0)</f>
        <v>84.389759999999995</v>
      </c>
      <c r="CV25" s="13">
        <f t="shared" si="41"/>
        <v>23.207143598424498</v>
      </c>
      <c r="CW25" s="20">
        <f t="shared" si="13"/>
        <v>187.39794043392263</v>
      </c>
      <c r="CX25" s="59">
        <f t="shared" si="14"/>
        <v>408.57885433739102</v>
      </c>
      <c r="CY25" s="59">
        <f ca="1">AVERAGE(OFFSET($CX$3,0,0,'Données projet'!$E$13+1,1))-AVERAGE(OFFSET($H$3,0,0,'Données projet'!$E$13+1,1))</f>
        <v>408.246209980743</v>
      </c>
      <c r="CZ25" s="59">
        <f t="shared" si="42"/>
        <v>394.10236303013903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>
        <f>EXP(-LN(2)/35)*DF24+(1-EXP(-LN(2)/35))/(LN(2)/35)*DB25*DC25*VLOOKUP('Données projet'!$B$13,Paramètres!$A$1:$I$89,3,0)*0.475*44/12</f>
        <v>0</v>
      </c>
      <c r="DG25" s="21">
        <f>EXP(-LN(2)/25)*DG24+(1-EXP(-LN(2)/25))/(LN(2)/25)*Calculateur!DB25*Calculateur!DD25*VLOOKUP('Données projet'!$B$13,Paramètres!$A$1:$I$89,3,0)*0.475*44/12</f>
        <v>7.5794514551285195</v>
      </c>
      <c r="DH25" s="21">
        <f>EXP(-LN(2)/2)*DH24+(1-EXP(-LN(2)/2))/(LN(2)/2)*DB25*DE25*VLOOKUP('Données projet'!$B$13,Paramètres!$A$1:$I$89,3,0)*0.475*44/12</f>
        <v>4.1890033182362307</v>
      </c>
      <c r="DI25" s="22">
        <f t="shared" si="15"/>
        <v>11.76845477336475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14.8</v>
      </c>
      <c r="DO25" s="12">
        <f>IF('Données projet'!$A$166&gt;35,DO24+DN25-DW24,IF(A25&lt;'Données projet'!$A$166,$DL$205^A25,IF(A25='Données projet'!$A$166,'Données projet'!$B$166,DO24+DN25-DW24)))</f>
        <v>96.59999999999998</v>
      </c>
      <c r="DP25" s="17">
        <f>DO25*VLOOKUP('Données projet'!$B$14,Paramètres!$A$1:$I$89,3,0)*VLOOKUP('Données projet'!$B$14,Paramètres!$A$1:$I$89,5,0)</f>
        <v>75.347999999999985</v>
      </c>
      <c r="DQ25" s="13">
        <f t="shared" si="43"/>
        <v>20.99581051771704</v>
      </c>
      <c r="DR25" s="20">
        <f t="shared" si="16"/>
        <v>167.79880331835713</v>
      </c>
      <c r="DS25" s="59">
        <f t="shared" si="17"/>
        <v>388.97971722182552</v>
      </c>
      <c r="DT25" s="59">
        <f ca="1">AVERAGE(OFFSET($DS$3,0,0,'Données projet'!$E$14+1,1))-AVERAGE(OFFSET($H$3,0,0,'Données projet'!$E$14+1,1))</f>
        <v>371.07993287480366</v>
      </c>
      <c r="DU25" s="59">
        <f t="shared" si="44"/>
        <v>358.67120540290637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>
        <f>EXP(-LN(2)/35)*EA24+(1-EXP(-LN(2)/35))/(LN(2)/35)*DW25*DX25*VLOOKUP('Données projet'!$B$14,Paramètres!$A$1:$I$89,3,0)*0.475*44/12</f>
        <v>0</v>
      </c>
      <c r="EB25" s="21">
        <f>EXP(-LN(2)/25)*EB24+(1-EXP(-LN(2)/25))/(LN(2)/25)*Calculateur!DW25*Calculateur!DY25*VLOOKUP('Données projet'!$B$14,Paramètres!$A$1:$I$89,3,0)*0.475*44/12</f>
        <v>5.4905056026032053</v>
      </c>
      <c r="EC25" s="21">
        <f>EXP(-LN(2)/2)*EC24+(1-EXP(-LN(2)/2))/(LN(2)/2)*DW25*DZ25*VLOOKUP('Données projet'!$B$14,Paramètres!$A$1:$I$89,3,0)*0.475*44/12</f>
        <v>3.7401815341394906</v>
      </c>
      <c r="ED25" s="22">
        <f t="shared" si="18"/>
        <v>9.230687136742695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45">
      <c r="A26" s="10">
        <f t="shared" si="31"/>
        <v>23</v>
      </c>
      <c r="B26" s="73">
        <f>'Scénario référence'!$B$16*5+'Scénario référence'!$B$17*0+'Scénario référence'!$B$18*5</f>
        <v>5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1">
        <f t="shared" si="32"/>
        <v>0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18.333333333333332</v>
      </c>
      <c r="H26" s="67">
        <f t="shared" si="1"/>
        <v>183.33333333333334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4.0942857142857143</v>
      </c>
      <c r="N26" s="13">
        <f>IF('Données projet'!$A$36&gt;35,N25+M26-V25,IF(A26&lt;'Données projet'!$A$36,$K$205^A26,IF(A26='Données projet'!$A$36,'Données projet'!$B$36,N25+M26-V25)))</f>
        <v>94.168571428571482</v>
      </c>
      <c r="O26" s="13">
        <f>N26*VLOOKUP('Données projet'!$B$9,Paramètres!$A$1:$I$89,3,0)*VLOOKUP('Données projet'!$B$9,Paramètres!$A$1:$I$89,5,0)</f>
        <v>85.203723428571479</v>
      </c>
      <c r="P26" s="13">
        <f t="shared" si="33"/>
        <v>23.404817596574706</v>
      </c>
      <c r="Q26" s="20">
        <f t="shared" si="2"/>
        <v>189.15987561879626</v>
      </c>
      <c r="R26" s="59">
        <f t="shared" si="0"/>
        <v>412.64507232834274</v>
      </c>
      <c r="S26" s="59">
        <f ca="1">AVERAGE(OFFSET($R$3,0,0,'Données projet'!$E$9+1,1))-AVERAGE(OFFSET($H$3,0,0,'Données projet'!$E$9+1,1))</f>
        <v>681.47578137804555</v>
      </c>
      <c r="T26" s="59">
        <f t="shared" si="34"/>
        <v>300.88511065995885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0</v>
      </c>
      <c r="AB26" s="21">
        <f>EXP(-LN(2)/2)*AB25+(1-EXP(-LN(2)/2))/(LN(2)/2)*V26*Y26*VLOOKUP('Données projet'!$B$9,Paramètres!$A$1:$I$89,3,0)*0.475*44/12</f>
        <v>0</v>
      </c>
      <c r="AC26" s="22">
        <f t="shared" si="3"/>
        <v>0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6.4429411764705877</v>
      </c>
      <c r="AI26" s="13">
        <f>IF('Données projet'!$A$62&gt;35,AI25+AH26-AQ25,IF(A26&lt;'Données projet'!$A$62,$AF$205^A26,IF(A26='Données projet'!$A$62,'Données projet'!$B$62,AI25+AH26-AQ25)))</f>
        <v>148.18764705882347</v>
      </c>
      <c r="AJ26" s="13">
        <f>AI26*VLOOKUP('Données projet'!$B$10,Paramètres!$A$1:$I$89,3,0)*VLOOKUP('Données projet'!$B$10,Paramètres!$A$1:$I$89,5,0)</f>
        <v>69.351818823529385</v>
      </c>
      <c r="AK26" s="13">
        <f t="shared" si="35"/>
        <v>19.512404292760284</v>
      </c>
      <c r="AL26" s="20">
        <f t="shared" si="4"/>
        <v>154.77185526087118</v>
      </c>
      <c r="AM26" s="59">
        <f t="shared" si="5"/>
        <v>378.25705197041771</v>
      </c>
      <c r="AN26" s="59">
        <f ca="1">AVERAGE(OFFSET($AM$3,0,0,'Données projet'!$E$10+1,1))-AVERAGE(OFFSET($H$3,0,0,'Données projet'!$E$10+1,1))</f>
        <v>325.45940224919184</v>
      </c>
      <c r="AO26" s="59">
        <f t="shared" si="36"/>
        <v>256.30046621034876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3.3603333333333336</v>
      </c>
      <c r="BD26" s="12">
        <f>IF('Données projet'!$A$88&gt;35,BD25+BC26-BL25,IF(A26&lt;'Données projet'!$A$88,$BA$205^A26,IF(A26='Données projet'!$A$88,'Données projet'!$B$88,BD25+BC26-BL25)))</f>
        <v>77.287666666666695</v>
      </c>
      <c r="BE26" s="13">
        <f>BD26*VLOOKUP('Données projet'!$B$11,Paramètres!$A$1:$I$89,3,0)*VLOOKUP('Données projet'!$B$11,Paramètres!$A$1:$I$89,5,0)</f>
        <v>78.369694000000038</v>
      </c>
      <c r="BF26" s="13">
        <f t="shared" si="37"/>
        <v>21.738089431359974</v>
      </c>
      <c r="BG26" s="20">
        <f t="shared" si="7"/>
        <v>174.35438947628532</v>
      </c>
      <c r="BH26" s="59">
        <f t="shared" si="8"/>
        <v>397.83958618583182</v>
      </c>
      <c r="BI26" s="59">
        <f ca="1">AVERAGE(OFFSET($BH$3,0,0,'Données projet'!$E$11+1,1))-AVERAGE(OFFSET($H$3,0,0,'Données projet'!$E$11+1,1))</f>
        <v>580.02848304986492</v>
      </c>
      <c r="BJ26" s="59">
        <f t="shared" si="38"/>
        <v>281.68891895586728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0</v>
      </c>
      <c r="BR26" s="21">
        <f>EXP(-LN(2)/2)*BR25+(1-EXP(-LN(2)/2))/(LN(2)/2)*BL26*BO26*VLOOKUP('Données projet'!$B$11,Paramètres!$A$1:$I$89,3,0)*0.475*44/12</f>
        <v>0</v>
      </c>
      <c r="BS26" s="22">
        <f t="shared" si="9"/>
        <v>0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14.8</v>
      </c>
      <c r="BY26" s="12">
        <f>IF('Données projet'!$A$114&gt;35,BY25+BX26-CG25,IF(A26&lt;'Données projet'!$A$114,$BV$205^A26,IF(A26='Données projet'!$A$114,'Données projet'!$B$114,BY25+BX26-CG25)))</f>
        <v>111.39999999999998</v>
      </c>
      <c r="BZ26" s="13">
        <f>BY26*VLOOKUP('Données projet'!$B$12,Paramètres!$A$1:$I$89,3,0)*VLOOKUP('Données projet'!$B$12,Paramètres!$A$1:$I$89,5,0)</f>
        <v>106.00823999999997</v>
      </c>
      <c r="CA26" s="13">
        <f t="shared" si="39"/>
        <v>28.388481113150704</v>
      </c>
      <c r="CB26" s="20">
        <f t="shared" si="10"/>
        <v>234.07428927207073</v>
      </c>
      <c r="CC26" s="59">
        <f t="shared" si="11"/>
        <v>457.55948598161723</v>
      </c>
      <c r="CD26" s="59">
        <f ca="1">AVERAGE(OFFSET($CC$3,0,0,'Données projet'!$E$12+1,1))-AVERAGE(OFFSET($H$3,0,0,'Données projet'!$E$12+1,1))</f>
        <v>439.15394290667945</v>
      </c>
      <c r="CE26" s="59">
        <f t="shared" si="40"/>
        <v>423.56554025351068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6.5152482745635929</v>
      </c>
      <c r="CM26" s="21">
        <f>EXP(-LN(2)/2)*CM25+(1-EXP(-LN(2)/2))/(LN(2)/2)*CG26*CJ26*VLOOKUP('Données projet'!$B$12,Paramètres!$A$1:$I$89,3,0)*0.475*44/12</f>
        <v>3.2265434253036616</v>
      </c>
      <c r="CN26" s="22">
        <f t="shared" si="12"/>
        <v>9.7417916998672549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14.8</v>
      </c>
      <c r="CT26" s="12">
        <f>IF('Données projet'!$A$140&gt;35,CT25+CS26-DB25,IF(A26&lt;'Données projet'!$A$140,$CQ$205^A26,IF(A26='Données projet'!$A$140,'Données projet'!$B$140,CT25+CS26-DB25)))</f>
        <v>111.39999999999998</v>
      </c>
      <c r="CU26" s="17">
        <f>CT26*VLOOKUP('Données projet'!$B$13,Paramètres!$A$1:$I$89,3,0)*VLOOKUP('Données projet'!$B$13,Paramètres!$A$1:$I$89,5,0)</f>
        <v>97.319039999999987</v>
      </c>
      <c r="CV26" s="13">
        <f t="shared" si="41"/>
        <v>26.322289133542785</v>
      </c>
      <c r="CW26" s="20">
        <f t="shared" si="13"/>
        <v>215.34198157425362</v>
      </c>
      <c r="CX26" s="59">
        <f t="shared" si="14"/>
        <v>438.82717828380009</v>
      </c>
      <c r="CY26" s="59">
        <f ca="1">AVERAGE(OFFSET($CX$3,0,0,'Données projet'!$E$13+1,1))-AVERAGE(OFFSET($H$3,0,0,'Données projet'!$E$13+1,1))</f>
        <v>408.246209980743</v>
      </c>
      <c r="CZ26" s="59">
        <f t="shared" si="42"/>
        <v>394.10236303013903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>
        <f>EXP(-LN(2)/35)*DF25+(1-EXP(-LN(2)/35))/(LN(2)/35)*DB26*DC26*VLOOKUP('Données projet'!$B$13,Paramètres!$A$1:$I$89,3,0)*0.475*44/12</f>
        <v>0</v>
      </c>
      <c r="DG26" s="21">
        <f>EXP(-LN(2)/25)*DG25+(1-EXP(-LN(2)/25))/(LN(2)/25)*Calculateur!DB26*Calculateur!DD26*VLOOKUP('Données projet'!$B$13,Paramètres!$A$1:$I$89,3,0)*0.475*44/12</f>
        <v>7.372190956502001</v>
      </c>
      <c r="DH26" s="21">
        <f>EXP(-LN(2)/2)*DH25+(1-EXP(-LN(2)/2))/(LN(2)/2)*DB26*DE26*VLOOKUP('Données projet'!$B$13,Paramètres!$A$1:$I$89,3,0)*0.475*44/12</f>
        <v>2.9620726527377883</v>
      </c>
      <c r="DI26" s="22">
        <f t="shared" si="15"/>
        <v>10.334263609239789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14.8</v>
      </c>
      <c r="DO26" s="12">
        <f>IF('Données projet'!$A$166&gt;35,DO25+DN26-DW25,IF(A26&lt;'Données projet'!$A$166,$DL$205^A26,IF(A26='Données projet'!$A$166,'Données projet'!$B$166,DO25+DN26-DW25)))</f>
        <v>111.39999999999998</v>
      </c>
      <c r="DP26" s="17">
        <f>DO26*VLOOKUP('Données projet'!$B$14,Paramètres!$A$1:$I$89,3,0)*VLOOKUP('Données projet'!$B$14,Paramètres!$A$1:$I$89,5,0)</f>
        <v>86.891999999999982</v>
      </c>
      <c r="DQ26" s="13">
        <f t="shared" si="43"/>
        <v>23.814123987147887</v>
      </c>
      <c r="DR26" s="20">
        <f t="shared" si="16"/>
        <v>192.81316594428253</v>
      </c>
      <c r="DS26" s="59">
        <f t="shared" si="17"/>
        <v>416.29836265382903</v>
      </c>
      <c r="DT26" s="59">
        <f ca="1">AVERAGE(OFFSET($DS$3,0,0,'Données projet'!$E$14+1,1))-AVERAGE(OFFSET($H$3,0,0,'Données projet'!$E$14+1,1))</f>
        <v>371.07993287480366</v>
      </c>
      <c r="DU26" s="59">
        <f t="shared" si="44"/>
        <v>358.67120540290637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>
        <f>EXP(-LN(2)/35)*EA25+(1-EXP(-LN(2)/35))/(LN(2)/35)*DW26*DX26*VLOOKUP('Données projet'!$B$14,Paramètres!$A$1:$I$89,3,0)*0.475*44/12</f>
        <v>0</v>
      </c>
      <c r="EB26" s="21">
        <f>EXP(-LN(2)/25)*EB25+(1-EXP(-LN(2)/25))/(LN(2)/25)*Calculateur!DW26*Calculateur!DY26*VLOOKUP('Données projet'!$B$14,Paramètres!$A$1:$I$89,3,0)*0.475*44/12</f>
        <v>5.3403674381668793</v>
      </c>
      <c r="EC26" s="21">
        <f>EXP(-LN(2)/2)*EC25+(1-EXP(-LN(2)/2))/(LN(2)/2)*DW26*DZ26*VLOOKUP('Données projet'!$B$14,Paramètres!$A$1:$I$89,3,0)*0.475*44/12</f>
        <v>2.6447077256587388</v>
      </c>
      <c r="ED26" s="22">
        <f t="shared" si="18"/>
        <v>7.9850751638256181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45">
      <c r="A27" s="10">
        <f t="shared" si="31"/>
        <v>24</v>
      </c>
      <c r="B27" s="73">
        <f>'Scénario référence'!$B$16*5+'Scénario référence'!$B$17*0+'Scénario référence'!$B$18*5</f>
        <v>5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1">
        <f t="shared" si="32"/>
        <v>0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18.333333333333332</v>
      </c>
      <c r="H27" s="67">
        <f t="shared" si="1"/>
        <v>183.33333333333334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4.0942857142857143</v>
      </c>
      <c r="N27" s="13">
        <f>IF('Données projet'!$A$36&gt;35,N26+M27-V26,IF(A27&lt;'Données projet'!$A$36,$K$205^A27,IF(A27='Données projet'!$A$36,'Données projet'!$B$36,N26+M27-V26)))</f>
        <v>98.2628571428572</v>
      </c>
      <c r="O27" s="13">
        <f>N27*VLOOKUP('Données projet'!$B$9,Paramètres!$A$1:$I$89,3,0)*VLOOKUP('Données projet'!$B$9,Paramètres!$A$1:$I$89,5,0)</f>
        <v>88.908233142857185</v>
      </c>
      <c r="P27" s="13">
        <f t="shared" si="33"/>
        <v>24.301730375247274</v>
      </c>
      <c r="Q27" s="20">
        <f t="shared" si="2"/>
        <v>197.17401979403192</v>
      </c>
      <c r="R27" s="59">
        <f t="shared" si="0"/>
        <v>422.94472797765172</v>
      </c>
      <c r="S27" s="59">
        <f ca="1">AVERAGE(OFFSET($R$3,0,0,'Données projet'!$E$9+1,1))-AVERAGE(OFFSET($H$3,0,0,'Données projet'!$E$9+1,1))</f>
        <v>681.47578137804555</v>
      </c>
      <c r="T27" s="59">
        <f t="shared" si="34"/>
        <v>300.88511065995885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0</v>
      </c>
      <c r="AB27" s="21">
        <f>EXP(-LN(2)/2)*AB26+(1-EXP(-LN(2)/2))/(LN(2)/2)*V27*Y27*VLOOKUP('Données projet'!$B$9,Paramètres!$A$1:$I$89,3,0)*0.475*44/12</f>
        <v>0</v>
      </c>
      <c r="AC27" s="22">
        <f t="shared" si="3"/>
        <v>0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6.4429411764705877</v>
      </c>
      <c r="AI27" s="13">
        <f>IF('Données projet'!$A$62&gt;35,AI26+AH27-AQ26,IF(A27&lt;'Données projet'!$A$62,$AF$205^A27,IF(A27='Données projet'!$A$62,'Données projet'!$B$62,AI26+AH27-AQ26)))</f>
        <v>154.63058823529406</v>
      </c>
      <c r="AJ27" s="13">
        <f>AI27*VLOOKUP('Données projet'!$B$10,Paramètres!$A$1:$I$89,3,0)*VLOOKUP('Données projet'!$B$10,Paramètres!$A$1:$I$89,5,0)</f>
        <v>72.36711529411761</v>
      </c>
      <c r="AK27" s="13">
        <f t="shared" si="35"/>
        <v>20.260153113300689</v>
      </c>
      <c r="AL27" s="20">
        <f t="shared" si="4"/>
        <v>161.32582580958686</v>
      </c>
      <c r="AM27" s="59">
        <f t="shared" si="5"/>
        <v>387.09653399320666</v>
      </c>
      <c r="AN27" s="59">
        <f ca="1">AVERAGE(OFFSET($AM$3,0,0,'Données projet'!$E$10+1,1))-AVERAGE(OFFSET($H$3,0,0,'Données projet'!$E$10+1,1))</f>
        <v>325.45940224919184</v>
      </c>
      <c r="AO27" s="59">
        <f t="shared" si="36"/>
        <v>256.30046621034876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3.3603333333333336</v>
      </c>
      <c r="BD27" s="12">
        <f>IF('Données projet'!$A$88&gt;35,BD26+BC27-BL26,IF(A27&lt;'Données projet'!$A$88,$BA$205^A27,IF(A27='Données projet'!$A$88,'Données projet'!$B$88,BD26+BC27-BL26)))</f>
        <v>80.648000000000025</v>
      </c>
      <c r="BE27" s="13">
        <f>BD27*VLOOKUP('Données projet'!$B$11,Paramètres!$A$1:$I$89,3,0)*VLOOKUP('Données projet'!$B$11,Paramètres!$A$1:$I$89,5,0)</f>
        <v>81.777072000000032</v>
      </c>
      <c r="BF27" s="13">
        <f t="shared" si="37"/>
        <v>22.571130326229738</v>
      </c>
      <c r="BG27" s="20">
        <f t="shared" si="7"/>
        <v>181.7397857181835</v>
      </c>
      <c r="BH27" s="59">
        <f t="shared" si="8"/>
        <v>407.51049390180333</v>
      </c>
      <c r="BI27" s="59">
        <f ca="1">AVERAGE(OFFSET($BH$3,0,0,'Données projet'!$E$11+1,1))-AVERAGE(OFFSET($H$3,0,0,'Données projet'!$E$11+1,1))</f>
        <v>580.02848304986492</v>
      </c>
      <c r="BJ27" s="59">
        <f t="shared" si="38"/>
        <v>281.68891895586728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0</v>
      </c>
      <c r="BR27" s="21">
        <f>EXP(-LN(2)/2)*BR26+(1-EXP(-LN(2)/2))/(LN(2)/2)*BL27*BO27*VLOOKUP('Données projet'!$B$11,Paramètres!$A$1:$I$89,3,0)*0.475*44/12</f>
        <v>0</v>
      </c>
      <c r="BS27" s="22">
        <f t="shared" si="9"/>
        <v>0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14.8</v>
      </c>
      <c r="BY27" s="12">
        <f>IF('Données projet'!$A$114&gt;35,BY26+BX27-CG26,IF(A27&lt;'Données projet'!$A$114,$BV$205^A27,IF(A27='Données projet'!$A$114,'Données projet'!$B$114,BY26+BX27-CG26)))</f>
        <v>126.19999999999997</v>
      </c>
      <c r="BZ27" s="13">
        <f>BY27*VLOOKUP('Données projet'!$B$12,Paramètres!$A$1:$I$89,3,0)*VLOOKUP('Données projet'!$B$12,Paramètres!$A$1:$I$89,5,0)</f>
        <v>120.09191999999999</v>
      </c>
      <c r="CA27" s="13">
        <f t="shared" si="39"/>
        <v>31.69643716912881</v>
      </c>
      <c r="CB27" s="20">
        <f t="shared" si="10"/>
        <v>264.36472206956597</v>
      </c>
      <c r="CC27" s="59">
        <f t="shared" si="11"/>
        <v>490.13543025318575</v>
      </c>
      <c r="CD27" s="59">
        <f ca="1">AVERAGE(OFFSET($CC$3,0,0,'Données projet'!$E$12+1,1))-AVERAGE(OFFSET($H$3,0,0,'Données projet'!$E$12+1,1))</f>
        <v>439.15394290667945</v>
      </c>
      <c r="CE27" s="59">
        <f t="shared" si="40"/>
        <v>423.56554025351068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6.3370884678736354</v>
      </c>
      <c r="CM27" s="21">
        <f>EXP(-LN(2)/2)*CM26+(1-EXP(-LN(2)/2))/(LN(2)/2)*CG27*CJ27*VLOOKUP('Données projet'!$B$12,Paramètres!$A$1:$I$89,3,0)*0.475*44/12</f>
        <v>2.2815107358250901</v>
      </c>
      <c r="CN27" s="22">
        <f t="shared" si="12"/>
        <v>8.6185992036987251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14.8</v>
      </c>
      <c r="CT27" s="12">
        <f>IF('Données projet'!$A$140&gt;35,CT26+CS27-DB26,IF(A27&lt;'Données projet'!$A$140,$CQ$205^A27,IF(A27='Données projet'!$A$140,'Données projet'!$B$140,CT26+CS27-DB26)))</f>
        <v>126.19999999999997</v>
      </c>
      <c r="CU27" s="17">
        <f>CT27*VLOOKUP('Données projet'!$B$13,Paramètres!$A$1:$I$89,3,0)*VLOOKUP('Données projet'!$B$13,Paramètres!$A$1:$I$89,5,0)</f>
        <v>110.24831999999999</v>
      </c>
      <c r="CV27" s="13">
        <f t="shared" si="41"/>
        <v>29.389483021072536</v>
      </c>
      <c r="CW27" s="20">
        <f t="shared" si="13"/>
        <v>243.20250692836802</v>
      </c>
      <c r="CX27" s="59">
        <f t="shared" si="14"/>
        <v>468.97321511198783</v>
      </c>
      <c r="CY27" s="59">
        <f ca="1">AVERAGE(OFFSET($CX$3,0,0,'Données projet'!$E$13+1,1))-AVERAGE(OFFSET($H$3,0,0,'Données projet'!$E$13+1,1))</f>
        <v>408.246209980743</v>
      </c>
      <c r="CZ27" s="59">
        <f t="shared" si="42"/>
        <v>394.10236303013903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>
        <f>EXP(-LN(2)/35)*DF26+(1-EXP(-LN(2)/35))/(LN(2)/35)*DB27*DC27*VLOOKUP('Données projet'!$B$13,Paramètres!$A$1:$I$89,3,0)*0.475*44/12</f>
        <v>0</v>
      </c>
      <c r="DG27" s="21">
        <f>EXP(-LN(2)/25)*DG26+(1-EXP(-LN(2)/25))/(LN(2)/25)*Calculateur!DB27*Calculateur!DD27*VLOOKUP('Données projet'!$B$13,Paramètres!$A$1:$I$89,3,0)*0.475*44/12</f>
        <v>7.1705980071097803</v>
      </c>
      <c r="DH27" s="21">
        <f>EXP(-LN(2)/2)*DH26+(1-EXP(-LN(2)/2))/(LN(2)/2)*DB27*DE27*VLOOKUP('Données projet'!$B$13,Paramètres!$A$1:$I$89,3,0)*0.475*44/12</f>
        <v>2.0945016591181158</v>
      </c>
      <c r="DI27" s="22">
        <f t="shared" si="15"/>
        <v>9.265099666227897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14.8</v>
      </c>
      <c r="DO27" s="12">
        <f>IF('Données projet'!$A$166&gt;35,DO26+DN27-DW26,IF(A27&lt;'Données projet'!$A$166,$DL$205^A27,IF(A27='Données projet'!$A$166,'Données projet'!$B$166,DO26+DN27-DW26)))</f>
        <v>126.19999999999997</v>
      </c>
      <c r="DP27" s="17">
        <f>DO27*VLOOKUP('Données projet'!$B$14,Paramètres!$A$1:$I$89,3,0)*VLOOKUP('Données projet'!$B$14,Paramètres!$A$1:$I$89,5,0)</f>
        <v>98.435999999999979</v>
      </c>
      <c r="DQ27" s="13">
        <f t="shared" si="43"/>
        <v>26.589054965213052</v>
      </c>
      <c r="DR27" s="20">
        <f t="shared" si="16"/>
        <v>217.75197073107935</v>
      </c>
      <c r="DS27" s="59">
        <f t="shared" si="17"/>
        <v>443.52267891469916</v>
      </c>
      <c r="DT27" s="59">
        <f ca="1">AVERAGE(OFFSET($DS$3,0,0,'Données projet'!$E$14+1,1))-AVERAGE(OFFSET($H$3,0,0,'Données projet'!$E$14+1,1))</f>
        <v>371.07993287480366</v>
      </c>
      <c r="DU27" s="59">
        <f t="shared" si="44"/>
        <v>358.67120540290637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>
        <f>EXP(-LN(2)/35)*EA26+(1-EXP(-LN(2)/35))/(LN(2)/35)*DW27*DX27*VLOOKUP('Données projet'!$B$14,Paramètres!$A$1:$I$89,3,0)*0.475*44/12</f>
        <v>0</v>
      </c>
      <c r="EB27" s="21">
        <f>EXP(-LN(2)/25)*EB26+(1-EXP(-LN(2)/25))/(LN(2)/25)*Calculateur!DW27*Calculateur!DY27*VLOOKUP('Données projet'!$B$14,Paramètres!$A$1:$I$89,3,0)*0.475*44/12</f>
        <v>5.1943348097324877</v>
      </c>
      <c r="EC27" s="21">
        <f>EXP(-LN(2)/2)*EC26+(1-EXP(-LN(2)/2))/(LN(2)/2)*DW27*DZ27*VLOOKUP('Données projet'!$B$14,Paramètres!$A$1:$I$89,3,0)*0.475*44/12</f>
        <v>1.8700907670697458</v>
      </c>
      <c r="ED27" s="22">
        <f t="shared" si="18"/>
        <v>7.0644255768022335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45">
      <c r="A28" s="10">
        <f t="shared" si="31"/>
        <v>25</v>
      </c>
      <c r="B28" s="73">
        <f>'Scénario référence'!$B$16*5+'Scénario référence'!$B$17*0+'Scénario référence'!$B$18*5</f>
        <v>5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1">
        <f t="shared" si="32"/>
        <v>0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18.333333333333332</v>
      </c>
      <c r="H28" s="67">
        <f t="shared" si="1"/>
        <v>183.33333333333334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4.0942857142857143</v>
      </c>
      <c r="N28" s="13">
        <f>IF('Données projet'!$A$36&gt;35,N27+M28-V27,IF(A28&lt;'Données projet'!$A$36,$K$205^A28,IF(A28='Données projet'!$A$36,'Données projet'!$B$36,N27+M28-V27)))</f>
        <v>102.35714285714292</v>
      </c>
      <c r="O28" s="13">
        <f>N28*VLOOKUP('Données projet'!$B$9,Paramètres!$A$1:$I$89,3,0)*VLOOKUP('Données projet'!$B$9,Paramètres!$A$1:$I$89,5,0)</f>
        <v>92.612742857142905</v>
      </c>
      <c r="P28" s="13">
        <f t="shared" si="33"/>
        <v>25.194302332262133</v>
      </c>
      <c r="Q28" s="20">
        <f t="shared" si="2"/>
        <v>205.18060370488044</v>
      </c>
      <c r="R28" s="59">
        <f t="shared" si="0"/>
        <v>433.21837767121258</v>
      </c>
      <c r="S28" s="59">
        <f ca="1">AVERAGE(OFFSET($R$3,0,0,'Données projet'!$E$9+1,1))-AVERAGE(OFFSET($H$3,0,0,'Données projet'!$E$9+1,1))</f>
        <v>681.47578137804555</v>
      </c>
      <c r="T28" s="59">
        <f t="shared" si="34"/>
        <v>300.88511065995885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0</v>
      </c>
      <c r="AB28" s="21">
        <f>EXP(-LN(2)/2)*AB27+(1-EXP(-LN(2)/2))/(LN(2)/2)*V28*Y28*VLOOKUP('Données projet'!$B$9,Paramètres!$A$1:$I$89,3,0)*0.475*44/12</f>
        <v>0</v>
      </c>
      <c r="AC28" s="22">
        <f t="shared" si="3"/>
        <v>0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6.4429411764705877</v>
      </c>
      <c r="AI28" s="13">
        <f>IF('Données projet'!$A$62&gt;35,AI27+AH28-AQ27,IF(A28&lt;'Données projet'!$A$62,$AF$205^A28,IF(A28='Données projet'!$A$62,'Données projet'!$B$62,AI27+AH28-AQ27)))</f>
        <v>161.07352941176464</v>
      </c>
      <c r="AJ28" s="13">
        <f>AI28*VLOOKUP('Données projet'!$B$10,Paramètres!$A$1:$I$89,3,0)*VLOOKUP('Données projet'!$B$10,Paramètres!$A$1:$I$89,5,0)</f>
        <v>75.38241176470585</v>
      </c>
      <c r="AK28" s="13">
        <f t="shared" si="35"/>
        <v>21.004283026460243</v>
      </c>
      <c r="AL28" s="20">
        <f t="shared" si="4"/>
        <v>167.87349342794758</v>
      </c>
      <c r="AM28" s="59">
        <f t="shared" si="5"/>
        <v>395.91126739427966</v>
      </c>
      <c r="AN28" s="59">
        <f ca="1">AVERAGE(OFFSET($AM$3,0,0,'Données projet'!$E$10+1,1))-AVERAGE(OFFSET($H$3,0,0,'Données projet'!$E$10+1,1))</f>
        <v>325.45940224919184</v>
      </c>
      <c r="AO28" s="59">
        <f t="shared" si="36"/>
        <v>256.30046621034876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0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3.3603333333333336</v>
      </c>
      <c r="BD28" s="12">
        <f>IF('Données projet'!$A$88&gt;35,BD27+BC28-BL27,IF(A28&lt;'Données projet'!$A$88,$BA$205^A28,IF(A28='Données projet'!$A$88,'Données projet'!$B$88,BD27+BC28-BL27)))</f>
        <v>84.008333333333354</v>
      </c>
      <c r="BE28" s="13">
        <f>BD28*VLOOKUP('Données projet'!$B$11,Paramètres!$A$1:$I$89,3,0)*VLOOKUP('Données projet'!$B$11,Paramètres!$A$1:$I$89,5,0)</f>
        <v>85.184450000000027</v>
      </c>
      <c r="BF28" s="13">
        <f t="shared" si="37"/>
        <v>23.400139522539501</v>
      </c>
      <c r="BG28" s="20">
        <f t="shared" si="7"/>
        <v>189.1181600850897</v>
      </c>
      <c r="BH28" s="59">
        <f t="shared" si="8"/>
        <v>417.15593405142181</v>
      </c>
      <c r="BI28" s="59">
        <f ca="1">AVERAGE(OFFSET($BH$3,0,0,'Données projet'!$E$11+1,1))-AVERAGE(OFFSET($H$3,0,0,'Données projet'!$E$11+1,1))</f>
        <v>580.02848304986492</v>
      </c>
      <c r="BJ28" s="59">
        <f t="shared" si="38"/>
        <v>281.68891895586728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0</v>
      </c>
      <c r="BR28" s="21">
        <f>EXP(-LN(2)/2)*BR27+(1-EXP(-LN(2)/2))/(LN(2)/2)*BL28*BO28*VLOOKUP('Données projet'!$B$11,Paramètres!$A$1:$I$89,3,0)*0.475*44/12</f>
        <v>0</v>
      </c>
      <c r="BS28" s="22">
        <f t="shared" si="9"/>
        <v>0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>
        <f>VLOOKUP(A28,'Données projet'!$A$113:$I$133,2,0)</f>
        <v>141</v>
      </c>
      <c r="BW28" s="12">
        <f>VLOOKUP(A28,'Données projet'!$A$113:$I$133,9,0)</f>
        <v>14.8</v>
      </c>
      <c r="BX28" s="12">
        <f t="array" ref="BX28">INDEX(BW:BW,MIN(IF(ISNUMBER(BW28:BW224),ROW(BW28:BW224),"")))</f>
        <v>14.8</v>
      </c>
      <c r="BY28" s="12">
        <f>IF('Données projet'!$A$114&gt;35,BY27+BX28-CG27,IF(A28&lt;'Données projet'!$A$114,$BV$205^A28,IF(A28='Données projet'!$A$114,'Données projet'!$B$114,BY27+BX28-CG27)))</f>
        <v>140.99999999999997</v>
      </c>
      <c r="BZ28" s="13">
        <f>BY28*VLOOKUP('Données projet'!$B$12,Paramètres!$A$1:$I$89,3,0)*VLOOKUP('Données projet'!$B$12,Paramètres!$A$1:$I$89,5,0)</f>
        <v>134.17559999999997</v>
      </c>
      <c r="CA28" s="13">
        <f t="shared" si="39"/>
        <v>34.959435402722733</v>
      </c>
      <c r="CB28" s="20">
        <f t="shared" si="10"/>
        <v>294.5768533264087</v>
      </c>
      <c r="CC28" s="59">
        <f t="shared" si="11"/>
        <v>522.61462729274081</v>
      </c>
      <c r="CD28" s="59">
        <f ca="1">AVERAGE(OFFSET($CC$3,0,0,'Données projet'!$E$12+1,1))-AVERAGE(OFFSET($H$3,0,0,'Données projet'!$E$12+1,1))</f>
        <v>439.15394290667945</v>
      </c>
      <c r="CE28" s="59">
        <f t="shared" si="40"/>
        <v>423.56554025351068</v>
      </c>
      <c r="CF28" s="15">
        <f>IF(ISNA(VLOOKUP(A28,'Données projet'!$A$113:$I$133,3,0)),0,VLOOKUP(A28,'Données projet'!$A$113:$I$133,3,0))</f>
        <v>3</v>
      </c>
      <c r="CG28" s="15">
        <f>IF(ISNA(VLOOKUP(A28,'Données projet'!$A$113:$I$133,4,0)),0,VLOOKUP(A28,'Données projet'!$A$113:$I$133,4,0))</f>
        <v>35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0.1075</v>
      </c>
      <c r="CJ28" s="16">
        <f>IF(ISNA(VLOOKUP(A28,'Données projet'!$A$113:$I$133,7,0)),0%,VLOOKUP(A28,'Données projet'!$A$113:$I$133,7,0))</f>
        <v>0.25</v>
      </c>
      <c r="CK28" s="21">
        <f>EXP(-LN(2)/35)*CK27+(1-EXP(-LN(2)/35))/(LN(2)/35)*CG28*CH28*VLOOKUP('Données projet'!$B$12,Paramètres!$A$1:$I$89,3,0)*0.475*44/12</f>
        <v>0</v>
      </c>
      <c r="CL28" s="21">
        <f>EXP(-LN(2)/25)*CL27+(1-EXP(-LN(2)/25))/(LN(2)/25)*Calculateur!CG28*Calculateur!CI28*VLOOKUP('Données projet'!$B$12,Paramètres!$A$1:$I$89,3,0)*0.475*44/12</f>
        <v>10.106236834691337</v>
      </c>
      <c r="CM28" s="21">
        <f>EXP(-LN(2)/2)*CM27+(1-EXP(-LN(2)/2))/(LN(2)/2)*CG28*CJ28*VLOOKUP('Données projet'!$B$12,Paramètres!$A$1:$I$89,3,0)*0.475*44/12</f>
        <v>9.4695485671135966</v>
      </c>
      <c r="CN28" s="22">
        <f t="shared" si="12"/>
        <v>19.575785401804936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>
        <f>VLOOKUP(A28,'Données projet'!$A$139:$I$159,2,0)</f>
        <v>141</v>
      </c>
      <c r="CR28" s="12">
        <f>VLOOKUP(A28,'Données projet'!$A$139:$I$159,9,0)</f>
        <v>14.8</v>
      </c>
      <c r="CS28" s="12">
        <f t="array" ref="CS28">INDEX(CR:CR,MIN(IF(ISNUMBER(CR28:CR224),ROW(CR28:CR224),"")))</f>
        <v>14.8</v>
      </c>
      <c r="CT28" s="12">
        <f>IF('Données projet'!$A$140&gt;35,CT27+CS28-DB27,IF(A28&lt;'Données projet'!$A$140,$CQ$205^A28,IF(A28='Données projet'!$A$140,'Données projet'!$B$140,CT27+CS28-DB27)))</f>
        <v>140.99999999999997</v>
      </c>
      <c r="CU28" s="17">
        <f>CT28*VLOOKUP('Données projet'!$B$13,Paramètres!$A$1:$I$89,3,0)*VLOOKUP('Données projet'!$B$13,Paramètres!$A$1:$I$89,5,0)</f>
        <v>123.1776</v>
      </c>
      <c r="CV28" s="13">
        <f t="shared" si="41"/>
        <v>32.414991240570416</v>
      </c>
      <c r="CW28" s="20">
        <f t="shared" si="13"/>
        <v>270.99042974399345</v>
      </c>
      <c r="CX28" s="59">
        <f t="shared" si="14"/>
        <v>499.02820371032556</v>
      </c>
      <c r="CY28" s="59">
        <f ca="1">AVERAGE(OFFSET($CX$3,0,0,'Données projet'!$E$13+1,1))-AVERAGE(OFFSET($H$3,0,0,'Données projet'!$E$13+1,1))</f>
        <v>408.246209980743</v>
      </c>
      <c r="CZ28" s="59">
        <f t="shared" si="42"/>
        <v>394.10236303013903</v>
      </c>
      <c r="DA28" s="15">
        <f>IF(ISNA(VLOOKUP(A28,'Données projet'!$A$139:$I$159,3,0)),0,VLOOKUP(A28,'Données projet'!$A$139:$I$159,3,0))</f>
        <v>3</v>
      </c>
      <c r="DB28" s="15">
        <f>IF(ISNA(VLOOKUP(A28,'Données projet'!$A$139:$I$159,4,0)),0,VLOOKUP(A28,'Données projet'!$A$139:$I$159,4,0))</f>
        <v>35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0.13250000000000001</v>
      </c>
      <c r="DE28" s="16">
        <f>IF(ISNA(VLOOKUP(A28,'Données projet'!$A$139:$I$159,7,0)),0%,VLOOKUP(A28,'Données projet'!$A$139:$I$159,7,0))</f>
        <v>0.25</v>
      </c>
      <c r="DF28" s="21">
        <f>EXP(-LN(2)/35)*DF27+(1-EXP(-LN(2)/35))/(LN(2)/35)*DB28*DC28*VLOOKUP('Données projet'!$B$13,Paramètres!$A$1:$I$89,3,0)*0.475*44/12</f>
        <v>0</v>
      </c>
      <c r="DG28" s="21">
        <f>EXP(-LN(2)/25)*DG27+(1-EXP(-LN(2)/25))/(LN(2)/25)*Calculateur!DB28*Calculateur!DD28*VLOOKUP('Données projet'!$B$13,Paramètres!$A$1:$I$89,3,0)*0.475*44/12</f>
        <v>11.435497874709831</v>
      </c>
      <c r="DH28" s="21">
        <f>EXP(-LN(2)/2)*DH27+(1-EXP(-LN(2)/2))/(LN(2)/2)*DB28*DE28*VLOOKUP('Données projet'!$B$13,Paramètres!$A$1:$I$89,3,0)*0.475*44/12</f>
        <v>8.6933560616124836</v>
      </c>
      <c r="DI28" s="22">
        <f t="shared" si="15"/>
        <v>20.128853936322315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>
        <f>VLOOKUP(A28,'Données projet'!$A$165:$I$185,2,0)</f>
        <v>141</v>
      </c>
      <c r="DM28" s="12">
        <f>VLOOKUP(A28,'Données projet'!$A$165:$I$185,9,0)</f>
        <v>14.8</v>
      </c>
      <c r="DN28" s="12">
        <f t="array" ref="DN28">INDEX(DM:DM,MIN(IF(ISNUMBER(DM28:DM224),ROW(DM28:DM224),"")))</f>
        <v>14.8</v>
      </c>
      <c r="DO28" s="12">
        <f>IF('Données projet'!$A$166&gt;35,DO27+DN28-DW27,IF(A28&lt;'Données projet'!$A$166,$DL$205^A28,IF(A28='Données projet'!$A$166,'Données projet'!$B$166,DO27+DN28-DW27)))</f>
        <v>140.99999999999997</v>
      </c>
      <c r="DP28" s="17">
        <f>DO28*VLOOKUP('Données projet'!$B$14,Paramètres!$A$1:$I$89,3,0)*VLOOKUP('Données projet'!$B$14,Paramètres!$A$1:$I$89,5,0)</f>
        <v>109.97999999999998</v>
      </c>
      <c r="DQ28" s="13">
        <f t="shared" si="43"/>
        <v>29.326272366698234</v>
      </c>
      <c r="DR28" s="20">
        <f t="shared" si="16"/>
        <v>242.62509103866606</v>
      </c>
      <c r="DS28" s="59">
        <f t="shared" si="17"/>
        <v>470.66286500499814</v>
      </c>
      <c r="DT28" s="59">
        <f ca="1">AVERAGE(OFFSET($DS$3,0,0,'Données projet'!$E$14+1,1))-AVERAGE(OFFSET($H$3,0,0,'Données projet'!$E$14+1,1))</f>
        <v>371.07993287480366</v>
      </c>
      <c r="DU28" s="59">
        <f t="shared" si="44"/>
        <v>358.67120540290637</v>
      </c>
      <c r="DV28" s="15">
        <f>IF(ISNA(VLOOKUP(A28,'Données projet'!$A$165:$I$185,3,0)),0,VLOOKUP(A28,'Données projet'!$A$165:$I$185,3,0))</f>
        <v>3</v>
      </c>
      <c r="DW28" s="15">
        <f>IF(ISNA(VLOOKUP(A28,'Données projet'!$A$165:$I$185,4,0)),0,VLOOKUP(A28,'Données projet'!$A$165:$I$185,4,0))</f>
        <v>35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0.1075</v>
      </c>
      <c r="DZ28" s="16">
        <f>IF(ISNA(VLOOKUP(A28,'Données projet'!$A$165:$I$185,7,0)),0%,VLOOKUP(A28,'Données projet'!$A$165:$I$185,7,0))</f>
        <v>0.25</v>
      </c>
      <c r="EA28" s="21">
        <f>EXP(-LN(2)/35)*EA27+(1-EXP(-LN(2)/35))/(LN(2)/35)*DW28*DX28*VLOOKUP('Données projet'!$B$14,Paramètres!$A$1:$I$89,3,0)*0.475*44/12</f>
        <v>0</v>
      </c>
      <c r="EB28" s="21">
        <f>EXP(-LN(2)/25)*EB27+(1-EXP(-LN(2)/25))/(LN(2)/25)*Calculateur!DW28*Calculateur!DY28*VLOOKUP('Données projet'!$B$14,Paramètres!$A$1:$I$89,3,0)*0.475*44/12</f>
        <v>8.2838006841732259</v>
      </c>
      <c r="EC28" s="21">
        <f>EXP(-LN(2)/2)*EC27+(1-EXP(-LN(2)/2))/(LN(2)/2)*DW28*DZ28*VLOOKUP('Données projet'!$B$14,Paramètres!$A$1:$I$89,3,0)*0.475*44/12</f>
        <v>7.7619250550111438</v>
      </c>
      <c r="ED28" s="22">
        <f t="shared" si="18"/>
        <v>16.04572573918437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45">
      <c r="A29" s="10">
        <f t="shared" si="31"/>
        <v>26</v>
      </c>
      <c r="B29" s="73">
        <f>'Scénario référence'!$B$16*5+'Scénario référence'!$B$17*0+'Scénario référence'!$B$18*5</f>
        <v>5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1">
        <f t="shared" si="32"/>
        <v>0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18.333333333333332</v>
      </c>
      <c r="H29" s="67">
        <f t="shared" si="1"/>
        <v>183.33333333333334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4.0942857142857143</v>
      </c>
      <c r="N29" s="13">
        <f>IF('Données projet'!$A$36&gt;35,N28+M29-V28,IF(A29&lt;'Données projet'!$A$36,$K$205^A29,IF(A29='Données projet'!$A$36,'Données projet'!$B$36,N28+M29-V28)))</f>
        <v>106.45142857142864</v>
      </c>
      <c r="O29" s="13">
        <f>N29*VLOOKUP('Données projet'!$B$9,Paramètres!$A$1:$I$89,3,0)*VLOOKUP('Données projet'!$B$9,Paramètres!$A$1:$I$89,5,0)</f>
        <v>96.317252571428625</v>
      </c>
      <c r="P29" s="13">
        <f t="shared" si="33"/>
        <v>26.082726965934707</v>
      </c>
      <c r="Q29" s="20">
        <f t="shared" si="2"/>
        <v>213.1799643609078</v>
      </c>
      <c r="R29" s="59">
        <f t="shared" si="0"/>
        <v>443.46667841009798</v>
      </c>
      <c r="S29" s="59">
        <f ca="1">AVERAGE(OFFSET($R$3,0,0,'Données projet'!$E$9+1,1))-AVERAGE(OFFSET($H$3,0,0,'Données projet'!$E$9+1,1))</f>
        <v>681.47578137804555</v>
      </c>
      <c r="T29" s="59">
        <f t="shared" si="34"/>
        <v>300.88511065995885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0</v>
      </c>
      <c r="AB29" s="21">
        <f>EXP(-LN(2)/2)*AB28+(1-EXP(-LN(2)/2))/(LN(2)/2)*V29*Y29*VLOOKUP('Données projet'!$B$9,Paramètres!$A$1:$I$89,3,0)*0.475*44/12</f>
        <v>0</v>
      </c>
      <c r="AC29" s="22">
        <f t="shared" si="3"/>
        <v>0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6.4429411764705877</v>
      </c>
      <c r="AI29" s="13">
        <f>IF('Données projet'!$A$62&gt;35,AI28+AH29-AQ28,IF(A29&lt;'Données projet'!$A$62,$AF$205^A29,IF(A29='Données projet'!$A$62,'Données projet'!$B$62,AI28+AH29-AQ28)))</f>
        <v>167.51647058823522</v>
      </c>
      <c r="AJ29" s="13">
        <f>AI29*VLOOKUP('Données projet'!$B$10,Paramètres!$A$1:$I$89,3,0)*VLOOKUP('Données projet'!$B$10,Paramètres!$A$1:$I$89,5,0)</f>
        <v>78.39770823529409</v>
      </c>
      <c r="AK29" s="13">
        <f t="shared" si="35"/>
        <v>21.744955350195998</v>
      </c>
      <c r="AL29" s="20">
        <f t="shared" si="4"/>
        <v>174.41513907806188</v>
      </c>
      <c r="AM29" s="59">
        <f t="shared" si="5"/>
        <v>404.70185312725209</v>
      </c>
      <c r="AN29" s="59">
        <f ca="1">AVERAGE(OFFSET($AM$3,0,0,'Données projet'!$E$10+1,1))-AVERAGE(OFFSET($H$3,0,0,'Données projet'!$E$10+1,1))</f>
        <v>325.45940224919184</v>
      </c>
      <c r="AO29" s="59">
        <f t="shared" si="36"/>
        <v>256.30046621034876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0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3.3603333333333336</v>
      </c>
      <c r="BD29" s="12">
        <f>IF('Données projet'!$A$88&gt;35,BD28+BC29-BL28,IF(A29&lt;'Données projet'!$A$88,$BA$205^A29,IF(A29='Données projet'!$A$88,'Données projet'!$B$88,BD28+BC29-BL28)))</f>
        <v>87.368666666666684</v>
      </c>
      <c r="BE29" s="13">
        <f>BD29*VLOOKUP('Données projet'!$B$11,Paramètres!$A$1:$I$89,3,0)*VLOOKUP('Données projet'!$B$11,Paramètres!$A$1:$I$89,5,0)</f>
        <v>88.591828000000021</v>
      </c>
      <c r="BF29" s="13">
        <f t="shared" si="37"/>
        <v>24.225296739001799</v>
      </c>
      <c r="BG29" s="20">
        <f t="shared" si="7"/>
        <v>196.48982558709483</v>
      </c>
      <c r="BH29" s="59">
        <f t="shared" si="8"/>
        <v>426.77653963628501</v>
      </c>
      <c r="BI29" s="59">
        <f ca="1">AVERAGE(OFFSET($BH$3,0,0,'Données projet'!$E$11+1,1))-AVERAGE(OFFSET($H$3,0,0,'Données projet'!$E$11+1,1))</f>
        <v>580.02848304986492</v>
      </c>
      <c r="BJ29" s="59">
        <f t="shared" si="38"/>
        <v>281.68891895586728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0</v>
      </c>
      <c r="BR29" s="21">
        <f>EXP(-LN(2)/2)*BR28+(1-EXP(-LN(2)/2))/(LN(2)/2)*BL29*BO29*VLOOKUP('Données projet'!$B$11,Paramètres!$A$1:$I$89,3,0)*0.475*44/12</f>
        <v>0</v>
      </c>
      <c r="BS29" s="22">
        <f t="shared" si="9"/>
        <v>0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14.2</v>
      </c>
      <c r="BY29" s="12">
        <f>IF('Données projet'!$A$114&gt;35,BY28+BX29-CG28,IF(A29&lt;'Données projet'!$A$114,$BV$205^A29,IF(A29='Données projet'!$A$114,'Données projet'!$B$114,BY28+BX29-CG28)))</f>
        <v>120.19999999999996</v>
      </c>
      <c r="BZ29" s="13">
        <f>BY29*VLOOKUP('Données projet'!$B$12,Paramètres!$A$1:$I$89,3,0)*VLOOKUP('Données projet'!$B$12,Paramètres!$A$1:$I$89,5,0)</f>
        <v>114.38231999999996</v>
      </c>
      <c r="CA29" s="13">
        <f t="shared" si="39"/>
        <v>30.361134085955022</v>
      </c>
      <c r="CB29" s="20">
        <f t="shared" si="10"/>
        <v>252.09484919970495</v>
      </c>
      <c r="CC29" s="59">
        <f t="shared" si="11"/>
        <v>482.38156324889513</v>
      </c>
      <c r="CD29" s="59">
        <f ca="1">AVERAGE(OFFSET($CC$3,0,0,'Données projet'!$E$12+1,1))-AVERAGE(OFFSET($H$3,0,0,'Données projet'!$E$12+1,1))</f>
        <v>439.15394290667945</v>
      </c>
      <c r="CE29" s="59">
        <f t="shared" si="40"/>
        <v>423.56554025351068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0</v>
      </c>
      <c r="CL29" s="21">
        <f>EXP(-LN(2)/25)*CL28+(1-EXP(-LN(2)/25))/(LN(2)/25)*Calculateur!CG29*Calculateur!CI29*VLOOKUP('Données projet'!$B$12,Paramètres!$A$1:$I$89,3,0)*0.475*44/12</f>
        <v>9.8298812569828051</v>
      </c>
      <c r="CM29" s="21">
        <f>EXP(-LN(2)/2)*CM28+(1-EXP(-LN(2)/2))/(LN(2)/2)*CG29*CJ29*VLOOKUP('Données projet'!$B$12,Paramètres!$A$1:$I$89,3,0)*0.475*44/12</f>
        <v>6.6959820065813789</v>
      </c>
      <c r="CN29" s="22">
        <f t="shared" si="12"/>
        <v>16.525863263564183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14.2</v>
      </c>
      <c r="CT29" s="12">
        <f>IF('Données projet'!$A$140&gt;35,CT28+CS29-DB28,IF(A29&lt;'Données projet'!$A$140,$CQ$205^A29,IF(A29='Données projet'!$A$140,'Données projet'!$B$140,CT28+CS29-DB28)))</f>
        <v>120.19999999999996</v>
      </c>
      <c r="CU29" s="17">
        <f>CT29*VLOOKUP('Données projet'!$B$13,Paramètres!$A$1:$I$89,3,0)*VLOOKUP('Données projet'!$B$13,Paramètres!$A$1:$I$89,5,0)</f>
        <v>105.00671999999997</v>
      </c>
      <c r="CV29" s="13">
        <f t="shared" si="41"/>
        <v>28.151366980410856</v>
      </c>
      <c r="CW29" s="20">
        <f t="shared" si="13"/>
        <v>231.91700149088217</v>
      </c>
      <c r="CX29" s="59">
        <f t="shared" si="14"/>
        <v>462.20371554007238</v>
      </c>
      <c r="CY29" s="59">
        <f ca="1">AVERAGE(OFFSET($CX$3,0,0,'Données projet'!$E$13+1,1))-AVERAGE(OFFSET($H$3,0,0,'Données projet'!$E$13+1,1))</f>
        <v>408.246209980743</v>
      </c>
      <c r="CZ29" s="59">
        <f t="shared" si="42"/>
        <v>394.10236303013903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>
        <f>EXP(-LN(2)/35)*DF28+(1-EXP(-LN(2)/35))/(LN(2)/35)*DB29*DC29*VLOOKUP('Données projet'!$B$13,Paramètres!$A$1:$I$89,3,0)*0.475*44/12</f>
        <v>0</v>
      </c>
      <c r="DG29" s="21">
        <f>EXP(-LN(2)/25)*DG28+(1-EXP(-LN(2)/25))/(LN(2)/25)*Calculateur!DB29*Calculateur!DD29*VLOOKUP('Données projet'!$B$13,Paramètres!$A$1:$I$89,3,0)*0.475*44/12</f>
        <v>11.122793583959194</v>
      </c>
      <c r="DH29" s="21">
        <f>EXP(-LN(2)/2)*DH28+(1-EXP(-LN(2)/2))/(LN(2)/2)*DB29*DE29*VLOOKUP('Données projet'!$B$13,Paramètres!$A$1:$I$89,3,0)*0.475*44/12</f>
        <v>6.1471310224353655</v>
      </c>
      <c r="DI29" s="22">
        <f t="shared" si="15"/>
        <v>17.269924606394561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14.2</v>
      </c>
      <c r="DO29" s="12">
        <f>IF('Données projet'!$A$166&gt;35,DO28+DN29-DW28,IF(A29&lt;'Données projet'!$A$166,$DL$205^A29,IF(A29='Données projet'!$A$166,'Données projet'!$B$166,DO28+DN29-DW28)))</f>
        <v>120.19999999999996</v>
      </c>
      <c r="DP29" s="17">
        <f>DO29*VLOOKUP('Données projet'!$B$14,Paramètres!$A$1:$I$89,3,0)*VLOOKUP('Données projet'!$B$14,Paramètres!$A$1:$I$89,5,0)</f>
        <v>93.755999999999972</v>
      </c>
      <c r="DQ29" s="13">
        <f t="shared" si="43"/>
        <v>25.46891496700821</v>
      </c>
      <c r="DR29" s="20">
        <f t="shared" si="16"/>
        <v>207.65006023420588</v>
      </c>
      <c r="DS29" s="59">
        <f t="shared" si="17"/>
        <v>437.93677428339606</v>
      </c>
      <c r="DT29" s="59">
        <f ca="1">AVERAGE(OFFSET($DS$3,0,0,'Données projet'!$E$14+1,1))-AVERAGE(OFFSET($H$3,0,0,'Données projet'!$E$14+1,1))</f>
        <v>371.07993287480366</v>
      </c>
      <c r="DU29" s="59">
        <f t="shared" si="44"/>
        <v>358.67120540290637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>
        <f>EXP(-LN(2)/35)*EA28+(1-EXP(-LN(2)/35))/(LN(2)/35)*DW29*DX29*VLOOKUP('Données projet'!$B$14,Paramètres!$A$1:$I$89,3,0)*0.475*44/12</f>
        <v>0</v>
      </c>
      <c r="EB29" s="21">
        <f>EXP(-LN(2)/25)*EB28+(1-EXP(-LN(2)/25))/(LN(2)/25)*Calculateur!DW29*Calculateur!DY29*VLOOKUP('Données projet'!$B$14,Paramètres!$A$1:$I$89,3,0)*0.475*44/12</f>
        <v>8.0572797188383642</v>
      </c>
      <c r="EC29" s="21">
        <f>EXP(-LN(2)/2)*EC28+(1-EXP(-LN(2)/2))/(LN(2)/2)*DW29*DZ29*VLOOKUP('Données projet'!$B$14,Paramètres!$A$1:$I$89,3,0)*0.475*44/12</f>
        <v>5.4885098414601465</v>
      </c>
      <c r="ED29" s="22">
        <f t="shared" si="18"/>
        <v>13.545789560298511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45">
      <c r="A30" s="10">
        <f t="shared" si="31"/>
        <v>27</v>
      </c>
      <c r="B30" s="73">
        <f>'Scénario référence'!$B$16*5+'Scénario référence'!$B$17*0+'Scénario référence'!$B$18*5</f>
        <v>5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1">
        <f t="shared" si="32"/>
        <v>0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18.333333333333332</v>
      </c>
      <c r="H30" s="67">
        <f t="shared" si="1"/>
        <v>183.33333333333334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4.0942857142857143</v>
      </c>
      <c r="N30" s="13">
        <f>IF('Données projet'!$A$36&gt;35,N29+M30-V29,IF(A30&lt;'Données projet'!$A$36,$K$205^A30,IF(A30='Données projet'!$A$36,'Données projet'!$B$36,N29+M30-V29)))</f>
        <v>110.54571428571435</v>
      </c>
      <c r="O30" s="13">
        <f>N30*VLOOKUP('Données projet'!$B$9,Paramètres!$A$1:$I$89,3,0)*VLOOKUP('Données projet'!$B$9,Paramètres!$A$1:$I$89,5,0)</f>
        <v>100.02176228571433</v>
      </c>
      <c r="P30" s="13">
        <f t="shared" si="33"/>
        <v>26.967182047167292</v>
      </c>
      <c r="Q30" s="20">
        <f t="shared" si="2"/>
        <v>221.17241137976885</v>
      </c>
      <c r="R30" s="59">
        <f t="shared" si="0"/>
        <v>453.69025425233235</v>
      </c>
      <c r="S30" s="59">
        <f ca="1">AVERAGE(OFFSET($R$3,0,0,'Données projet'!$E$9+1,1))-AVERAGE(OFFSET($H$3,0,0,'Données projet'!$E$9+1,1))</f>
        <v>681.47578137804555</v>
      </c>
      <c r="T30" s="59">
        <f t="shared" si="34"/>
        <v>300.88511065995885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0</v>
      </c>
      <c r="AB30" s="21">
        <f>EXP(-LN(2)/2)*AB29+(1-EXP(-LN(2)/2))/(LN(2)/2)*V30*Y30*VLOOKUP('Données projet'!$B$9,Paramètres!$A$1:$I$89,3,0)*0.475*44/12</f>
        <v>0</v>
      </c>
      <c r="AC30" s="22">
        <f t="shared" si="3"/>
        <v>0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6.4429411764705877</v>
      </c>
      <c r="AI30" s="13">
        <f>IF('Données projet'!$A$62&gt;35,AI29+AH30-AQ29,IF(A30&lt;'Données projet'!$A$62,$AF$205^A30,IF(A30='Données projet'!$A$62,'Données projet'!$B$62,AI29+AH30-AQ29)))</f>
        <v>173.95941176470581</v>
      </c>
      <c r="AJ30" s="13">
        <f>AI30*VLOOKUP('Données projet'!$B$10,Paramètres!$A$1:$I$89,3,0)*VLOOKUP('Données projet'!$B$10,Paramètres!$A$1:$I$89,5,0)</f>
        <v>81.413004705882315</v>
      </c>
      <c r="AK30" s="13">
        <f t="shared" si="35"/>
        <v>22.48231829064984</v>
      </c>
      <c r="AL30" s="20">
        <f t="shared" si="4"/>
        <v>180.95102088562683</v>
      </c>
      <c r="AM30" s="59">
        <f t="shared" si="5"/>
        <v>413.46886375819031</v>
      </c>
      <c r="AN30" s="59">
        <f ca="1">AVERAGE(OFFSET($AM$3,0,0,'Données projet'!$E$10+1,1))-AVERAGE(OFFSET($H$3,0,0,'Données projet'!$E$10+1,1))</f>
        <v>325.45940224919184</v>
      </c>
      <c r="AO30" s="59">
        <f t="shared" si="36"/>
        <v>256.30046621034876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0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3.3603333333333336</v>
      </c>
      <c r="BD30" s="12">
        <f>IF('Données projet'!$A$88&gt;35,BD29+BC30-BL29,IF(A30&lt;'Données projet'!$A$88,$BA$205^A30,IF(A30='Données projet'!$A$88,'Données projet'!$B$88,BD29+BC30-BL29)))</f>
        <v>90.729000000000013</v>
      </c>
      <c r="BE30" s="13">
        <f>BD30*VLOOKUP('Données projet'!$B$11,Paramètres!$A$1:$I$89,3,0)*VLOOKUP('Données projet'!$B$11,Paramètres!$A$1:$I$89,5,0)</f>
        <v>91.999206000000029</v>
      </c>
      <c r="BF30" s="13">
        <f t="shared" si="37"/>
        <v>25.046767086912915</v>
      </c>
      <c r="BG30" s="20">
        <f t="shared" si="7"/>
        <v>203.85506979304003</v>
      </c>
      <c r="BH30" s="59">
        <f t="shared" si="8"/>
        <v>436.37291266560351</v>
      </c>
      <c r="BI30" s="59">
        <f ca="1">AVERAGE(OFFSET($BH$3,0,0,'Données projet'!$E$11+1,1))-AVERAGE(OFFSET($H$3,0,0,'Données projet'!$E$11+1,1))</f>
        <v>580.02848304986492</v>
      </c>
      <c r="BJ30" s="59">
        <f t="shared" si="38"/>
        <v>281.68891895586728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0</v>
      </c>
      <c r="BR30" s="21">
        <f>EXP(-LN(2)/2)*BR29+(1-EXP(-LN(2)/2))/(LN(2)/2)*BL30*BO30*VLOOKUP('Données projet'!$B$11,Paramètres!$A$1:$I$89,3,0)*0.475*44/12</f>
        <v>0</v>
      </c>
      <c r="BS30" s="22">
        <f t="shared" si="9"/>
        <v>0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14.2</v>
      </c>
      <c r="BY30" s="12">
        <f>IF('Données projet'!$A$114&gt;35,BY29+BX30-CG29,IF(A30&lt;'Données projet'!$A$114,$BV$205^A30,IF(A30='Données projet'!$A$114,'Données projet'!$B$114,BY29+BX30-CG29)))</f>
        <v>134.39999999999995</v>
      </c>
      <c r="BZ30" s="13">
        <f>BY30*VLOOKUP('Données projet'!$B$12,Paramètres!$A$1:$I$89,3,0)*VLOOKUP('Données projet'!$B$12,Paramètres!$A$1:$I$89,5,0)</f>
        <v>127.89503999999995</v>
      </c>
      <c r="CA30" s="13">
        <f t="shared" si="39"/>
        <v>33.509503727991913</v>
      </c>
      <c r="CB30" s="20">
        <f t="shared" si="10"/>
        <v>281.11291365958584</v>
      </c>
      <c r="CC30" s="59">
        <f t="shared" si="11"/>
        <v>513.63075653214935</v>
      </c>
      <c r="CD30" s="59">
        <f ca="1">AVERAGE(OFFSET($CC$3,0,0,'Données projet'!$E$12+1,1))-AVERAGE(OFFSET($H$3,0,0,'Données projet'!$E$12+1,1))</f>
        <v>439.15394290667945</v>
      </c>
      <c r="CE30" s="59">
        <f t="shared" si="40"/>
        <v>423.56554025351068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0</v>
      </c>
      <c r="CL30" s="21">
        <f>EXP(-LN(2)/25)*CL29+(1-EXP(-LN(2)/25))/(LN(2)/25)*Calculateur!CG30*Calculateur!CI30*VLOOKUP('Données projet'!$B$12,Paramètres!$A$1:$I$89,3,0)*0.475*44/12</f>
        <v>9.5610826370796218</v>
      </c>
      <c r="CM30" s="21">
        <f>EXP(-LN(2)/2)*CM29+(1-EXP(-LN(2)/2))/(LN(2)/2)*CG30*CJ30*VLOOKUP('Données projet'!$B$12,Paramètres!$A$1:$I$89,3,0)*0.475*44/12</f>
        <v>4.7347742835567992</v>
      </c>
      <c r="CN30" s="22">
        <f t="shared" si="12"/>
        <v>14.295856920636421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14.2</v>
      </c>
      <c r="CT30" s="12">
        <f>IF('Données projet'!$A$140&gt;35,CT29+CS30-DB29,IF(A30&lt;'Données projet'!$A$140,$CQ$205^A30,IF(A30='Données projet'!$A$140,'Données projet'!$B$140,CT29+CS30-DB29)))</f>
        <v>134.39999999999995</v>
      </c>
      <c r="CU30" s="17">
        <f>CT30*VLOOKUP('Données projet'!$B$13,Paramètres!$A$1:$I$89,3,0)*VLOOKUP('Données projet'!$B$13,Paramètres!$A$1:$I$89,5,0)</f>
        <v>117.41183999999997</v>
      </c>
      <c r="CV30" s="13">
        <f t="shared" si="41"/>
        <v>31.070589593507044</v>
      </c>
      <c r="CW30" s="20">
        <f t="shared" si="13"/>
        <v>258.60689820869135</v>
      </c>
      <c r="CX30" s="59">
        <f t="shared" si="14"/>
        <v>491.12474108125485</v>
      </c>
      <c r="CY30" s="59">
        <f ca="1">AVERAGE(OFFSET($CX$3,0,0,'Données projet'!$E$13+1,1))-AVERAGE(OFFSET($H$3,0,0,'Données projet'!$E$13+1,1))</f>
        <v>408.246209980743</v>
      </c>
      <c r="CZ30" s="59">
        <f t="shared" si="42"/>
        <v>394.10236303013903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>
        <f>EXP(-LN(2)/35)*DF29+(1-EXP(-LN(2)/35))/(LN(2)/35)*DB30*DC30*VLOOKUP('Données projet'!$B$13,Paramètres!$A$1:$I$89,3,0)*0.475*44/12</f>
        <v>0</v>
      </c>
      <c r="DG30" s="21">
        <f>EXP(-LN(2)/25)*DG29+(1-EXP(-LN(2)/25))/(LN(2)/25)*Calculateur!DB30*Calculateur!DD30*VLOOKUP('Données projet'!$B$13,Paramètres!$A$1:$I$89,3,0)*0.475*44/12</f>
        <v>10.818640208483536</v>
      </c>
      <c r="DH30" s="21">
        <f>EXP(-LN(2)/2)*DH29+(1-EXP(-LN(2)/2))/(LN(2)/2)*DB30*DE30*VLOOKUP('Données projet'!$B$13,Paramètres!$A$1:$I$89,3,0)*0.475*44/12</f>
        <v>4.3466780308062427</v>
      </c>
      <c r="DI30" s="22">
        <f t="shared" si="15"/>
        <v>15.165318239289778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14.2</v>
      </c>
      <c r="DO30" s="12">
        <f>IF('Données projet'!$A$166&gt;35,DO29+DN30-DW29,IF(A30&lt;'Données projet'!$A$166,$DL$205^A30,IF(A30='Données projet'!$A$166,'Données projet'!$B$166,DO29+DN30-DW29)))</f>
        <v>134.39999999999995</v>
      </c>
      <c r="DP30" s="17">
        <f>DO30*VLOOKUP('Données projet'!$B$14,Paramètres!$A$1:$I$89,3,0)*VLOOKUP('Données projet'!$B$14,Paramètres!$A$1:$I$89,5,0)</f>
        <v>104.83199999999997</v>
      </c>
      <c r="DQ30" s="13">
        <f t="shared" si="43"/>
        <v>28.109974371137692</v>
      </c>
      <c r="DR30" s="20">
        <f t="shared" si="16"/>
        <v>231.54060536306474</v>
      </c>
      <c r="DS30" s="59">
        <f t="shared" si="17"/>
        <v>464.05844823562825</v>
      </c>
      <c r="DT30" s="59">
        <f ca="1">AVERAGE(OFFSET($DS$3,0,0,'Données projet'!$E$14+1,1))-AVERAGE(OFFSET($H$3,0,0,'Données projet'!$E$14+1,1))</f>
        <v>371.07993287480366</v>
      </c>
      <c r="DU30" s="59">
        <f t="shared" si="44"/>
        <v>358.67120540290637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>
        <f>EXP(-LN(2)/35)*EA29+(1-EXP(-LN(2)/35))/(LN(2)/35)*DW30*DX30*VLOOKUP('Données projet'!$B$14,Paramètres!$A$1:$I$89,3,0)*0.475*44/12</f>
        <v>0</v>
      </c>
      <c r="EB30" s="21">
        <f>EXP(-LN(2)/25)*EB29+(1-EXP(-LN(2)/25))/(LN(2)/25)*Calculateur!DW30*Calculateur!DY30*VLOOKUP('Données projet'!$B$14,Paramètres!$A$1:$I$89,3,0)*0.475*44/12</f>
        <v>7.8369529812128036</v>
      </c>
      <c r="EC30" s="21">
        <f>EXP(-LN(2)/2)*EC29+(1-EXP(-LN(2)/2))/(LN(2)/2)*DW30*DZ30*VLOOKUP('Données projet'!$B$14,Paramètres!$A$1:$I$89,3,0)*0.475*44/12</f>
        <v>3.8809625275055728</v>
      </c>
      <c r="ED30" s="22">
        <f t="shared" si="18"/>
        <v>11.717915508718377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45">
      <c r="A31" s="10">
        <f t="shared" si="31"/>
        <v>28</v>
      </c>
      <c r="B31" s="73">
        <f>'Scénario référence'!$B$16*5+'Scénario référence'!$B$17*0+'Scénario référence'!$B$18*5</f>
        <v>5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1">
        <f t="shared" si="32"/>
        <v>0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18.333333333333332</v>
      </c>
      <c r="H31" s="67">
        <f t="shared" si="1"/>
        <v>183.33333333333334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4.0942857142857143</v>
      </c>
      <c r="N31" s="13">
        <f>IF('Données projet'!$A$36&gt;35,N30+M31-V30,IF(A31&lt;'Données projet'!$A$36,$K$205^A31,IF(A31='Données projet'!$A$36,'Données projet'!$B$36,N30+M31-V30)))</f>
        <v>114.64000000000007</v>
      </c>
      <c r="O31" s="13">
        <f>N31*VLOOKUP('Données projet'!$B$9,Paramètres!$A$1:$I$89,3,0)*VLOOKUP('Données projet'!$B$9,Paramètres!$A$1:$I$89,5,0)</f>
        <v>103.72627200000005</v>
      </c>
      <c r="P31" s="13">
        <f t="shared" si="33"/>
        <v>27.847831432539717</v>
      </c>
      <c r="Q31" s="20">
        <f t="shared" si="2"/>
        <v>229.15823014500677</v>
      </c>
      <c r="R31" s="59">
        <f t="shared" si="0"/>
        <v>463.88969956699088</v>
      </c>
      <c r="S31" s="59">
        <f ca="1">AVERAGE(OFFSET($R$3,0,0,'Données projet'!$E$9+1,1))-AVERAGE(OFFSET($H$3,0,0,'Données projet'!$E$9+1,1))</f>
        <v>681.47578137804555</v>
      </c>
      <c r="T31" s="59">
        <f t="shared" si="34"/>
        <v>300.88511065995885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0</v>
      </c>
      <c r="AB31" s="21">
        <f>EXP(-LN(2)/2)*AB30+(1-EXP(-LN(2)/2))/(LN(2)/2)*V31*Y31*VLOOKUP('Données projet'!$B$9,Paramètres!$A$1:$I$89,3,0)*0.475*44/12</f>
        <v>0</v>
      </c>
      <c r="AC31" s="22">
        <f t="shared" si="3"/>
        <v>0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6.4429411764705877</v>
      </c>
      <c r="AI31" s="13">
        <f>IF('Données projet'!$A$62&gt;35,AI30+AH31-AQ30,IF(A31&lt;'Données projet'!$A$62,$AF$205^A31,IF(A31='Données projet'!$A$62,'Données projet'!$B$62,AI30+AH31-AQ30)))</f>
        <v>180.40235294117639</v>
      </c>
      <c r="AJ31" s="13">
        <f>AI31*VLOOKUP('Données projet'!$B$10,Paramètres!$A$1:$I$89,3,0)*VLOOKUP('Données projet'!$B$10,Paramètres!$A$1:$I$89,5,0)</f>
        <v>84.428301176470555</v>
      </c>
      <c r="AK31" s="13">
        <f t="shared" si="35"/>
        <v>23.216508453707245</v>
      </c>
      <c r="AL31" s="20">
        <f t="shared" si="4"/>
        <v>187.48137677255966</v>
      </c>
      <c r="AM31" s="59">
        <f t="shared" si="5"/>
        <v>422.21284619454377</v>
      </c>
      <c r="AN31" s="59">
        <f ca="1">AVERAGE(OFFSET($AM$3,0,0,'Données projet'!$E$10+1,1))-AVERAGE(OFFSET($H$3,0,0,'Données projet'!$E$10+1,1))</f>
        <v>325.45940224919184</v>
      </c>
      <c r="AO31" s="59">
        <f t="shared" si="36"/>
        <v>256.30046621034876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0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3.3603333333333336</v>
      </c>
      <c r="BD31" s="12">
        <f>IF('Données projet'!$A$88&gt;35,BD30+BC31-BL30,IF(A31&lt;'Données projet'!$A$88,$BA$205^A31,IF(A31='Données projet'!$A$88,'Données projet'!$B$88,BD30+BC31-BL30)))</f>
        <v>94.089333333333343</v>
      </c>
      <c r="BE31" s="13">
        <f>BD31*VLOOKUP('Données projet'!$B$11,Paramètres!$A$1:$I$89,3,0)*VLOOKUP('Données projet'!$B$11,Paramètres!$A$1:$I$89,5,0)</f>
        <v>95.406584000000024</v>
      </c>
      <c r="BF31" s="13">
        <f t="shared" si="37"/>
        <v>25.864702754127851</v>
      </c>
      <c r="BG31" s="20">
        <f t="shared" si="7"/>
        <v>211.21415776343937</v>
      </c>
      <c r="BH31" s="59">
        <f t="shared" si="8"/>
        <v>445.94562718542346</v>
      </c>
      <c r="BI31" s="59">
        <f ca="1">AVERAGE(OFFSET($BH$3,0,0,'Données projet'!$E$11+1,1))-AVERAGE(OFFSET($H$3,0,0,'Données projet'!$E$11+1,1))</f>
        <v>580.02848304986492</v>
      </c>
      <c r="BJ31" s="59">
        <f t="shared" si="38"/>
        <v>281.68891895586728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0</v>
      </c>
      <c r="BR31" s="21">
        <f>EXP(-LN(2)/2)*BR30+(1-EXP(-LN(2)/2))/(LN(2)/2)*BL31*BO31*VLOOKUP('Données projet'!$B$11,Paramètres!$A$1:$I$89,3,0)*0.475*44/12</f>
        <v>0</v>
      </c>
      <c r="BS31" s="22">
        <f t="shared" si="9"/>
        <v>0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14.2</v>
      </c>
      <c r="BY31" s="12">
        <f>IF('Données projet'!$A$114&gt;35,BY30+BX31-CG30,IF(A31&lt;'Données projet'!$A$114,$BV$205^A31,IF(A31='Données projet'!$A$114,'Données projet'!$B$114,BY30+BX31-CG30)))</f>
        <v>148.59999999999994</v>
      </c>
      <c r="BZ31" s="13">
        <f>BY31*VLOOKUP('Données projet'!$B$12,Paramètres!$A$1:$I$89,3,0)*VLOOKUP('Données projet'!$B$12,Paramètres!$A$1:$I$89,5,0)</f>
        <v>141.40775999999994</v>
      </c>
      <c r="CA31" s="13">
        <f t="shared" si="39"/>
        <v>36.619315510870308</v>
      </c>
      <c r="CB31" s="20">
        <f t="shared" si="10"/>
        <v>310.06382318143233</v>
      </c>
      <c r="CC31" s="59">
        <f t="shared" si="11"/>
        <v>544.79529260341644</v>
      </c>
      <c r="CD31" s="59">
        <f ca="1">AVERAGE(OFFSET($CC$3,0,0,'Données projet'!$E$12+1,1))-AVERAGE(OFFSET($H$3,0,0,'Données projet'!$E$12+1,1))</f>
        <v>439.15394290667945</v>
      </c>
      <c r="CE31" s="59">
        <f t="shared" si="40"/>
        <v>423.56554025351068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0</v>
      </c>
      <c r="CL31" s="21">
        <f>EXP(-LN(2)/25)*CL30+(1-EXP(-LN(2)/25))/(LN(2)/25)*Calculateur!CG31*Calculateur!CI31*VLOOKUP('Données projet'!$B$12,Paramètres!$A$1:$I$89,3,0)*0.475*44/12</f>
        <v>9.2996343295731965</v>
      </c>
      <c r="CM31" s="21">
        <f>EXP(-LN(2)/2)*CM30+(1-EXP(-LN(2)/2))/(LN(2)/2)*CG31*CJ31*VLOOKUP('Données projet'!$B$12,Paramètres!$A$1:$I$89,3,0)*0.475*44/12</f>
        <v>3.3479910032906903</v>
      </c>
      <c r="CN31" s="22">
        <f t="shared" si="12"/>
        <v>12.647625332863887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14.2</v>
      </c>
      <c r="CT31" s="12">
        <f>IF('Données projet'!$A$140&gt;35,CT30+CS31-DB30,IF(A31&lt;'Données projet'!$A$140,$CQ$205^A31,IF(A31='Données projet'!$A$140,'Données projet'!$B$140,CT30+CS31-DB30)))</f>
        <v>148.59999999999994</v>
      </c>
      <c r="CU31" s="17">
        <f>CT31*VLOOKUP('Données projet'!$B$13,Paramètres!$A$1:$I$89,3,0)*VLOOKUP('Données projet'!$B$13,Paramètres!$A$1:$I$89,5,0)</f>
        <v>129.81695999999997</v>
      </c>
      <c r="CV31" s="13">
        <f t="shared" si="41"/>
        <v>33.954060694815986</v>
      </c>
      <c r="CW31" s="20">
        <f t="shared" si="13"/>
        <v>285.23452771013774</v>
      </c>
      <c r="CX31" s="59">
        <f t="shared" si="14"/>
        <v>519.96599713212186</v>
      </c>
      <c r="CY31" s="59">
        <f ca="1">AVERAGE(OFFSET($CX$3,0,0,'Données projet'!$E$13+1,1))-AVERAGE(OFFSET($H$3,0,0,'Données projet'!$E$13+1,1))</f>
        <v>408.246209980743</v>
      </c>
      <c r="CZ31" s="59">
        <f t="shared" si="42"/>
        <v>394.10236303013903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>
        <f>EXP(-LN(2)/35)*DF30+(1-EXP(-LN(2)/35))/(LN(2)/35)*DB31*DC31*VLOOKUP('Données projet'!$B$13,Paramètres!$A$1:$I$89,3,0)*0.475*44/12</f>
        <v>0</v>
      </c>
      <c r="DG31" s="21">
        <f>EXP(-LN(2)/25)*DG30+(1-EXP(-LN(2)/25))/(LN(2)/25)*Calculateur!DB31*Calculateur!DD31*VLOOKUP('Données projet'!$B$13,Paramètres!$A$1:$I$89,3,0)*0.475*44/12</f>
        <v>10.522803923054992</v>
      </c>
      <c r="DH31" s="21">
        <f>EXP(-LN(2)/2)*DH30+(1-EXP(-LN(2)/2))/(LN(2)/2)*DB31*DE31*VLOOKUP('Données projet'!$B$13,Paramètres!$A$1:$I$89,3,0)*0.475*44/12</f>
        <v>3.0735655112176832</v>
      </c>
      <c r="DI31" s="22">
        <f t="shared" si="15"/>
        <v>13.596369434272676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14.2</v>
      </c>
      <c r="DO31" s="12">
        <f>IF('Données projet'!$A$166&gt;35,DO30+DN31-DW30,IF(A31&lt;'Données projet'!$A$166,$DL$205^A31,IF(A31='Données projet'!$A$166,'Données projet'!$B$166,DO30+DN31-DW30)))</f>
        <v>148.59999999999994</v>
      </c>
      <c r="DP31" s="17">
        <f>DO31*VLOOKUP('Données projet'!$B$14,Paramètres!$A$1:$I$89,3,0)*VLOOKUP('Données projet'!$B$14,Paramètres!$A$1:$I$89,5,0)</f>
        <v>115.90799999999996</v>
      </c>
      <c r="DQ31" s="13">
        <f t="shared" si="43"/>
        <v>30.718688908522875</v>
      </c>
      <c r="DR31" s="20">
        <f t="shared" si="16"/>
        <v>255.37481651567725</v>
      </c>
      <c r="DS31" s="59">
        <f t="shared" si="17"/>
        <v>490.10628593766137</v>
      </c>
      <c r="DT31" s="59">
        <f ca="1">AVERAGE(OFFSET($DS$3,0,0,'Données projet'!$E$14+1,1))-AVERAGE(OFFSET($H$3,0,0,'Données projet'!$E$14+1,1))</f>
        <v>371.07993287480366</v>
      </c>
      <c r="DU31" s="59">
        <f t="shared" si="44"/>
        <v>358.67120540290637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>
        <f>EXP(-LN(2)/35)*EA30+(1-EXP(-LN(2)/35))/(LN(2)/35)*DW31*DX31*VLOOKUP('Données projet'!$B$14,Paramètres!$A$1:$I$89,3,0)*0.475*44/12</f>
        <v>0</v>
      </c>
      <c r="EB31" s="21">
        <f>EXP(-LN(2)/25)*EB30+(1-EXP(-LN(2)/25))/(LN(2)/25)*Calculateur!DW31*Calculateur!DY31*VLOOKUP('Données projet'!$B$14,Paramètres!$A$1:$I$89,3,0)*0.475*44/12</f>
        <v>7.6226510898140942</v>
      </c>
      <c r="EC31" s="21">
        <f>EXP(-LN(2)/2)*EC30+(1-EXP(-LN(2)/2))/(LN(2)/2)*DW31*DZ31*VLOOKUP('Données projet'!$B$14,Paramètres!$A$1:$I$89,3,0)*0.475*44/12</f>
        <v>2.7442549207300737</v>
      </c>
      <c r="ED31" s="22">
        <f t="shared" si="18"/>
        <v>10.366906010544168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45">
      <c r="A32" s="10">
        <f t="shared" si="31"/>
        <v>29</v>
      </c>
      <c r="B32" s="73">
        <f>'Scénario référence'!$B$16*5+'Scénario référence'!$B$17*0+'Scénario référence'!$B$18*5</f>
        <v>5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1">
        <f t="shared" si="32"/>
        <v>0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18.333333333333332</v>
      </c>
      <c r="H32" s="67">
        <f t="shared" si="1"/>
        <v>183.33333333333334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4.0942857142857143</v>
      </c>
      <c r="N32" s="13">
        <f>IF('Données projet'!$A$36&gt;35,N31+M32-V31,IF(A32&lt;'Données projet'!$A$36,$K$205^A32,IF(A32='Données projet'!$A$36,'Données projet'!$B$36,N31+M32-V31)))</f>
        <v>118.73428571428579</v>
      </c>
      <c r="O32" s="13">
        <f>N32*VLOOKUP('Données projet'!$B$9,Paramètres!$A$1:$I$89,3,0)*VLOOKUP('Données projet'!$B$9,Paramètres!$A$1:$I$89,5,0)</f>
        <v>107.43078171428577</v>
      </c>
      <c r="P32" s="13">
        <f t="shared" si="33"/>
        <v>28.724826611108305</v>
      </c>
      <c r="Q32" s="20">
        <f t="shared" si="2"/>
        <v>237.13768450006134</v>
      </c>
      <c r="R32" s="59">
        <f t="shared" si="0"/>
        <v>474.0655818228372</v>
      </c>
      <c r="S32" s="59">
        <f ca="1">AVERAGE(OFFSET($R$3,0,0,'Données projet'!$E$9+1,1))-AVERAGE(OFFSET($H$3,0,0,'Données projet'!$E$9+1,1))</f>
        <v>681.47578137804555</v>
      </c>
      <c r="T32" s="59">
        <f t="shared" si="34"/>
        <v>300.88511065995885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0</v>
      </c>
      <c r="AB32" s="21">
        <f>EXP(-LN(2)/2)*AB31+(1-EXP(-LN(2)/2))/(LN(2)/2)*V32*Y32*VLOOKUP('Données projet'!$B$9,Paramètres!$A$1:$I$89,3,0)*0.475*44/12</f>
        <v>0</v>
      </c>
      <c r="AC32" s="22">
        <f t="shared" si="3"/>
        <v>0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6.4429411764705877</v>
      </c>
      <c r="AI32" s="13">
        <f>IF('Données projet'!$A$62&gt;35,AI31+AH32-AQ31,IF(A32&lt;'Données projet'!$A$62,$AF$205^A32,IF(A32='Données projet'!$A$62,'Données projet'!$B$62,AI31+AH32-AQ31)))</f>
        <v>186.84529411764697</v>
      </c>
      <c r="AJ32" s="13">
        <f>AI32*VLOOKUP('Données projet'!$B$10,Paramètres!$A$1:$I$89,3,0)*VLOOKUP('Données projet'!$B$10,Paramètres!$A$1:$I$89,5,0)</f>
        <v>87.443597647058795</v>
      </c>
      <c r="AK32" s="13">
        <f t="shared" si="35"/>
        <v>23.947652134550808</v>
      </c>
      <c r="AL32" s="20">
        <f t="shared" si="4"/>
        <v>194.00642670297006</v>
      </c>
      <c r="AM32" s="59">
        <f t="shared" si="5"/>
        <v>430.93432402574592</v>
      </c>
      <c r="AN32" s="59">
        <f ca="1">AVERAGE(OFFSET($AM$3,0,0,'Données projet'!$E$10+1,1))-AVERAGE(OFFSET($H$3,0,0,'Données projet'!$E$10+1,1))</f>
        <v>325.45940224919184</v>
      </c>
      <c r="AO32" s="59">
        <f t="shared" si="36"/>
        <v>256.30046621034876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0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3.3603333333333336</v>
      </c>
      <c r="BD32" s="12">
        <f>IF('Données projet'!$A$88&gt;35,BD31+BC32-BL31,IF(A32&lt;'Données projet'!$A$88,$BA$205^A32,IF(A32='Données projet'!$A$88,'Données projet'!$B$88,BD31+BC32-BL31)))</f>
        <v>97.449666666666673</v>
      </c>
      <c r="BE32" s="13">
        <f>BD32*VLOOKUP('Données projet'!$B$11,Paramètres!$A$1:$I$89,3,0)*VLOOKUP('Données projet'!$B$11,Paramètres!$A$1:$I$89,5,0)</f>
        <v>98.813962000000018</v>
      </c>
      <c r="BF32" s="13">
        <f t="shared" si="37"/>
        <v>26.679244441706949</v>
      </c>
      <c r="BG32" s="20">
        <f t="shared" si="7"/>
        <v>218.56733455263964</v>
      </c>
      <c r="BH32" s="59">
        <f t="shared" si="8"/>
        <v>455.49523187541547</v>
      </c>
      <c r="BI32" s="59">
        <f ca="1">AVERAGE(OFFSET($BH$3,0,0,'Données projet'!$E$11+1,1))-AVERAGE(OFFSET($H$3,0,0,'Données projet'!$E$11+1,1))</f>
        <v>580.02848304986492</v>
      </c>
      <c r="BJ32" s="59">
        <f t="shared" si="38"/>
        <v>281.68891895586728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0</v>
      </c>
      <c r="BR32" s="21">
        <f>EXP(-LN(2)/2)*BR31+(1-EXP(-LN(2)/2))/(LN(2)/2)*BL32*BO32*VLOOKUP('Données projet'!$B$11,Paramètres!$A$1:$I$89,3,0)*0.475*44/12</f>
        <v>0</v>
      </c>
      <c r="BS32" s="22">
        <f t="shared" si="9"/>
        <v>0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14.2</v>
      </c>
      <c r="BY32" s="12">
        <f>IF('Données projet'!$A$114&gt;35,BY31+BX32-CG31,IF(A32&lt;'Données projet'!$A$114,$BV$205^A32,IF(A32='Données projet'!$A$114,'Données projet'!$B$114,BY31+BX32-CG31)))</f>
        <v>162.79999999999993</v>
      </c>
      <c r="BZ32" s="13">
        <f>BY32*VLOOKUP('Données projet'!$B$12,Paramètres!$A$1:$I$89,3,0)*VLOOKUP('Données projet'!$B$12,Paramètres!$A$1:$I$89,5,0)</f>
        <v>154.92047999999994</v>
      </c>
      <c r="CA32" s="13">
        <f t="shared" si="39"/>
        <v>39.694673172843629</v>
      </c>
      <c r="CB32" s="20">
        <f t="shared" si="10"/>
        <v>338.95472510936924</v>
      </c>
      <c r="CC32" s="59">
        <f t="shared" si="11"/>
        <v>575.88262243214513</v>
      </c>
      <c r="CD32" s="59">
        <f ca="1">AVERAGE(OFFSET($CC$3,0,0,'Données projet'!$E$12+1,1))-AVERAGE(OFFSET($H$3,0,0,'Données projet'!$E$12+1,1))</f>
        <v>439.15394290667945</v>
      </c>
      <c r="CE32" s="59">
        <f t="shared" si="40"/>
        <v>423.56554025351068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0</v>
      </c>
      <c r="CL32" s="21">
        <f>EXP(-LN(2)/25)*CL31+(1-EXP(-LN(2)/25))/(LN(2)/25)*Calculateur!CG32*Calculateur!CI32*VLOOKUP('Données projet'!$B$12,Paramètres!$A$1:$I$89,3,0)*0.475*44/12</f>
        <v>9.0453353397845024</v>
      </c>
      <c r="CM32" s="21">
        <f>EXP(-LN(2)/2)*CM31+(1-EXP(-LN(2)/2))/(LN(2)/2)*CG32*CJ32*VLOOKUP('Données projet'!$B$12,Paramètres!$A$1:$I$89,3,0)*0.475*44/12</f>
        <v>2.3673871417784</v>
      </c>
      <c r="CN32" s="22">
        <f t="shared" si="12"/>
        <v>11.412722481562902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14.2</v>
      </c>
      <c r="CT32" s="12">
        <f>IF('Données projet'!$A$140&gt;35,CT31+CS32-DB31,IF(A32&lt;'Données projet'!$A$140,$CQ$205^A32,IF(A32='Données projet'!$A$140,'Données projet'!$B$140,CT31+CS32-DB31)))</f>
        <v>162.79999999999993</v>
      </c>
      <c r="CU32" s="17">
        <f>CT32*VLOOKUP('Données projet'!$B$13,Paramètres!$A$1:$I$89,3,0)*VLOOKUP('Données projet'!$B$13,Paramètres!$A$1:$I$89,5,0)</f>
        <v>142.22207999999995</v>
      </c>
      <c r="CV32" s="13">
        <f t="shared" si="41"/>
        <v>36.805585341198615</v>
      </c>
      <c r="CW32" s="20">
        <f t="shared" si="13"/>
        <v>311.80651713592084</v>
      </c>
      <c r="CX32" s="59">
        <f t="shared" si="14"/>
        <v>548.73441445869662</v>
      </c>
      <c r="CY32" s="59">
        <f ca="1">AVERAGE(OFFSET($CX$3,0,0,'Données projet'!$E$13+1,1))-AVERAGE(OFFSET($H$3,0,0,'Données projet'!$E$13+1,1))</f>
        <v>408.246209980743</v>
      </c>
      <c r="CZ32" s="59">
        <f t="shared" si="42"/>
        <v>394.10236303013903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>
        <f>EXP(-LN(2)/35)*DF31+(1-EXP(-LN(2)/35))/(LN(2)/35)*DB32*DC32*VLOOKUP('Données projet'!$B$13,Paramètres!$A$1:$I$89,3,0)*0.475*44/12</f>
        <v>0</v>
      </c>
      <c r="DG32" s="21">
        <f>EXP(-LN(2)/25)*DG31+(1-EXP(-LN(2)/25))/(LN(2)/25)*Calculateur!DB32*Calculateur!DD32*VLOOKUP('Données projet'!$B$13,Paramètres!$A$1:$I$89,3,0)*0.475*44/12</f>
        <v>10.235057296408845</v>
      </c>
      <c r="DH32" s="21">
        <f>EXP(-LN(2)/2)*DH31+(1-EXP(-LN(2)/2))/(LN(2)/2)*DB32*DE32*VLOOKUP('Données projet'!$B$13,Paramètres!$A$1:$I$89,3,0)*0.475*44/12</f>
        <v>2.1733390154031214</v>
      </c>
      <c r="DI32" s="22">
        <f t="shared" si="15"/>
        <v>12.408396311811966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14.2</v>
      </c>
      <c r="DO32" s="12">
        <f>IF('Données projet'!$A$166&gt;35,DO31+DN32-DW31,IF(A32&lt;'Données projet'!$A$166,$DL$205^A32,IF(A32='Données projet'!$A$166,'Données projet'!$B$166,DO31+DN32-DW31)))</f>
        <v>162.79999999999993</v>
      </c>
      <c r="DP32" s="17">
        <f>DO32*VLOOKUP('Données projet'!$B$14,Paramètres!$A$1:$I$89,3,0)*VLOOKUP('Données projet'!$B$14,Paramètres!$A$1:$I$89,5,0)</f>
        <v>126.98399999999995</v>
      </c>
      <c r="DQ32" s="13">
        <f t="shared" si="43"/>
        <v>33.298501064557207</v>
      </c>
      <c r="DR32" s="20">
        <f t="shared" si="16"/>
        <v>279.15868935410367</v>
      </c>
      <c r="DS32" s="59">
        <f t="shared" si="17"/>
        <v>516.08658667687951</v>
      </c>
      <c r="DT32" s="59">
        <f ca="1">AVERAGE(OFFSET($DS$3,0,0,'Données projet'!$E$14+1,1))-AVERAGE(OFFSET($H$3,0,0,'Données projet'!$E$14+1,1))</f>
        <v>371.07993287480366</v>
      </c>
      <c r="DU32" s="59">
        <f t="shared" si="44"/>
        <v>358.67120540290637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>
        <f>EXP(-LN(2)/35)*EA31+(1-EXP(-LN(2)/35))/(LN(2)/35)*DW32*DX32*VLOOKUP('Données projet'!$B$14,Paramètres!$A$1:$I$89,3,0)*0.475*44/12</f>
        <v>0</v>
      </c>
      <c r="EB32" s="21">
        <f>EXP(-LN(2)/25)*EB31+(1-EXP(-LN(2)/25))/(LN(2)/25)*Calculateur!DW32*Calculateur!DY32*VLOOKUP('Données projet'!$B$14,Paramètres!$A$1:$I$89,3,0)*0.475*44/12</f>
        <v>7.4142092949053291</v>
      </c>
      <c r="EC32" s="21">
        <f>EXP(-LN(2)/2)*EC31+(1-EXP(-LN(2)/2))/(LN(2)/2)*DW32*DZ32*VLOOKUP('Données projet'!$B$14,Paramètres!$A$1:$I$89,3,0)*0.475*44/12</f>
        <v>1.9404812637527866</v>
      </c>
      <c r="ED32" s="22">
        <f t="shared" si="18"/>
        <v>9.3546905586581151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45">
      <c r="A33" s="10">
        <f t="shared" si="31"/>
        <v>30</v>
      </c>
      <c r="B33" s="73">
        <f>'Scénario référence'!$B$16*5+'Scénario référence'!$B$17*0+'Scénario référence'!$B$18*5</f>
        <v>5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1">
        <f t="shared" si="32"/>
        <v>0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18.333333333333332</v>
      </c>
      <c r="H33" s="67">
        <f t="shared" si="1"/>
        <v>183.33333333333334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 t="e">
        <f>VLOOKUP(A33,'Données projet'!$A$35:$I$55,2,0)</f>
        <v>#N/A</v>
      </c>
      <c r="L33" s="12" t="e">
        <f>VLOOKUP(A33,'Données projet'!$A$35:$I$55,9,0)</f>
        <v>#N/A</v>
      </c>
      <c r="M33" s="12">
        <f t="array" ref="M33">INDEX(L:L,MIN(IF(ISNUMBER(L33:L229),ROW(L33:L229),"")))</f>
        <v>4.0942857142857143</v>
      </c>
      <c r="N33" s="13">
        <f>IF('Données projet'!$A$36&gt;35,N32+M33-V32,IF(A33&lt;'Données projet'!$A$36,$K$205^A33,IF(A33='Données projet'!$A$36,'Données projet'!$B$36,N32+M33-V32)))</f>
        <v>122.82857142857151</v>
      </c>
      <c r="O33" s="13">
        <f>N33*VLOOKUP('Données projet'!$B$9,Paramètres!$A$1:$I$89,3,0)*VLOOKUP('Données projet'!$B$9,Paramètres!$A$1:$I$89,5,0)</f>
        <v>111.13529142857149</v>
      </c>
      <c r="P33" s="13">
        <f t="shared" si="33"/>
        <v>29.598308031859261</v>
      </c>
      <c r="Q33" s="20">
        <f t="shared" si="2"/>
        <v>245.11101906025024</v>
      </c>
      <c r="R33" s="59">
        <f t="shared" si="0"/>
        <v>484.21844399329223</v>
      </c>
      <c r="S33" s="59">
        <f ca="1">AVERAGE(OFFSET($R$3,0,0,'Données projet'!$E$9+1,1))-AVERAGE(OFFSET($H$3,0,0,'Données projet'!$E$9+1,1))</f>
        <v>681.47578137804555</v>
      </c>
      <c r="T33" s="59">
        <f t="shared" si="34"/>
        <v>300.88511065995885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0</v>
      </c>
      <c r="AA33" s="21">
        <f>EXP(-LN(2)/25)*AA32+(1-EXP(-LN(2)/25))/(LN(2)/25)*Calculateur!V33*Calculateur!X33*VLOOKUP('Données projet'!$B$9,Paramètres!$A$1:$I$89,3,0)*0.475*44/12</f>
        <v>0</v>
      </c>
      <c r="AB33" s="21">
        <f>EXP(-LN(2)/2)*AB32+(1-EXP(-LN(2)/2))/(LN(2)/2)*V33*Y33*VLOOKUP('Données projet'!$B$9,Paramètres!$A$1:$I$89,3,0)*0.475*44/12</f>
        <v>0</v>
      </c>
      <c r="AC33" s="22">
        <f t="shared" si="3"/>
        <v>0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 t="e">
        <f>VLOOKUP(A33,'Données projet'!$A$61:$I$81,2,0)</f>
        <v>#N/A</v>
      </c>
      <c r="AG33" s="12" t="e">
        <f>VLOOKUP(A33,'Données projet'!$A$61:$I$81,9,0)</f>
        <v>#N/A</v>
      </c>
      <c r="AH33" s="12">
        <f t="array" ref="AH33">INDEX(AG:AG,MIN(IF(ISNUMBER(AG33:AG229),ROW(AG33:AG229),"")))</f>
        <v>6.4429411764705877</v>
      </c>
      <c r="AI33" s="13">
        <f>IF('Données projet'!$A$62&gt;35,AI32+AH33-AQ32,IF(A33&lt;'Données projet'!$A$62,$AF$205^A33,IF(A33='Données projet'!$A$62,'Données projet'!$B$62,AI32+AH33-AQ32)))</f>
        <v>193.28823529411756</v>
      </c>
      <c r="AJ33" s="13">
        <f>AI33*VLOOKUP('Données projet'!$B$10,Paramètres!$A$1:$I$89,3,0)*VLOOKUP('Données projet'!$B$10,Paramètres!$A$1:$I$89,5,0)</f>
        <v>90.45889411764702</v>
      </c>
      <c r="AK33" s="13">
        <f t="shared" si="35"/>
        <v>24.67586642434733</v>
      </c>
      <c r="AL33" s="20">
        <f t="shared" si="4"/>
        <v>200.52637461064015</v>
      </c>
      <c r="AM33" s="59">
        <f t="shared" si="5"/>
        <v>439.63379954368213</v>
      </c>
      <c r="AN33" s="59">
        <f ca="1">AVERAGE(OFFSET($AM$3,0,0,'Données projet'!$E$10+1,1))-AVERAGE(OFFSET($H$3,0,0,'Données projet'!$E$10+1,1))</f>
        <v>325.45940224919184</v>
      </c>
      <c r="AO33" s="59">
        <f t="shared" si="36"/>
        <v>256.30046621034876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0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0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3.3603333333333336</v>
      </c>
      <c r="BD33" s="12">
        <f>IF('Données projet'!$A$88&gt;35,BD32+BC33-BL32,IF(A33&lt;'Données projet'!$A$88,$BA$205^A33,IF(A33='Données projet'!$A$88,'Données projet'!$B$88,BD32+BC33-BL32)))</f>
        <v>100.81</v>
      </c>
      <c r="BE33" s="13">
        <f>BD33*VLOOKUP('Données projet'!$B$11,Paramètres!$A$1:$I$89,3,0)*VLOOKUP('Données projet'!$B$11,Paramètres!$A$1:$I$89,5,0)</f>
        <v>102.22134</v>
      </c>
      <c r="BF33" s="13">
        <f t="shared" si="37"/>
        <v>27.490522596837476</v>
      </c>
      <c r="BG33" s="20">
        <f t="shared" si="7"/>
        <v>225.91482735615861</v>
      </c>
      <c r="BH33" s="59">
        <f t="shared" si="8"/>
        <v>465.02225228920059</v>
      </c>
      <c r="BI33" s="59">
        <f ca="1">AVERAGE(OFFSET($BH$3,0,0,'Données projet'!$E$11+1,1))-AVERAGE(OFFSET($H$3,0,0,'Données projet'!$E$11+1,1))</f>
        <v>580.02848304986492</v>
      </c>
      <c r="BJ33" s="59">
        <f t="shared" si="38"/>
        <v>281.68891895586728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0</v>
      </c>
      <c r="BQ33" s="21">
        <f>EXP(-LN(2)/25)*BQ32+(1-EXP(-LN(2)/25))/(LN(2)/25)*Calculateur!BL33*Calculateur!BN33*VLOOKUP('Données projet'!$B$11,Paramètres!$A$1:$I$89,3,0)*0.475*44/12</f>
        <v>0</v>
      </c>
      <c r="BR33" s="21">
        <f>EXP(-LN(2)/2)*BR32+(1-EXP(-LN(2)/2))/(LN(2)/2)*BL33*BO33*VLOOKUP('Données projet'!$B$11,Paramètres!$A$1:$I$89,3,0)*0.475*44/12</f>
        <v>0</v>
      </c>
      <c r="BS33" s="22">
        <f t="shared" si="9"/>
        <v>0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>
        <f>VLOOKUP(A33,'Données projet'!$A$113:$I$133,2,0)</f>
        <v>177</v>
      </c>
      <c r="BW33" s="12">
        <f>VLOOKUP(A33,'Données projet'!$A$113:$I$133,9,0)</f>
        <v>14.2</v>
      </c>
      <c r="BX33" s="12">
        <f t="array" ref="BX33">INDEX(BW:BW,MIN(IF(ISNUMBER(BW33:BW229),ROW(BW33:BW229),"")))</f>
        <v>14.2</v>
      </c>
      <c r="BY33" s="12">
        <f>IF('Données projet'!$A$114&gt;35,BY32+BX33-CG32,IF(A33&lt;'Données projet'!$A$114,$BV$205^A33,IF(A33='Données projet'!$A$114,'Données projet'!$B$114,BY32+BX33-CG32)))</f>
        <v>176.99999999999991</v>
      </c>
      <c r="BZ33" s="13">
        <f>BY33*VLOOKUP('Données projet'!$B$12,Paramètres!$A$1:$I$89,3,0)*VLOOKUP('Données projet'!$B$12,Paramètres!$A$1:$I$89,5,0)</f>
        <v>168.43319999999991</v>
      </c>
      <c r="CA33" s="13">
        <f t="shared" si="39"/>
        <v>42.738923628977389</v>
      </c>
      <c r="CB33" s="20">
        <f t="shared" si="10"/>
        <v>367.79144865380209</v>
      </c>
      <c r="CC33" s="59">
        <f t="shared" si="11"/>
        <v>606.89887358684405</v>
      </c>
      <c r="CD33" s="59">
        <f ca="1">AVERAGE(OFFSET($CC$3,0,0,'Données projet'!$E$12+1,1))-AVERAGE(OFFSET($H$3,0,0,'Données projet'!$E$12+1,1))</f>
        <v>439.15394290667945</v>
      </c>
      <c r="CE33" s="59">
        <f t="shared" si="40"/>
        <v>423.56554025351068</v>
      </c>
      <c r="CF33" s="15">
        <f>IF(ISNA(VLOOKUP(A33,'Données projet'!$A$113:$I$133,3,0)),0,VLOOKUP(A33,'Données projet'!$A$113:$I$133,3,0))</f>
        <v>4</v>
      </c>
      <c r="CG33" s="15">
        <f>IF(ISNA(VLOOKUP(A33,'Données projet'!$A$113:$I$133,4,0)),0,VLOOKUP(A33,'Données projet'!$A$113:$I$133,4,0))</f>
        <v>35</v>
      </c>
      <c r="CH33" s="16">
        <f>IF(ISNA(VLOOKUP(A33,'Données projet'!$A$113:$I$133,5,0)),0%,VLOOKUP(A33,'Données projet'!$A$113:$I$133,5,0)*VLOOKUP('Données projet'!$B$12,Paramètres!$A$1:$I$89,7,0))</f>
        <v>0.1075</v>
      </c>
      <c r="CI33" s="16">
        <f>IF(ISNA(VLOOKUP(A33,'Données projet'!$A$113:$I$133,6,0)),0%,VLOOKUP(A33,'Données projet'!$A$113:$I$133,6,0)*VLOOKUP('Données projet'!$B$12,Paramètres!$A$1:$I$89,7,0))</f>
        <v>0.1075</v>
      </c>
      <c r="CJ33" s="16">
        <f>IF(ISNA(VLOOKUP(A33,'Données projet'!$A$113:$I$133,7,0)),0%,VLOOKUP(A33,'Données projet'!$A$113:$I$133,7,0))</f>
        <v>0.25</v>
      </c>
      <c r="CK33" s="21">
        <f>EXP(-LN(2)/35)*CK32+(1-EXP(-LN(2)/35))/(LN(2)/35)*CG33*CH33*VLOOKUP('Données projet'!$B$12,Paramètres!$A$1:$I$89,3,0)*0.475*44/12</f>
        <v>3.9580206195278769</v>
      </c>
      <c r="CL33" s="21">
        <f>EXP(-LN(2)/25)*CL32+(1-EXP(-LN(2)/25))/(LN(2)/25)*Calculateur!CG33*Calculateur!CI33*VLOOKUP('Données projet'!$B$12,Paramètres!$A$1:$I$89,3,0)*0.475*44/12</f>
        <v>12.740426553469288</v>
      </c>
      <c r="CM33" s="21">
        <f>EXP(-LN(2)/2)*CM32+(1-EXP(-LN(2)/2))/(LN(2)/2)*CG33*CJ33*VLOOKUP('Données projet'!$B$12,Paramètres!$A$1:$I$89,3,0)*0.475*44/12</f>
        <v>9.5302723561071119</v>
      </c>
      <c r="CN33" s="22">
        <f t="shared" si="12"/>
        <v>26.228719529104275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>
        <f>VLOOKUP(A33,'Données projet'!$A$139:$I$159,2,0)</f>
        <v>177</v>
      </c>
      <c r="CR33" s="12">
        <f>VLOOKUP(A33,'Données projet'!$A$139:$I$159,9,0)</f>
        <v>14.2</v>
      </c>
      <c r="CS33" s="12">
        <f t="array" ref="CS33">INDEX(CR:CR,MIN(IF(ISNUMBER(CR33:CR229),ROW(CR33:CR229),"")))</f>
        <v>14.2</v>
      </c>
      <c r="CT33" s="12">
        <f>IF('Données projet'!$A$140&gt;35,CT32+CS33-DB32,IF(A33&lt;'Données projet'!$A$140,$CQ$205^A33,IF(A33='Données projet'!$A$140,'Données projet'!$B$140,CT32+CS33-DB32)))</f>
        <v>176.99999999999991</v>
      </c>
      <c r="CU33" s="17">
        <f>CT33*VLOOKUP('Données projet'!$B$13,Paramètres!$A$1:$I$89,3,0)*VLOOKUP('Données projet'!$B$13,Paramètres!$A$1:$I$89,5,0)</f>
        <v>154.62719999999996</v>
      </c>
      <c r="CV33" s="13">
        <f t="shared" si="41"/>
        <v>39.62826685000794</v>
      </c>
      <c r="CW33" s="20">
        <f t="shared" si="13"/>
        <v>338.32827143043039</v>
      </c>
      <c r="CX33" s="59">
        <f t="shared" si="14"/>
        <v>577.4356963634724</v>
      </c>
      <c r="CY33" s="59">
        <f ca="1">AVERAGE(OFFSET($CX$3,0,0,'Données projet'!$E$13+1,1))-AVERAGE(OFFSET($H$3,0,0,'Données projet'!$E$13+1,1))</f>
        <v>408.246209980743</v>
      </c>
      <c r="CZ33" s="59">
        <f t="shared" si="42"/>
        <v>394.10236303013903</v>
      </c>
      <c r="DA33" s="15">
        <f>IF(ISNA(VLOOKUP(A33,'Données projet'!$A$139:$I$159,3,0)),0,VLOOKUP(A33,'Données projet'!$A$139:$I$159,3,0))</f>
        <v>4</v>
      </c>
      <c r="DB33" s="15">
        <f>IF(ISNA(VLOOKUP(A33,'Données projet'!$A$139:$I$159,4,0)),0,VLOOKUP(A33,'Données projet'!$A$139:$I$159,4,0))</f>
        <v>35</v>
      </c>
      <c r="DC33" s="16">
        <f>IF(ISNA(VLOOKUP(A33,'Données projet'!$A$139:$I$159,5,0)),0%,VLOOKUP(A33,'Données projet'!$A$139:$I$159,5,0)*VLOOKUP('Données projet'!$B$13,Paramètres!$A$1:$I$89,7,0))</f>
        <v>0.13250000000000001</v>
      </c>
      <c r="DD33" s="16">
        <f>IF(ISNA(VLOOKUP(A33,'Données projet'!$A$139:$I$159,6,0)),0%,VLOOKUP(A33,'Données projet'!$A$139:$I$159,6,0)*VLOOKUP('Données projet'!$B$13,Paramètres!$A$1:$I$89,7,0))</f>
        <v>0.13250000000000001</v>
      </c>
      <c r="DE33" s="16">
        <f>IF(ISNA(VLOOKUP(A33,'Données projet'!$A$139:$I$159,7,0)),0%,VLOOKUP(A33,'Données projet'!$A$139:$I$159,7,0))</f>
        <v>0.25</v>
      </c>
      <c r="DF33" s="21">
        <f>EXP(-LN(2)/35)*DF32+(1-EXP(-LN(2)/35))/(LN(2)/35)*DB33*DC33*VLOOKUP('Données projet'!$B$13,Paramètres!$A$1:$I$89,3,0)*0.475*44/12</f>
        <v>4.4786142580094328</v>
      </c>
      <c r="DG33" s="21">
        <f>EXP(-LN(2)/25)*DG32+(1-EXP(-LN(2)/25))/(LN(2)/25)*Calculateur!DB33*Calculateur!DD33*VLOOKUP('Données projet'!$B$13,Paramètres!$A$1:$I$89,3,0)*0.475*44/12</f>
        <v>14.416159363590104</v>
      </c>
      <c r="DH33" s="21">
        <f>EXP(-LN(2)/2)*DH32+(1-EXP(-LN(2)/2))/(LN(2)/2)*DB33*DE33*VLOOKUP('Données projet'!$B$13,Paramètres!$A$1:$I$89,3,0)*0.475*44/12</f>
        <v>8.7491024908524295</v>
      </c>
      <c r="DI33" s="22">
        <f t="shared" si="15"/>
        <v>27.643876112451967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>
        <f>VLOOKUP(A33,'Données projet'!$A$165:$I$185,2,0)</f>
        <v>177</v>
      </c>
      <c r="DM33" s="12">
        <f>VLOOKUP(A33,'Données projet'!$A$165:$I$185,9,0)</f>
        <v>14.2</v>
      </c>
      <c r="DN33" s="12">
        <f t="array" ref="DN33">INDEX(DM:DM,MIN(IF(ISNUMBER(DM33:DM229),ROW(DM33:DM229),"")))</f>
        <v>14.2</v>
      </c>
      <c r="DO33" s="12">
        <f>IF('Données projet'!$A$166&gt;35,DO32+DN33-DW32,IF(A33&lt;'Données projet'!$A$166,$DL$205^A33,IF(A33='Données projet'!$A$166,'Données projet'!$B$166,DO32+DN33-DW32)))</f>
        <v>176.99999999999991</v>
      </c>
      <c r="DP33" s="17">
        <f>DO33*VLOOKUP('Données projet'!$B$14,Paramètres!$A$1:$I$89,3,0)*VLOOKUP('Données projet'!$B$14,Paramètres!$A$1:$I$89,5,0)</f>
        <v>138.05999999999995</v>
      </c>
      <c r="DQ33" s="13">
        <f t="shared" si="43"/>
        <v>35.85221845159689</v>
      </c>
      <c r="DR33" s="20">
        <f t="shared" si="16"/>
        <v>302.89711380319778</v>
      </c>
      <c r="DS33" s="59">
        <f t="shared" si="17"/>
        <v>542.00453873623974</v>
      </c>
      <c r="DT33" s="59">
        <f ca="1">AVERAGE(OFFSET($DS$3,0,0,'Données projet'!$E$14+1,1))-AVERAGE(OFFSET($H$3,0,0,'Données projet'!$E$14+1,1))</f>
        <v>371.07993287480366</v>
      </c>
      <c r="DU33" s="59">
        <f t="shared" si="44"/>
        <v>358.67120540290637</v>
      </c>
      <c r="DV33" s="15">
        <f>IF(ISNA(VLOOKUP(A33,'Données projet'!$A$165:$I$185,3,0)),0,VLOOKUP(A33,'Données projet'!$A$165:$I$185,3,0))</f>
        <v>4</v>
      </c>
      <c r="DW33" s="15">
        <f>IF(ISNA(VLOOKUP(A33,'Données projet'!$A$165:$I$185,4,0)),0,VLOOKUP(A33,'Données projet'!$A$165:$I$185,4,0))</f>
        <v>35</v>
      </c>
      <c r="DX33" s="16">
        <f>IF(ISNA(VLOOKUP(A33,'Données projet'!$A$165:$I$185,5,0)),0%,VLOOKUP(A33,'Données projet'!$A$165:$I$185,5,0)*VLOOKUP('Données projet'!$B$14,Paramètres!$A$1:$I$89,7,0))</f>
        <v>0.1075</v>
      </c>
      <c r="DY33" s="16">
        <f>IF(ISNA(VLOOKUP(A33,'Données projet'!$A$165:$I$185,6,0)),0%,VLOOKUP(A33,'Données projet'!$A$165:$I$185,6,0)*VLOOKUP('Données projet'!$B$14,Paramètres!$A$1:$I$89,7,0))</f>
        <v>0.1075</v>
      </c>
      <c r="DZ33" s="16">
        <f>IF(ISNA(VLOOKUP(A33,'Données projet'!$A$165:$I$185,7,0)),0%,VLOOKUP(A33,'Données projet'!$A$165:$I$185,7,0))</f>
        <v>0.25</v>
      </c>
      <c r="EA33" s="21">
        <f>EXP(-LN(2)/35)*EA32+(1-EXP(-LN(2)/35))/(LN(2)/35)*DW33*DX33*VLOOKUP('Données projet'!$B$14,Paramètres!$A$1:$I$89,3,0)*0.475*44/12</f>
        <v>3.2442791963343254</v>
      </c>
      <c r="EB33" s="21">
        <f>EXP(-LN(2)/25)*EB32+(1-EXP(-LN(2)/25))/(LN(2)/25)*Calculateur!DW33*Calculateur!DY33*VLOOKUP('Données projet'!$B$14,Paramètres!$A$1:$I$89,3,0)*0.475*44/12</f>
        <v>10.442972584810891</v>
      </c>
      <c r="EC33" s="21">
        <f>EXP(-LN(2)/2)*EC32+(1-EXP(-LN(2)/2))/(LN(2)/2)*DW33*DZ33*VLOOKUP('Données projet'!$B$14,Paramètres!$A$1:$I$89,3,0)*0.475*44/12</f>
        <v>7.8116986525468111</v>
      </c>
      <c r="ED33" s="22">
        <f t="shared" si="18"/>
        <v>21.498950433692027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45">
      <c r="A34" s="10">
        <f t="shared" si="31"/>
        <v>31</v>
      </c>
      <c r="B34" s="73">
        <f>'Scénario référence'!$B$16*5+'Scénario référence'!$B$17*0+'Scénario référence'!$B$18*5</f>
        <v>5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1">
        <f t="shared" si="32"/>
        <v>0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18.333333333333332</v>
      </c>
      <c r="H34" s="67">
        <f t="shared" si="1"/>
        <v>183.33333333333334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4.0942857142857143</v>
      </c>
      <c r="N34" s="13">
        <f>IF('Données projet'!$A$36&gt;35,N33+M34-V33,IF(A34&lt;'Données projet'!$A$36,$K$205^A34,IF(A34='Données projet'!$A$36,'Données projet'!$B$36,N33+M34-V33)))</f>
        <v>126.92285714285723</v>
      </c>
      <c r="O34" s="13">
        <f>N34*VLOOKUP('Données projet'!$B$9,Paramètres!$A$1:$I$89,3,0)*VLOOKUP('Données projet'!$B$9,Paramètres!$A$1:$I$89,5,0)</f>
        <v>114.83980114285721</v>
      </c>
      <c r="P34" s="13">
        <f t="shared" si="33"/>
        <v>30.468406249196239</v>
      </c>
      <c r="Q34" s="20">
        <f t="shared" si="2"/>
        <v>253.07846120782642</v>
      </c>
      <c r="R34" s="59">
        <f t="shared" si="0"/>
        <v>493.12658442064401</v>
      </c>
      <c r="S34" s="59">
        <f ca="1">AVERAGE(OFFSET($R$3,0,0,'Données projet'!$E$9+1,1))-AVERAGE(OFFSET($H$3,0,0,'Données projet'!$E$9+1,1))</f>
        <v>681.47578137804555</v>
      </c>
      <c r="T34" s="59">
        <f t="shared" si="34"/>
        <v>300.88511065995885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0</v>
      </c>
      <c r="AA34" s="21">
        <f>EXP(-LN(2)/25)*AA33+(1-EXP(-LN(2)/25))/(LN(2)/25)*Calculateur!V34*Calculateur!X34*VLOOKUP('Données projet'!$B$9,Paramètres!$A$1:$I$89,3,0)*0.475*44/12</f>
        <v>0</v>
      </c>
      <c r="AB34" s="21">
        <f>EXP(-LN(2)/2)*AB33+(1-EXP(-LN(2)/2))/(LN(2)/2)*V34*Y34*VLOOKUP('Données projet'!$B$9,Paramètres!$A$1:$I$89,3,0)*0.475*44/12</f>
        <v>0</v>
      </c>
      <c r="AC34" s="22">
        <f t="shared" si="3"/>
        <v>0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6.4429411764705877</v>
      </c>
      <c r="AI34" s="13">
        <f>IF('Données projet'!$A$62&gt;35,AI33+AH34-AQ33,IF(A34&lt;'Données projet'!$A$62,$AF$205^A34,IF(A34='Données projet'!$A$62,'Données projet'!$B$62,AI33+AH34-AQ33)))</f>
        <v>199.73117647058814</v>
      </c>
      <c r="AJ34" s="13">
        <f>AI34*VLOOKUP('Données projet'!$B$10,Paramètres!$A$1:$I$89,3,0)*VLOOKUP('Données projet'!$B$10,Paramètres!$A$1:$I$89,5,0)</f>
        <v>93.47419058823526</v>
      </c>
      <c r="AK34" s="13">
        <f t="shared" si="35"/>
        <v>25.401260165231442</v>
      </c>
      <c r="AL34" s="20">
        <f t="shared" si="4"/>
        <v>207.04141006228784</v>
      </c>
      <c r="AM34" s="59">
        <f t="shared" si="5"/>
        <v>447.0895332751054</v>
      </c>
      <c r="AN34" s="59">
        <f ca="1">AVERAGE(OFFSET($AM$3,0,0,'Données projet'!$E$10+1,1))-AVERAGE(OFFSET($H$3,0,0,'Données projet'!$E$10+1,1))</f>
        <v>325.45940224919184</v>
      </c>
      <c r="AO34" s="59">
        <f t="shared" si="36"/>
        <v>256.30046621034876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0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0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3.3603333333333336</v>
      </c>
      <c r="BD34" s="12">
        <f>IF('Données projet'!$A$88&gt;35,BD33+BC34-BL33,IF(A34&lt;'Données projet'!$A$88,$BA$205^A34,IF(A34='Données projet'!$A$88,'Données projet'!$B$88,BD33+BC34-BL33)))</f>
        <v>104.17033333333333</v>
      </c>
      <c r="BE34" s="13">
        <f>BD34*VLOOKUP('Données projet'!$B$11,Paramètres!$A$1:$I$89,3,0)*VLOOKUP('Données projet'!$B$11,Paramètres!$A$1:$I$89,5,0)</f>
        <v>105.62871800000001</v>
      </c>
      <c r="BF34" s="13">
        <f t="shared" si="37"/>
        <v>28.298658476747377</v>
      </c>
      <c r="BG34" s="20">
        <f t="shared" si="7"/>
        <v>233.25684736366836</v>
      </c>
      <c r="BH34" s="59">
        <f t="shared" si="8"/>
        <v>473.30497057648591</v>
      </c>
      <c r="BI34" s="59">
        <f ca="1">AVERAGE(OFFSET($BH$3,0,0,'Données projet'!$E$11+1,1))-AVERAGE(OFFSET($H$3,0,0,'Données projet'!$E$11+1,1))</f>
        <v>580.02848304986492</v>
      </c>
      <c r="BJ34" s="59">
        <f t="shared" si="38"/>
        <v>281.68891895586728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0</v>
      </c>
      <c r="BQ34" s="21">
        <f>EXP(-LN(2)/25)*BQ33+(1-EXP(-LN(2)/25))/(LN(2)/25)*Calculateur!BL34*Calculateur!BN34*VLOOKUP('Données projet'!$B$11,Paramètres!$A$1:$I$89,3,0)*0.475*44/12</f>
        <v>0</v>
      </c>
      <c r="BR34" s="21">
        <f>EXP(-LN(2)/2)*BR33+(1-EXP(-LN(2)/2))/(LN(2)/2)*BL34*BO34*VLOOKUP('Données projet'!$B$11,Paramètres!$A$1:$I$89,3,0)*0.475*44/12</f>
        <v>0</v>
      </c>
      <c r="BS34" s="22">
        <f t="shared" si="9"/>
        <v>0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12.8</v>
      </c>
      <c r="BY34" s="12">
        <f>IF('Données projet'!$A$114&gt;35,BY33+BX34-CG33,IF(A34&lt;'Données projet'!$A$114,$BV$205^A34,IF(A34='Données projet'!$A$114,'Données projet'!$B$114,BY33+BX34-CG33)))</f>
        <v>154.79999999999993</v>
      </c>
      <c r="BZ34" s="13">
        <f>BY34*VLOOKUP('Données projet'!$B$12,Paramètres!$A$1:$I$89,3,0)*VLOOKUP('Données projet'!$B$12,Paramètres!$A$1:$I$89,5,0)</f>
        <v>147.30767999999995</v>
      </c>
      <c r="CA34" s="13">
        <f t="shared" si="39"/>
        <v>37.966102790040587</v>
      </c>
      <c r="CB34" s="20">
        <f t="shared" si="10"/>
        <v>322.68517169265391</v>
      </c>
      <c r="CC34" s="59">
        <f t="shared" si="11"/>
        <v>562.73329490547144</v>
      </c>
      <c r="CD34" s="59">
        <f ca="1">AVERAGE(OFFSET($CC$3,0,0,'Données projet'!$E$12+1,1))-AVERAGE(OFFSET($H$3,0,0,'Données projet'!$E$12+1,1))</f>
        <v>439.15394290667945</v>
      </c>
      <c r="CE34" s="59">
        <f t="shared" si="40"/>
        <v>423.56554025351068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3.8804062493331353</v>
      </c>
      <c r="CL34" s="21">
        <f>EXP(-LN(2)/25)*CL33+(1-EXP(-LN(2)/25))/(LN(2)/25)*Calculateur!CG34*Calculateur!CI34*VLOOKUP('Données projet'!$B$12,Paramètres!$A$1:$I$89,3,0)*0.475*44/12</f>
        <v>12.392038919374755</v>
      </c>
      <c r="CM34" s="21">
        <f>EXP(-LN(2)/2)*CM33+(1-EXP(-LN(2)/2))/(LN(2)/2)*CG34*CJ34*VLOOKUP('Données projet'!$B$12,Paramètres!$A$1:$I$89,3,0)*0.475*44/12</f>
        <v>6.7389202095580352</v>
      </c>
      <c r="CN34" s="22">
        <f t="shared" si="12"/>
        <v>23.011365378265925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12.8</v>
      </c>
      <c r="CT34" s="12">
        <f>IF('Données projet'!$A$140&gt;35,CT33+CS34-DB33,IF(A34&lt;'Données projet'!$A$140,$CQ$205^A34,IF(A34='Données projet'!$A$140,'Données projet'!$B$140,CT33+CS34-DB33)))</f>
        <v>154.79999999999993</v>
      </c>
      <c r="CU34" s="17">
        <f>CT34*VLOOKUP('Données projet'!$B$13,Paramètres!$A$1:$I$89,3,0)*VLOOKUP('Données projet'!$B$13,Paramètres!$A$1:$I$89,5,0)</f>
        <v>135.23327999999995</v>
      </c>
      <c r="CV34" s="13">
        <f t="shared" si="41"/>
        <v>35.202825080004438</v>
      </c>
      <c r="CW34" s="20">
        <f t="shared" si="13"/>
        <v>296.842883014341</v>
      </c>
      <c r="CX34" s="59">
        <f t="shared" si="14"/>
        <v>536.89100622715853</v>
      </c>
      <c r="CY34" s="59">
        <f ca="1">AVERAGE(OFFSET($CX$3,0,0,'Données projet'!$E$13+1,1))-AVERAGE(OFFSET($H$3,0,0,'Données projet'!$E$13+1,1))</f>
        <v>408.246209980743</v>
      </c>
      <c r="CZ34" s="59">
        <f t="shared" si="42"/>
        <v>394.10236303013903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>
        <f>EXP(-LN(2)/35)*DF33+(1-EXP(-LN(2)/35))/(LN(2)/35)*DB34*DC34*VLOOKUP('Données projet'!$B$13,Paramètres!$A$1:$I$89,3,0)*0.475*44/12</f>
        <v>4.3907913640948335</v>
      </c>
      <c r="DG34" s="21">
        <f>EXP(-LN(2)/25)*DG33+(1-EXP(-LN(2)/25))/(LN(2)/25)*Calculateur!DB34*Calculateur!DD34*VLOOKUP('Données projet'!$B$13,Paramètres!$A$1:$I$89,3,0)*0.475*44/12</f>
        <v>14.02194872767986</v>
      </c>
      <c r="DH34" s="21">
        <f>EXP(-LN(2)/2)*DH33+(1-EXP(-LN(2)/2))/(LN(2)/2)*DB34*DE34*VLOOKUP('Données projet'!$B$13,Paramètres!$A$1:$I$89,3,0)*0.475*44/12</f>
        <v>6.1865497005778671</v>
      </c>
      <c r="DI34" s="22">
        <f t="shared" si="15"/>
        <v>24.599289792352561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12.8</v>
      </c>
      <c r="DO34" s="12">
        <f>IF('Données projet'!$A$166&gt;35,DO33+DN34-DW33,IF(A34&lt;'Données projet'!$A$166,$DL$205^A34,IF(A34='Données projet'!$A$166,'Données projet'!$B$166,DO33+DN34-DW33)))</f>
        <v>154.79999999999993</v>
      </c>
      <c r="DP34" s="17">
        <f>DO34*VLOOKUP('Données projet'!$B$14,Paramètres!$A$1:$I$89,3,0)*VLOOKUP('Données projet'!$B$14,Paramètres!$A$1:$I$89,5,0)</f>
        <v>120.74399999999994</v>
      </c>
      <c r="DQ34" s="13">
        <f t="shared" si="43"/>
        <v>31.848462605207807</v>
      </c>
      <c r="DR34" s="20">
        <f t="shared" si="16"/>
        <v>265.76520570407013</v>
      </c>
      <c r="DS34" s="59">
        <f t="shared" si="17"/>
        <v>505.81332891688771</v>
      </c>
      <c r="DT34" s="59">
        <f ca="1">AVERAGE(OFFSET($DS$3,0,0,'Données projet'!$E$14+1,1))-AVERAGE(OFFSET($H$3,0,0,'Données projet'!$E$14+1,1))</f>
        <v>371.07993287480366</v>
      </c>
      <c r="DU34" s="59">
        <f t="shared" si="44"/>
        <v>358.67120540290637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>
        <f>EXP(-LN(2)/35)*EA33+(1-EXP(-LN(2)/35))/(LN(2)/35)*DW34*DX34*VLOOKUP('Données projet'!$B$14,Paramètres!$A$1:$I$89,3,0)*0.475*44/12</f>
        <v>3.1806608601091271</v>
      </c>
      <c r="EB34" s="21">
        <f>EXP(-LN(2)/25)*EB33+(1-EXP(-LN(2)/25))/(LN(2)/25)*Calculateur!DW34*Calculateur!DY34*VLOOKUP('Données projet'!$B$14,Paramètres!$A$1:$I$89,3,0)*0.475*44/12</f>
        <v>10.157408950307175</v>
      </c>
      <c r="EC34" s="21">
        <f>EXP(-LN(2)/2)*EC33+(1-EXP(-LN(2)/2))/(LN(2)/2)*DW34*DZ34*VLOOKUP('Données projet'!$B$14,Paramètres!$A$1:$I$89,3,0)*0.475*44/12</f>
        <v>5.5237050898016662</v>
      </c>
      <c r="ED34" s="22">
        <f t="shared" si="18"/>
        <v>18.861774900217966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45">
      <c r="A35" s="10">
        <f t="shared" si="31"/>
        <v>32</v>
      </c>
      <c r="B35" s="73">
        <f>'Scénario référence'!$B$16*5+'Scénario référence'!$B$17*0+'Scénario référence'!$B$18*5</f>
        <v>5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1">
        <f t="shared" si="32"/>
        <v>0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18.333333333333332</v>
      </c>
      <c r="H35" s="67">
        <f t="shared" si="1"/>
        <v>183.33333333333334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4.0942857142857143</v>
      </c>
      <c r="N35" s="13">
        <f>IF('Données projet'!$A$36&gt;35,N34+M35-V34,IF(A35&lt;'Données projet'!$A$36,$K$205^A35,IF(A35='Données projet'!$A$36,'Données projet'!$B$36,N34+M35-V34)))</f>
        <v>131.01714285714294</v>
      </c>
      <c r="O35" s="13">
        <f>N35*VLOOKUP('Données projet'!$B$9,Paramètres!$A$1:$I$89,3,0)*VLOOKUP('Données projet'!$B$9,Paramètres!$A$1:$I$89,5,0)</f>
        <v>118.54431085714293</v>
      </c>
      <c r="P35" s="13">
        <f t="shared" si="33"/>
        <v>31.335242916471387</v>
      </c>
      <c r="Q35" s="20">
        <f t="shared" ref="Q35:Q66" si="53">(O35+P35)*0.475*44/12</f>
        <v>261.04022282237821</v>
      </c>
      <c r="R35" s="59">
        <f t="shared" si="0"/>
        <v>502.0127253029035</v>
      </c>
      <c r="S35" s="59">
        <f ca="1">AVERAGE(OFFSET($R$3,0,0,'Données projet'!$E$9+1,1))-AVERAGE(OFFSET($H$3,0,0,'Données projet'!$E$9+1,1))</f>
        <v>681.47578137804555</v>
      </c>
      <c r="T35" s="59">
        <f t="shared" si="34"/>
        <v>300.88511065995885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0</v>
      </c>
      <c r="AA35" s="21">
        <f>EXP(-LN(2)/25)*AA34+(1-EXP(-LN(2)/25))/(LN(2)/25)*Calculateur!V35*Calculateur!X35*VLOOKUP('Données projet'!$B$9,Paramètres!$A$1:$I$89,3,0)*0.475*44/12</f>
        <v>0</v>
      </c>
      <c r="AB35" s="21">
        <f>EXP(-LN(2)/2)*AB34+(1-EXP(-LN(2)/2))/(LN(2)/2)*V35*Y35*VLOOKUP('Données projet'!$B$9,Paramètres!$A$1:$I$89,3,0)*0.475*44/12</f>
        <v>0</v>
      </c>
      <c r="AC35" s="22">
        <f t="shared" si="3"/>
        <v>0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6.4429411764705877</v>
      </c>
      <c r="AI35" s="13">
        <f>IF('Données projet'!$A$62&gt;35,AI34+AH35-AQ34,IF(A35&lt;'Données projet'!$A$62,$AF$205^A35,IF(A35='Données projet'!$A$62,'Données projet'!$B$62,AI34+AH35-AQ34)))</f>
        <v>206.17411764705872</v>
      </c>
      <c r="AJ35" s="13">
        <f>AI35*VLOOKUP('Données projet'!$B$10,Paramètres!$A$1:$I$89,3,0)*VLOOKUP('Données projet'!$B$10,Paramètres!$A$1:$I$89,5,0)</f>
        <v>96.489487058823485</v>
      </c>
      <c r="AK35" s="13">
        <f t="shared" si="35"/>
        <v>26.123934778604053</v>
      </c>
      <c r="AL35" s="20">
        <f t="shared" si="4"/>
        <v>213.55170970018628</v>
      </c>
      <c r="AM35" s="59">
        <f t="shared" si="5"/>
        <v>454.52421218071163</v>
      </c>
      <c r="AN35" s="59">
        <f ca="1">AVERAGE(OFFSET($AM$3,0,0,'Données projet'!$E$10+1,1))-AVERAGE(OFFSET($H$3,0,0,'Données projet'!$E$10+1,1))</f>
        <v>325.45940224919184</v>
      </c>
      <c r="AO35" s="59">
        <f t="shared" si="36"/>
        <v>256.30046621034876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0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0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3.3603333333333336</v>
      </c>
      <c r="BD35" s="12">
        <f>IF('Données projet'!$A$88&gt;35,BD34+BC35-BL34,IF(A35&lt;'Données projet'!$A$88,$BA$205^A35,IF(A35='Données projet'!$A$88,'Données projet'!$B$88,BD34+BC35-BL34)))</f>
        <v>107.53066666666666</v>
      </c>
      <c r="BE35" s="13">
        <f>BD35*VLOOKUP('Données projet'!$B$11,Paramètres!$A$1:$I$89,3,0)*VLOOKUP('Données projet'!$B$11,Paramètres!$A$1:$I$89,5,0)</f>
        <v>109.036096</v>
      </c>
      <c r="BF35" s="13">
        <f t="shared" si="37"/>
        <v>29.103765071483942</v>
      </c>
      <c r="BG35" s="20">
        <f t="shared" si="7"/>
        <v>240.59359136616786</v>
      </c>
      <c r="BH35" s="59">
        <f t="shared" si="8"/>
        <v>481.56609384669321</v>
      </c>
      <c r="BI35" s="59">
        <f ca="1">AVERAGE(OFFSET($BH$3,0,0,'Données projet'!$E$11+1,1))-AVERAGE(OFFSET($H$3,0,0,'Données projet'!$E$11+1,1))</f>
        <v>580.02848304986492</v>
      </c>
      <c r="BJ35" s="59">
        <f t="shared" si="38"/>
        <v>281.68891895586728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0</v>
      </c>
      <c r="BQ35" s="21">
        <f>EXP(-LN(2)/25)*BQ34+(1-EXP(-LN(2)/25))/(LN(2)/25)*Calculateur!BL35*Calculateur!BN35*VLOOKUP('Données projet'!$B$11,Paramètres!$A$1:$I$89,3,0)*0.475*44/12</f>
        <v>0</v>
      </c>
      <c r="BR35" s="21">
        <f>EXP(-LN(2)/2)*BR34+(1-EXP(-LN(2)/2))/(LN(2)/2)*BL35*BO35*VLOOKUP('Données projet'!$B$11,Paramètres!$A$1:$I$89,3,0)*0.475*44/12</f>
        <v>0</v>
      </c>
      <c r="BS35" s="22">
        <f t="shared" si="9"/>
        <v>0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12.8</v>
      </c>
      <c r="BY35" s="12">
        <f>IF('Données projet'!$A$114&gt;35,BY34+BX35-CG34,IF(A35&lt;'Données projet'!$A$114,$BV$205^A35,IF(A35='Données projet'!$A$114,'Données projet'!$B$114,BY34+BX35-CG34)))</f>
        <v>167.59999999999994</v>
      </c>
      <c r="BZ35" s="13">
        <f>BY35*VLOOKUP('Données projet'!$B$12,Paramètres!$A$1:$I$89,3,0)*VLOOKUP('Données projet'!$B$12,Paramètres!$A$1:$I$89,5,0)</f>
        <v>159.48815999999994</v>
      </c>
      <c r="CA35" s="13">
        <f t="shared" si="39"/>
        <v>40.727046946229315</v>
      </c>
      <c r="CB35" s="20">
        <f t="shared" si="10"/>
        <v>348.70815209801594</v>
      </c>
      <c r="CC35" s="59">
        <f t="shared" si="11"/>
        <v>589.68065457854129</v>
      </c>
      <c r="CD35" s="59">
        <f ca="1">AVERAGE(OFFSET($CC$3,0,0,'Données projet'!$E$12+1,1))-AVERAGE(OFFSET($H$3,0,0,'Données projet'!$E$12+1,1))</f>
        <v>439.15394290667945</v>
      </c>
      <c r="CE35" s="59">
        <f t="shared" si="40"/>
        <v>423.56554025351068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3.804313849597821</v>
      </c>
      <c r="CL35" s="21">
        <f>EXP(-LN(2)/25)*CL34+(1-EXP(-LN(2)/25))/(LN(2)/25)*Calculateur!CG35*Calculateur!CI35*VLOOKUP('Données projet'!$B$12,Paramètres!$A$1:$I$89,3,0)*0.475*44/12</f>
        <v>12.053177963455449</v>
      </c>
      <c r="CM35" s="21">
        <f>EXP(-LN(2)/2)*CM34+(1-EXP(-LN(2)/2))/(LN(2)/2)*CG35*CJ35*VLOOKUP('Données projet'!$B$12,Paramètres!$A$1:$I$89,3,0)*0.475*44/12</f>
        <v>4.7651361780535568</v>
      </c>
      <c r="CN35" s="22">
        <f t="shared" si="12"/>
        <v>20.622627991106825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12.8</v>
      </c>
      <c r="CT35" s="12">
        <f>IF('Données projet'!$A$140&gt;35,CT34+CS35-DB34,IF(A35&lt;'Données projet'!$A$140,$CQ$205^A35,IF(A35='Données projet'!$A$140,'Données projet'!$B$140,CT34+CS35-DB34)))</f>
        <v>167.59999999999994</v>
      </c>
      <c r="CU35" s="17">
        <f>CT35*VLOOKUP('Données projet'!$B$13,Paramètres!$A$1:$I$89,3,0)*VLOOKUP('Données projet'!$B$13,Paramètres!$A$1:$I$89,5,0)</f>
        <v>146.41535999999996</v>
      </c>
      <c r="CV35" s="13">
        <f t="shared" si="41"/>
        <v>37.762820103024467</v>
      </c>
      <c r="CW35" s="20">
        <f t="shared" si="13"/>
        <v>320.77699701276748</v>
      </c>
      <c r="CX35" s="59">
        <f t="shared" si="14"/>
        <v>561.74949949329277</v>
      </c>
      <c r="CY35" s="59">
        <f ca="1">AVERAGE(OFFSET($CX$3,0,0,'Données projet'!$E$13+1,1))-AVERAGE(OFFSET($H$3,0,0,'Données projet'!$E$13+1,1))</f>
        <v>408.246209980743</v>
      </c>
      <c r="CZ35" s="59">
        <f t="shared" si="42"/>
        <v>394.10236303013903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>
        <f>EXP(-LN(2)/35)*DF34+(1-EXP(-LN(2)/35))/(LN(2)/35)*DB35*DC35*VLOOKUP('Données projet'!$B$13,Paramètres!$A$1:$I$89,3,0)*0.475*44/12</f>
        <v>4.3046906235632241</v>
      </c>
      <c r="DG35" s="21">
        <f>EXP(-LN(2)/25)*DG34+(1-EXP(-LN(2)/25))/(LN(2)/25)*Calculateur!DB35*Calculateur!DD35*VLOOKUP('Données projet'!$B$13,Paramètres!$A$1:$I$89,3,0)*0.475*44/12</f>
        <v>13.638517802339218</v>
      </c>
      <c r="DH35" s="21">
        <f>EXP(-LN(2)/2)*DH34+(1-EXP(-LN(2)/2))/(LN(2)/2)*DB35*DE35*VLOOKUP('Données projet'!$B$13,Paramètres!$A$1:$I$89,3,0)*0.475*44/12</f>
        <v>4.3745512454262157</v>
      </c>
      <c r="DI35" s="22">
        <f t="shared" si="15"/>
        <v>22.317759671328655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12.8</v>
      </c>
      <c r="DO35" s="12">
        <f>IF('Données projet'!$A$166&gt;35,DO34+DN35-DW34,IF(A35&lt;'Données projet'!$A$166,$DL$205^A35,IF(A35='Données projet'!$A$166,'Données projet'!$B$166,DO34+DN35-DW34)))</f>
        <v>167.59999999999994</v>
      </c>
      <c r="DP35" s="17">
        <f>DO35*VLOOKUP('Données projet'!$B$14,Paramètres!$A$1:$I$89,3,0)*VLOOKUP('Données projet'!$B$14,Paramètres!$A$1:$I$89,5,0)</f>
        <v>130.72799999999995</v>
      </c>
      <c r="DQ35" s="13">
        <f t="shared" si="43"/>
        <v>34.164524045585857</v>
      </c>
      <c r="DR35" s="20">
        <f t="shared" si="16"/>
        <v>287.1878127127286</v>
      </c>
      <c r="DS35" s="59">
        <f t="shared" si="17"/>
        <v>528.16031519325395</v>
      </c>
      <c r="DT35" s="59">
        <f ca="1">AVERAGE(OFFSET($DS$3,0,0,'Données projet'!$E$14+1,1))-AVERAGE(OFFSET($H$3,0,0,'Données projet'!$E$14+1,1))</f>
        <v>371.07993287480366</v>
      </c>
      <c r="DU35" s="59">
        <f t="shared" si="44"/>
        <v>358.67120540290637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>
        <f>EXP(-LN(2)/35)*EA34+(1-EXP(-LN(2)/35))/(LN(2)/35)*DW35*DX35*VLOOKUP('Données projet'!$B$14,Paramètres!$A$1:$I$89,3,0)*0.475*44/12</f>
        <v>3.1182900406539513</v>
      </c>
      <c r="EB35" s="21">
        <f>EXP(-LN(2)/25)*EB34+(1-EXP(-LN(2)/25))/(LN(2)/25)*Calculateur!DW35*Calculateur!DY35*VLOOKUP('Données projet'!$B$14,Paramètres!$A$1:$I$89,3,0)*0.475*44/12</f>
        <v>9.8796540684061043</v>
      </c>
      <c r="EC35" s="21">
        <f>EXP(-LN(2)/2)*EC34+(1-EXP(-LN(2)/2))/(LN(2)/2)*DW35*DZ35*VLOOKUP('Données projet'!$B$14,Paramètres!$A$1:$I$89,3,0)*0.475*44/12</f>
        <v>3.905849326273406</v>
      </c>
      <c r="ED35" s="22">
        <f t="shared" si="18"/>
        <v>16.903793435333462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45">
      <c r="A36" s="10">
        <f t="shared" si="31"/>
        <v>33</v>
      </c>
      <c r="B36" s="73">
        <f>'Scénario référence'!$B$16*5+'Scénario référence'!$B$17*0+'Scénario référence'!$B$18*5</f>
        <v>5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1">
        <f t="shared" si="32"/>
        <v>0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18.333333333333332</v>
      </c>
      <c r="H36" s="67">
        <f t="shared" si="1"/>
        <v>183.33333333333334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4.0942857142857143</v>
      </c>
      <c r="N36" s="13">
        <f>IF('Données projet'!$A$36&gt;35,N35+M36-V35,IF(A36&lt;'Données projet'!$A$36,$K$205^A36,IF(A36='Données projet'!$A$36,'Données projet'!$B$36,N35+M36-V35)))</f>
        <v>135.11142857142866</v>
      </c>
      <c r="O36" s="13">
        <f>N36*VLOOKUP('Données projet'!$B$9,Paramètres!$A$1:$I$89,3,0)*VLOOKUP('Données projet'!$B$9,Paramètres!$A$1:$I$89,5,0)</f>
        <v>122.24882057142865</v>
      </c>
      <c r="P36" s="13">
        <f t="shared" si="33"/>
        <v>32.198931651835657</v>
      </c>
      <c r="Q36" s="20">
        <f t="shared" si="53"/>
        <v>268.99650178885196</v>
      </c>
      <c r="R36" s="59">
        <f t="shared" si="0"/>
        <v>510.87734762339267</v>
      </c>
      <c r="S36" s="59">
        <f ca="1">AVERAGE(OFFSET($R$3,0,0,'Données projet'!$E$9+1,1))-AVERAGE(OFFSET($H$3,0,0,'Données projet'!$E$9+1,1))</f>
        <v>681.47578137804555</v>
      </c>
      <c r="T36" s="59">
        <f t="shared" si="34"/>
        <v>300.88511065995885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0</v>
      </c>
      <c r="AA36" s="21">
        <f>EXP(-LN(2)/25)*AA35+(1-EXP(-LN(2)/25))/(LN(2)/25)*Calculateur!V36*Calculateur!X36*VLOOKUP('Données projet'!$B$9,Paramètres!$A$1:$I$89,3,0)*0.475*44/12</f>
        <v>0</v>
      </c>
      <c r="AB36" s="21">
        <f>EXP(-LN(2)/2)*AB35+(1-EXP(-LN(2)/2))/(LN(2)/2)*V36*Y36*VLOOKUP('Données projet'!$B$9,Paramètres!$A$1:$I$89,3,0)*0.475*44/12</f>
        <v>0</v>
      </c>
      <c r="AC36" s="22">
        <f t="shared" si="3"/>
        <v>0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6.4429411764705877</v>
      </c>
      <c r="AI36" s="13">
        <f>IF('Données projet'!$A$62&gt;35,AI35+AH36-AQ35,IF(A36&lt;'Données projet'!$A$62,$AF$205^A36,IF(A36='Données projet'!$A$62,'Données projet'!$B$62,AI35+AH36-AQ35)))</f>
        <v>212.61705882352931</v>
      </c>
      <c r="AJ36" s="13">
        <f>AI36*VLOOKUP('Données projet'!$B$10,Paramètres!$A$1:$I$89,3,0)*VLOOKUP('Données projet'!$B$10,Paramètres!$A$1:$I$89,5,0)</f>
        <v>99.504783529411725</v>
      </c>
      <c r="AK36" s="13">
        <f t="shared" si="35"/>
        <v>26.84398498698495</v>
      </c>
      <c r="AL36" s="20">
        <f t="shared" si="4"/>
        <v>220.05743849939086</v>
      </c>
      <c r="AM36" s="59">
        <f t="shared" si="5"/>
        <v>461.93828433393162</v>
      </c>
      <c r="AN36" s="59">
        <f ca="1">AVERAGE(OFFSET($AM$3,0,0,'Données projet'!$E$10+1,1))-AVERAGE(OFFSET($H$3,0,0,'Données projet'!$E$10+1,1))</f>
        <v>325.45940224919184</v>
      </c>
      <c r="AO36" s="59">
        <f t="shared" si="36"/>
        <v>256.30046621034876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0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0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3.3603333333333336</v>
      </c>
      <c r="BD36" s="12">
        <f>IF('Données projet'!$A$88&gt;35,BD35+BC36-BL35,IF(A36&lt;'Données projet'!$A$88,$BA$205^A36,IF(A36='Données projet'!$A$88,'Données projet'!$B$88,BD35+BC36-BL35)))</f>
        <v>110.89099999999999</v>
      </c>
      <c r="BE36" s="13">
        <f>BD36*VLOOKUP('Données projet'!$B$11,Paramètres!$A$1:$I$89,3,0)*VLOOKUP('Données projet'!$B$11,Paramètres!$A$1:$I$89,5,0)</f>
        <v>112.44347399999999</v>
      </c>
      <c r="BF36" s="13">
        <f t="shared" si="37"/>
        <v>29.905947908104487</v>
      </c>
      <c r="BG36" s="20">
        <f t="shared" si="7"/>
        <v>247.92524315661532</v>
      </c>
      <c r="BH36" s="59">
        <f t="shared" si="8"/>
        <v>489.80608899115606</v>
      </c>
      <c r="BI36" s="59">
        <f ca="1">AVERAGE(OFFSET($BH$3,0,0,'Données projet'!$E$11+1,1))-AVERAGE(OFFSET($H$3,0,0,'Données projet'!$E$11+1,1))</f>
        <v>580.02848304986492</v>
      </c>
      <c r="BJ36" s="59">
        <f t="shared" si="38"/>
        <v>281.68891895586728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0</v>
      </c>
      <c r="BQ36" s="21">
        <f>EXP(-LN(2)/25)*BQ35+(1-EXP(-LN(2)/25))/(LN(2)/25)*Calculateur!BL36*Calculateur!BN36*VLOOKUP('Données projet'!$B$11,Paramètres!$A$1:$I$89,3,0)*0.475*44/12</f>
        <v>0</v>
      </c>
      <c r="BR36" s="21">
        <f>EXP(-LN(2)/2)*BR35+(1-EXP(-LN(2)/2))/(LN(2)/2)*BL36*BO36*VLOOKUP('Données projet'!$B$11,Paramètres!$A$1:$I$89,3,0)*0.475*44/12</f>
        <v>0</v>
      </c>
      <c r="BS36" s="22">
        <f t="shared" si="9"/>
        <v>0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12.8</v>
      </c>
      <c r="BY36" s="12">
        <f>IF('Données projet'!$A$114&gt;35,BY35+BX36-CG35,IF(A36&lt;'Données projet'!$A$114,$BV$205^A36,IF(A36='Données projet'!$A$114,'Données projet'!$B$114,BY35+BX36-CG35)))</f>
        <v>180.39999999999995</v>
      </c>
      <c r="BZ36" s="13">
        <f>BY36*VLOOKUP('Données projet'!$B$12,Paramètres!$A$1:$I$89,3,0)*VLOOKUP('Données projet'!$B$12,Paramètres!$A$1:$I$89,5,0)</f>
        <v>171.66863999999995</v>
      </c>
      <c r="CA36" s="13">
        <f t="shared" si="39"/>
        <v>43.463530720091818</v>
      </c>
      <c r="CB36" s="20">
        <f t="shared" si="10"/>
        <v>374.68853067082654</v>
      </c>
      <c r="CC36" s="59">
        <f t="shared" si="11"/>
        <v>616.56937650536725</v>
      </c>
      <c r="CD36" s="59">
        <f ca="1">AVERAGE(OFFSET($CC$3,0,0,'Données projet'!$E$12+1,1))-AVERAGE(OFFSET($H$3,0,0,'Données projet'!$E$12+1,1))</f>
        <v>439.15394290667945</v>
      </c>
      <c r="CE36" s="59">
        <f t="shared" si="40"/>
        <v>423.56554025351068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3.7297135754095354</v>
      </c>
      <c r="CL36" s="21">
        <f>EXP(-LN(2)/25)*CL35+(1-EXP(-LN(2)/25))/(LN(2)/25)*Calculateur!CG36*Calculateur!CI36*VLOOKUP('Données projet'!$B$12,Paramètres!$A$1:$I$89,3,0)*0.475*44/12</f>
        <v>11.723583178195678</v>
      </c>
      <c r="CM36" s="21">
        <f>EXP(-LN(2)/2)*CM35+(1-EXP(-LN(2)/2))/(LN(2)/2)*CG36*CJ36*VLOOKUP('Données projet'!$B$12,Paramètres!$A$1:$I$89,3,0)*0.475*44/12</f>
        <v>3.369460104779018</v>
      </c>
      <c r="CN36" s="22">
        <f t="shared" si="12"/>
        <v>18.822756858384231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12.8</v>
      </c>
      <c r="CT36" s="12">
        <f>IF('Données projet'!$A$140&gt;35,CT35+CS36-DB35,IF(A36&lt;'Données projet'!$A$140,$CQ$205^A36,IF(A36='Données projet'!$A$140,'Données projet'!$B$140,CT35+CS36-DB35)))</f>
        <v>180.39999999999995</v>
      </c>
      <c r="CU36" s="17">
        <f>CT36*VLOOKUP('Données projet'!$B$13,Paramètres!$A$1:$I$89,3,0)*VLOOKUP('Données projet'!$B$13,Paramètres!$A$1:$I$89,5,0)</f>
        <v>157.59743999999998</v>
      </c>
      <c r="CV36" s="13">
        <f t="shared" si="41"/>
        <v>40.300135037830529</v>
      </c>
      <c r="CW36" s="20">
        <f t="shared" si="13"/>
        <v>344.67160985755481</v>
      </c>
      <c r="CX36" s="59">
        <f t="shared" si="14"/>
        <v>586.55245569209558</v>
      </c>
      <c r="CY36" s="59">
        <f ca="1">AVERAGE(OFFSET($CX$3,0,0,'Données projet'!$E$13+1,1))-AVERAGE(OFFSET($H$3,0,0,'Données projet'!$E$13+1,1))</f>
        <v>408.246209980743</v>
      </c>
      <c r="CZ36" s="59">
        <f t="shared" si="42"/>
        <v>394.10236303013903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>
        <f>EXP(-LN(2)/35)*DF35+(1-EXP(-LN(2)/35))/(LN(2)/35)*DB36*DC36*VLOOKUP('Données projet'!$B$13,Paramètres!$A$1:$I$89,3,0)*0.475*44/12</f>
        <v>4.2202782660371732</v>
      </c>
      <c r="DG36" s="21">
        <f>EXP(-LN(2)/25)*DG35+(1-EXP(-LN(2)/25))/(LN(2)/25)*Calculateur!DB36*Calculateur!DD36*VLOOKUP('Données projet'!$B$13,Paramètres!$A$1:$I$89,3,0)*0.475*44/12</f>
        <v>13.265571815815772</v>
      </c>
      <c r="DH36" s="21">
        <f>EXP(-LN(2)/2)*DH35+(1-EXP(-LN(2)/2))/(LN(2)/2)*DB36*DE36*VLOOKUP('Données projet'!$B$13,Paramètres!$A$1:$I$89,3,0)*0.475*44/12</f>
        <v>3.0932748502889345</v>
      </c>
      <c r="DI36" s="22">
        <f t="shared" si="15"/>
        <v>20.57912493214188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12.8</v>
      </c>
      <c r="DO36" s="12">
        <f>IF('Données projet'!$A$166&gt;35,DO35+DN36-DW35,IF(A36&lt;'Données projet'!$A$166,$DL$205^A36,IF(A36='Données projet'!$A$166,'Données projet'!$B$166,DO35+DN36-DW35)))</f>
        <v>180.39999999999995</v>
      </c>
      <c r="DP36" s="17">
        <f>DO36*VLOOKUP('Données projet'!$B$14,Paramètres!$A$1:$I$89,3,0)*VLOOKUP('Données projet'!$B$14,Paramètres!$A$1:$I$89,5,0)</f>
        <v>140.71199999999996</v>
      </c>
      <c r="DQ36" s="13">
        <f t="shared" si="43"/>
        <v>36.46006650944075</v>
      </c>
      <c r="DR36" s="20">
        <f t="shared" si="16"/>
        <v>308.57468250394254</v>
      </c>
      <c r="DS36" s="59">
        <f t="shared" si="17"/>
        <v>550.4555283384833</v>
      </c>
      <c r="DT36" s="59">
        <f ca="1">AVERAGE(OFFSET($DS$3,0,0,'Données projet'!$E$14+1,1))-AVERAGE(OFFSET($H$3,0,0,'Données projet'!$E$14+1,1))</f>
        <v>371.07993287480366</v>
      </c>
      <c r="DU36" s="59">
        <f t="shared" si="44"/>
        <v>358.67120540290637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>
        <f>EXP(-LN(2)/35)*EA35+(1-EXP(-LN(2)/35))/(LN(2)/35)*DW36*DX36*VLOOKUP('Données projet'!$B$14,Paramètres!$A$1:$I$89,3,0)*0.475*44/12</f>
        <v>3.0571422749258481</v>
      </c>
      <c r="EB36" s="21">
        <f>EXP(-LN(2)/25)*EB35+(1-EXP(-LN(2)/25))/(LN(2)/25)*Calculateur!DW36*Calculateur!DY36*VLOOKUP('Données projet'!$B$14,Paramètres!$A$1:$I$89,3,0)*0.475*44/12</f>
        <v>9.6094944083571114</v>
      </c>
      <c r="EC36" s="21">
        <f>EXP(-LN(2)/2)*EC35+(1-EXP(-LN(2)/2))/(LN(2)/2)*DW36*DZ36*VLOOKUP('Données projet'!$B$14,Paramètres!$A$1:$I$89,3,0)*0.475*44/12</f>
        <v>2.7618525449008335</v>
      </c>
      <c r="ED36" s="22">
        <f t="shared" si="18"/>
        <v>15.428489228183793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45">
      <c r="A37" s="10">
        <f t="shared" si="31"/>
        <v>34</v>
      </c>
      <c r="B37" s="73">
        <f>'Scénario référence'!$B$16*5+'Scénario référence'!$B$17*0+'Scénario référence'!$B$18*5</f>
        <v>5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1">
        <f t="shared" si="32"/>
        <v>0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18.333333333333332</v>
      </c>
      <c r="H37" s="67">
        <f t="shared" si="1"/>
        <v>183.33333333333334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4.0942857142857143</v>
      </c>
      <c r="N37" s="13">
        <f>IF('Données projet'!$A$36&gt;35,N36+M37-V36,IF(A37&lt;'Données projet'!$A$36,$K$205^A37,IF(A37='Données projet'!$A$36,'Données projet'!$B$36,N36+M37-V36)))</f>
        <v>139.20571428571438</v>
      </c>
      <c r="O37" s="13">
        <f>N37*VLOOKUP('Données projet'!$B$9,Paramètres!$A$1:$I$89,3,0)*VLOOKUP('Données projet'!$B$9,Paramètres!$A$1:$I$89,5,0)</f>
        <v>125.95333028571436</v>
      </c>
      <c r="P37" s="13">
        <f t="shared" si="33"/>
        <v>33.059578796189285</v>
      </c>
      <c r="Q37" s="20">
        <f t="shared" si="53"/>
        <v>276.94748331764885</v>
      </c>
      <c r="R37" s="59">
        <f t="shared" si="0"/>
        <v>519.72091477976437</v>
      </c>
      <c r="S37" s="59">
        <f ca="1">AVERAGE(OFFSET($R$3,0,0,'Données projet'!$E$9+1,1))-AVERAGE(OFFSET($H$3,0,0,'Données projet'!$E$9+1,1))</f>
        <v>681.47578137804555</v>
      </c>
      <c r="T37" s="59">
        <f t="shared" si="34"/>
        <v>300.88511065995885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0</v>
      </c>
      <c r="AA37" s="21">
        <f>EXP(-LN(2)/25)*AA36+(1-EXP(-LN(2)/25))/(LN(2)/25)*Calculateur!V37*Calculateur!X37*VLOOKUP('Données projet'!$B$9,Paramètres!$A$1:$I$89,3,0)*0.475*44/12</f>
        <v>0</v>
      </c>
      <c r="AB37" s="21">
        <f>EXP(-LN(2)/2)*AB36+(1-EXP(-LN(2)/2))/(LN(2)/2)*V37*Y37*VLOOKUP('Données projet'!$B$9,Paramètres!$A$1:$I$89,3,0)*0.475*44/12</f>
        <v>0</v>
      </c>
      <c r="AC37" s="22">
        <f t="shared" si="3"/>
        <v>0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6.4429411764705877</v>
      </c>
      <c r="AI37" s="13">
        <f>IF('Données projet'!$A$62&gt;35,AI36+AH37-AQ36,IF(A37&lt;'Données projet'!$A$62,$AF$205^A37,IF(A37='Données projet'!$A$62,'Données projet'!$B$62,AI36+AH37-AQ36)))</f>
        <v>219.05999999999989</v>
      </c>
      <c r="AJ37" s="13">
        <f>AI37*VLOOKUP('Données projet'!$B$10,Paramètres!$A$1:$I$89,3,0)*VLOOKUP('Données projet'!$B$10,Paramètres!$A$1:$I$89,5,0)</f>
        <v>102.52007999999994</v>
      </c>
      <c r="AK37" s="13">
        <f t="shared" si="35"/>
        <v>27.561499445909675</v>
      </c>
      <c r="AL37" s="20">
        <f t="shared" si="4"/>
        <v>226.55875086829255</v>
      </c>
      <c r="AM37" s="59">
        <f t="shared" si="5"/>
        <v>469.33218233040816</v>
      </c>
      <c r="AN37" s="59">
        <f ca="1">AVERAGE(OFFSET($AM$3,0,0,'Données projet'!$E$10+1,1))-AVERAGE(OFFSET($H$3,0,0,'Données projet'!$E$10+1,1))</f>
        <v>325.45940224919184</v>
      </c>
      <c r="AO37" s="59">
        <f t="shared" si="36"/>
        <v>256.30046621034876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0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0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3.3603333333333336</v>
      </c>
      <c r="BD37" s="12">
        <f>IF('Données projet'!$A$88&gt;35,BD36+BC37-BL36,IF(A37&lt;'Données projet'!$A$88,$BA$205^A37,IF(A37='Données projet'!$A$88,'Données projet'!$B$88,BD36+BC37-BL36)))</f>
        <v>114.25133333333332</v>
      </c>
      <c r="BE37" s="13">
        <f>BD37*VLOOKUP('Données projet'!$B$11,Paramètres!$A$1:$I$89,3,0)*VLOOKUP('Données projet'!$B$11,Paramètres!$A$1:$I$89,5,0)</f>
        <v>115.85085199999999</v>
      </c>
      <c r="BF37" s="13">
        <f t="shared" si="37"/>
        <v>30.705305754650677</v>
      </c>
      <c r="BG37" s="20">
        <f t="shared" si="7"/>
        <v>255.25197475601655</v>
      </c>
      <c r="BH37" s="59">
        <f t="shared" si="8"/>
        <v>498.02540621813216</v>
      </c>
      <c r="BI37" s="59">
        <f ca="1">AVERAGE(OFFSET($BH$3,0,0,'Données projet'!$E$11+1,1))-AVERAGE(OFFSET($H$3,0,0,'Données projet'!$E$11+1,1))</f>
        <v>580.02848304986492</v>
      </c>
      <c r="BJ37" s="59">
        <f t="shared" si="38"/>
        <v>281.68891895586728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0</v>
      </c>
      <c r="BQ37" s="21">
        <f>EXP(-LN(2)/25)*BQ36+(1-EXP(-LN(2)/25))/(LN(2)/25)*Calculateur!BL37*Calculateur!BN37*VLOOKUP('Données projet'!$B$11,Paramètres!$A$1:$I$89,3,0)*0.475*44/12</f>
        <v>0</v>
      </c>
      <c r="BR37" s="21">
        <f>EXP(-LN(2)/2)*BR36+(1-EXP(-LN(2)/2))/(LN(2)/2)*BL37*BO37*VLOOKUP('Données projet'!$B$11,Paramètres!$A$1:$I$89,3,0)*0.475*44/12</f>
        <v>0</v>
      </c>
      <c r="BS37" s="22">
        <f t="shared" si="9"/>
        <v>0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12.8</v>
      </c>
      <c r="BY37" s="12">
        <f>IF('Données projet'!$A$114&gt;35,BY36+BX37-CG36,IF(A37&lt;'Données projet'!$A$114,$BV$205^A37,IF(A37='Données projet'!$A$114,'Données projet'!$B$114,BY36+BX37-CG36)))</f>
        <v>193.19999999999996</v>
      </c>
      <c r="BZ37" s="13">
        <f>BY37*VLOOKUP('Données projet'!$B$12,Paramètres!$A$1:$I$89,3,0)*VLOOKUP('Données projet'!$B$12,Paramètres!$A$1:$I$89,5,0)</f>
        <v>183.84911999999997</v>
      </c>
      <c r="CA37" s="13">
        <f t="shared" si="39"/>
        <v>46.177487057517382</v>
      </c>
      <c r="CB37" s="20">
        <f t="shared" si="10"/>
        <v>400.62967395850939</v>
      </c>
      <c r="CC37" s="59">
        <f t="shared" si="11"/>
        <v>643.40310542062502</v>
      </c>
      <c r="CD37" s="59">
        <f ca="1">AVERAGE(OFFSET($CC$3,0,0,'Données projet'!$E$12+1,1))-AVERAGE(OFFSET($H$3,0,0,'Données projet'!$E$12+1,1))</f>
        <v>439.15394290667945</v>
      </c>
      <c r="CE37" s="59">
        <f t="shared" si="40"/>
        <v>423.56554025351068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3.6565761670964076</v>
      </c>
      <c r="CL37" s="21">
        <f>EXP(-LN(2)/25)*CL36+(1-EXP(-LN(2)/25))/(LN(2)/25)*Calculateur!CG37*Calculateur!CI37*VLOOKUP('Données projet'!$B$12,Paramètres!$A$1:$I$89,3,0)*0.475*44/12</f>
        <v>11.403001179671472</v>
      </c>
      <c r="CM37" s="21">
        <f>EXP(-LN(2)/2)*CM36+(1-EXP(-LN(2)/2))/(LN(2)/2)*CG37*CJ37*VLOOKUP('Données projet'!$B$12,Paramètres!$A$1:$I$89,3,0)*0.475*44/12</f>
        <v>2.3825680890267789</v>
      </c>
      <c r="CN37" s="22">
        <f t="shared" si="12"/>
        <v>17.442145435794657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12.8</v>
      </c>
      <c r="CT37" s="12">
        <f>IF('Données projet'!$A$140&gt;35,CT36+CS37-DB36,IF(A37&lt;'Données projet'!$A$140,$CQ$205^A37,IF(A37='Données projet'!$A$140,'Données projet'!$B$140,CT36+CS37-DB36)))</f>
        <v>193.19999999999996</v>
      </c>
      <c r="CU37" s="17">
        <f>CT37*VLOOKUP('Données projet'!$B$13,Paramètres!$A$1:$I$89,3,0)*VLOOKUP('Données projet'!$B$13,Paramètres!$A$1:$I$89,5,0)</f>
        <v>168.77951999999999</v>
      </c>
      <c r="CV37" s="13">
        <f t="shared" si="41"/>
        <v>42.816562145177031</v>
      </c>
      <c r="CW37" s="20">
        <f t="shared" si="13"/>
        <v>368.52984306951663</v>
      </c>
      <c r="CX37" s="59">
        <f t="shared" si="14"/>
        <v>611.30327453163227</v>
      </c>
      <c r="CY37" s="59">
        <f ca="1">AVERAGE(OFFSET($CX$3,0,0,'Données projet'!$E$13+1,1))-AVERAGE(OFFSET($H$3,0,0,'Données projet'!$E$13+1,1))</f>
        <v>408.246209980743</v>
      </c>
      <c r="CZ37" s="59">
        <f t="shared" si="42"/>
        <v>394.10236303013903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>
        <f>EXP(-LN(2)/35)*DF36+(1-EXP(-LN(2)/35))/(LN(2)/35)*DB37*DC37*VLOOKUP('Données projet'!$B$13,Paramètres!$A$1:$I$89,3,0)*0.475*44/12</f>
        <v>4.1375211833557533</v>
      </c>
      <c r="DG37" s="21">
        <f>EXP(-LN(2)/25)*DG36+(1-EXP(-LN(2)/25))/(LN(2)/25)*Calculateur!DB37*Calculateur!DD37*VLOOKUP('Données projet'!$B$13,Paramètres!$A$1:$I$89,3,0)*0.475*44/12</f>
        <v>12.902824056906187</v>
      </c>
      <c r="DH37" s="21">
        <f>EXP(-LN(2)/2)*DH36+(1-EXP(-LN(2)/2))/(LN(2)/2)*DB37*DE37*VLOOKUP('Données projet'!$B$13,Paramètres!$A$1:$I$89,3,0)*0.475*44/12</f>
        <v>2.1872756227131083</v>
      </c>
      <c r="DI37" s="22">
        <f t="shared" si="15"/>
        <v>19.227620862975051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12.8</v>
      </c>
      <c r="DO37" s="12">
        <f>IF('Données projet'!$A$166&gt;35,DO36+DN37-DW36,IF(A37&lt;'Données projet'!$A$166,$DL$205^A37,IF(A37='Données projet'!$A$166,'Données projet'!$B$166,DO36+DN37-DW36)))</f>
        <v>193.19999999999996</v>
      </c>
      <c r="DP37" s="17">
        <f>DO37*VLOOKUP('Données projet'!$B$14,Paramètres!$A$1:$I$89,3,0)*VLOOKUP('Données projet'!$B$14,Paramètres!$A$1:$I$89,5,0)</f>
        <v>150.69599999999997</v>
      </c>
      <c r="DQ37" s="13">
        <f t="shared" si="43"/>
        <v>38.736711478840633</v>
      </c>
      <c r="DR37" s="20">
        <f t="shared" si="16"/>
        <v>329.92863915898073</v>
      </c>
      <c r="DS37" s="59">
        <f t="shared" si="17"/>
        <v>572.70207062109625</v>
      </c>
      <c r="DT37" s="59">
        <f ca="1">AVERAGE(OFFSET($DS$3,0,0,'Données projet'!$E$14+1,1))-AVERAGE(OFFSET($H$3,0,0,'Données projet'!$E$14+1,1))</f>
        <v>371.07993287480366</v>
      </c>
      <c r="DU37" s="59">
        <f t="shared" si="44"/>
        <v>358.67120540290637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>
        <f>EXP(-LN(2)/35)*EA36+(1-EXP(-LN(2)/35))/(LN(2)/35)*DW37*DX37*VLOOKUP('Données projet'!$B$14,Paramètres!$A$1:$I$89,3,0)*0.475*44/12</f>
        <v>2.9971935795872189</v>
      </c>
      <c r="EB37" s="21">
        <f>EXP(-LN(2)/25)*EB36+(1-EXP(-LN(2)/25))/(LN(2)/25)*Calculateur!DW37*Calculateur!DY37*VLOOKUP('Données projet'!$B$14,Paramètres!$A$1:$I$89,3,0)*0.475*44/12</f>
        <v>9.3467222784192376</v>
      </c>
      <c r="EC37" s="21">
        <f>EXP(-LN(2)/2)*EC36+(1-EXP(-LN(2)/2))/(LN(2)/2)*DW37*DZ37*VLOOKUP('Données projet'!$B$14,Paramètres!$A$1:$I$89,3,0)*0.475*44/12</f>
        <v>1.9529246631367032</v>
      </c>
      <c r="ED37" s="22">
        <f t="shared" si="18"/>
        <v>14.29684052114316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45">
      <c r="A38" s="10">
        <f t="shared" si="31"/>
        <v>35</v>
      </c>
      <c r="B38" s="73">
        <f>'Scénario référence'!$B$16*5+'Scénario référence'!$B$17*0+'Scénario référence'!$B$18*5</f>
        <v>5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1">
        <f t="shared" si="32"/>
        <v>0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18.333333333333332</v>
      </c>
      <c r="H38" s="67">
        <f t="shared" si="1"/>
        <v>183.33333333333334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4.0942857142857143</v>
      </c>
      <c r="N38" s="13">
        <f>IF('Données projet'!$A$36&gt;35,N37+M38-V37,IF(A38&lt;'Données projet'!$A$36,$K$205^A38,IF(A38='Données projet'!$A$36,'Données projet'!$B$36,N37+M38-V37)))</f>
        <v>143.3000000000001</v>
      </c>
      <c r="O38" s="13">
        <f>N38*VLOOKUP('Données projet'!$B$9,Paramètres!$A$1:$I$89,3,0)*VLOOKUP('Données projet'!$B$9,Paramètres!$A$1:$I$89,5,0)</f>
        <v>129.65784000000008</v>
      </c>
      <c r="P38" s="13">
        <f t="shared" si="33"/>
        <v>33.917284079455818</v>
      </c>
      <c r="Q38" s="20">
        <f t="shared" si="53"/>
        <v>284.89334110505234</v>
      </c>
      <c r="R38" s="59">
        <f t="shared" si="0"/>
        <v>528.54387382962682</v>
      </c>
      <c r="S38" s="59">
        <f ca="1">AVERAGE(OFFSET($R$3,0,0,'Données projet'!$E$9+1,1))-AVERAGE(OFFSET($H$3,0,0,'Données projet'!$E$9+1,1))</f>
        <v>681.47578137804555</v>
      </c>
      <c r="T38" s="59">
        <f t="shared" si="34"/>
        <v>300.88511065995885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0</v>
      </c>
      <c r="AA38" s="21">
        <f>EXP(-LN(2)/25)*AA37+(1-EXP(-LN(2)/25))/(LN(2)/25)*Calculateur!V38*Calculateur!X38*VLOOKUP('Données projet'!$B$9,Paramètres!$A$1:$I$89,3,0)*0.475*44/12</f>
        <v>0</v>
      </c>
      <c r="AB38" s="21">
        <f>EXP(-LN(2)/2)*AB37+(1-EXP(-LN(2)/2))/(LN(2)/2)*V38*Y38*VLOOKUP('Données projet'!$B$9,Paramètres!$A$1:$I$89,3,0)*0.475*44/12</f>
        <v>0</v>
      </c>
      <c r="AC38" s="22">
        <f t="shared" si="3"/>
        <v>0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6.4429411764705877</v>
      </c>
      <c r="AI38" s="13">
        <f>IF('Données projet'!$A$62&gt;35,AI37+AH38-AQ37,IF(A38&lt;'Données projet'!$A$62,$AF$205^A38,IF(A38='Données projet'!$A$62,'Données projet'!$B$62,AI37+AH38-AQ37)))</f>
        <v>225.50294117647047</v>
      </c>
      <c r="AJ38" s="13">
        <f>AI38*VLOOKUP('Données projet'!$B$10,Paramètres!$A$1:$I$89,3,0)*VLOOKUP('Données projet'!$B$10,Paramètres!$A$1:$I$89,5,0)</f>
        <v>105.53537647058819</v>
      </c>
      <c r="AK38" s="13">
        <f t="shared" si="35"/>
        <v>28.276561299396725</v>
      </c>
      <c r="AL38" s="20">
        <f t="shared" si="4"/>
        <v>233.05579161605704</v>
      </c>
      <c r="AM38" s="59">
        <f t="shared" si="5"/>
        <v>476.70632434063157</v>
      </c>
      <c r="AN38" s="59">
        <f ca="1">AVERAGE(OFFSET($AM$3,0,0,'Données projet'!$E$10+1,1))-AVERAGE(OFFSET($H$3,0,0,'Données projet'!$E$10+1,1))</f>
        <v>325.45940224919184</v>
      </c>
      <c r="AO38" s="59">
        <f t="shared" si="36"/>
        <v>256.30046621034876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0</v>
      </c>
      <c r="AV38" s="21">
        <f>EXP(-LN(2)/25)*AV37+(1-EXP(-LN(2)/25))/(LN(2)/25)*Calculateur!AQ38*Calculateur!AS38*VLOOKUP('Données projet'!$B$10,Paramètres!$A$1:$I$89,3,0)*0.475*44/12</f>
        <v>0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0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3.3603333333333336</v>
      </c>
      <c r="BD38" s="12">
        <f>IF('Données projet'!$A$88&gt;35,BD37+BC38-BL37,IF(A38&lt;'Données projet'!$A$88,$BA$205^A38,IF(A38='Données projet'!$A$88,'Données projet'!$B$88,BD37+BC38-BL37)))</f>
        <v>117.61166666666665</v>
      </c>
      <c r="BE38" s="13">
        <f>BD38*VLOOKUP('Données projet'!$B$11,Paramètres!$A$1:$I$89,3,0)*VLOOKUP('Données projet'!$B$11,Paramètres!$A$1:$I$89,5,0)</f>
        <v>119.25823</v>
      </c>
      <c r="BF38" s="13">
        <f t="shared" si="37"/>
        <v>31.501931238975171</v>
      </c>
      <c r="BG38" s="20">
        <f t="shared" si="7"/>
        <v>262.57394749121505</v>
      </c>
      <c r="BH38" s="59">
        <f t="shared" si="8"/>
        <v>506.22448021578953</v>
      </c>
      <c r="BI38" s="59">
        <f ca="1">AVERAGE(OFFSET($BH$3,0,0,'Données projet'!$E$11+1,1))-AVERAGE(OFFSET($H$3,0,0,'Données projet'!$E$11+1,1))</f>
        <v>580.02848304986492</v>
      </c>
      <c r="BJ38" s="59">
        <f t="shared" si="38"/>
        <v>281.68891895586728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0</v>
      </c>
      <c r="BQ38" s="21">
        <f>EXP(-LN(2)/25)*BQ37+(1-EXP(-LN(2)/25))/(LN(2)/25)*Calculateur!BL38*Calculateur!BN38*VLOOKUP('Données projet'!$B$11,Paramètres!$A$1:$I$89,3,0)*0.475*44/12</f>
        <v>0</v>
      </c>
      <c r="BR38" s="21">
        <f>EXP(-LN(2)/2)*BR37+(1-EXP(-LN(2)/2))/(LN(2)/2)*BL38*BO38*VLOOKUP('Données projet'!$B$11,Paramètres!$A$1:$I$89,3,0)*0.475*44/12</f>
        <v>0</v>
      </c>
      <c r="BS38" s="22">
        <f t="shared" si="9"/>
        <v>0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>
        <f>VLOOKUP(A38,'Données projet'!$A$113:$I$133,2,0)</f>
        <v>206</v>
      </c>
      <c r="BW38" s="12">
        <f>VLOOKUP(A38,'Données projet'!$A$113:$I$133,9,0)</f>
        <v>12.8</v>
      </c>
      <c r="BX38" s="12">
        <f t="array" ref="BX38">INDEX(BW:BW,MIN(IF(ISNUMBER(BW38:BW234),ROW(BW38:BW234),"")))</f>
        <v>12.8</v>
      </c>
      <c r="BY38" s="12">
        <f>IF('Données projet'!$A$114&gt;35,BY37+BX38-CG37,IF(A38&lt;'Données projet'!$A$114,$BV$205^A38,IF(A38='Données projet'!$A$114,'Données projet'!$B$114,BY37+BX38-CG37)))</f>
        <v>205.99999999999997</v>
      </c>
      <c r="BZ38" s="13">
        <f>BY38*VLOOKUP('Données projet'!$B$12,Paramètres!$A$1:$I$89,3,0)*VLOOKUP('Données projet'!$B$12,Paramètres!$A$1:$I$89,5,0)</f>
        <v>196.02959999999999</v>
      </c>
      <c r="CA38" s="13">
        <f t="shared" si="39"/>
        <v>48.870578290511943</v>
      </c>
      <c r="CB38" s="20">
        <f t="shared" si="10"/>
        <v>426.53447718930823</v>
      </c>
      <c r="CC38" s="59">
        <f t="shared" si="11"/>
        <v>670.18500991388271</v>
      </c>
      <c r="CD38" s="59">
        <f ca="1">AVERAGE(OFFSET($CC$3,0,0,'Données projet'!$E$12+1,1))-AVERAGE(OFFSET($H$3,0,0,'Données projet'!$E$12+1,1))</f>
        <v>439.15394290667945</v>
      </c>
      <c r="CE38" s="59">
        <f t="shared" si="40"/>
        <v>423.56554025351068</v>
      </c>
      <c r="CF38" s="15">
        <f>IF(ISNA(VLOOKUP(A38,'Données projet'!$A$113:$I$133,3,0)),0,VLOOKUP(A38,'Données projet'!$A$113:$I$133,3,0))</f>
        <v>5</v>
      </c>
      <c r="CG38" s="15">
        <f>IF(ISNA(VLOOKUP(A38,'Données projet'!$A$113:$I$133,4,0)),0,VLOOKUP(A38,'Données projet'!$A$113:$I$133,4,0))</f>
        <v>35</v>
      </c>
      <c r="CH38" s="16">
        <f>IF(ISNA(VLOOKUP(A38,'Données projet'!$A$113:$I$133,5,0)),0%,VLOOKUP(A38,'Données projet'!$A$113:$I$133,5,0)*VLOOKUP('Données projet'!$B$12,Paramètres!$A$1:$I$89,7,0))</f>
        <v>0.1075</v>
      </c>
      <c r="CI38" s="16">
        <f>IF(ISNA(VLOOKUP(A38,'Données projet'!$A$113:$I$133,6,0)),0%,VLOOKUP(A38,'Données projet'!$A$113:$I$133,6,0)*VLOOKUP('Données projet'!$B$12,Paramètres!$A$1:$I$89,7,0))</f>
        <v>0.1075</v>
      </c>
      <c r="CJ38" s="16">
        <f>IF(ISNA(VLOOKUP(A38,'Données projet'!$A$113:$I$133,7,0)),0%,VLOOKUP(A38,'Données projet'!$A$113:$I$133,7,0))</f>
        <v>0.25</v>
      </c>
      <c r="CK38" s="21">
        <f>EXP(-LN(2)/35)*CK37+(1-EXP(-LN(2)/35))/(LN(2)/35)*CG38*CH38*VLOOKUP('Données projet'!$B$12,Paramètres!$A$1:$I$89,3,0)*0.475*44/12</f>
        <v>7.5428935582787631</v>
      </c>
      <c r="CL38" s="21">
        <f>EXP(-LN(2)/25)*CL37+(1-EXP(-LN(2)/25))/(LN(2)/25)*Calculateur!CG38*Calculateur!CI38*VLOOKUP('Données projet'!$B$12,Paramètres!$A$1:$I$89,3,0)*0.475*44/12</f>
        <v>15.033621896980289</v>
      </c>
      <c r="CM38" s="21">
        <f>EXP(-LN(2)/2)*CM37+(1-EXP(-LN(2)/2))/(LN(2)/2)*CG38*CJ38*VLOOKUP('Données projet'!$B$12,Paramètres!$A$1:$I$89,3,0)*0.475*44/12</f>
        <v>9.5410069068512744</v>
      </c>
      <c r="CN38" s="22">
        <f t="shared" si="12"/>
        <v>32.117522362110329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>
        <f>VLOOKUP(A38,'Données projet'!$A$139:$I$159,2,0)</f>
        <v>206</v>
      </c>
      <c r="CR38" s="12">
        <f>VLOOKUP(A38,'Données projet'!$A$139:$I$159,9,0)</f>
        <v>12.8</v>
      </c>
      <c r="CS38" s="12">
        <f t="array" ref="CS38">INDEX(CR:CR,MIN(IF(ISNUMBER(CR38:CR234),ROW(CR38:CR234),"")))</f>
        <v>12.8</v>
      </c>
      <c r="CT38" s="12">
        <f>IF('Données projet'!$A$140&gt;35,CT37+CS38-DB37,IF(A38&lt;'Données projet'!$A$140,$CQ$205^A38,IF(A38='Données projet'!$A$140,'Données projet'!$B$140,CT37+CS38-DB37)))</f>
        <v>205.99999999999997</v>
      </c>
      <c r="CU38" s="17">
        <f>CT38*VLOOKUP('Données projet'!$B$13,Paramètres!$A$1:$I$89,3,0)*VLOOKUP('Données projet'!$B$13,Paramètres!$A$1:$I$89,5,0)</f>
        <v>179.9616</v>
      </c>
      <c r="CV38" s="13">
        <f t="shared" si="41"/>
        <v>45.313642767960104</v>
      </c>
      <c r="CW38" s="20">
        <f t="shared" si="13"/>
        <v>392.35438115419714</v>
      </c>
      <c r="CX38" s="59">
        <f t="shared" si="14"/>
        <v>636.00491387877162</v>
      </c>
      <c r="CY38" s="59">
        <f ca="1">AVERAGE(OFFSET($CX$3,0,0,'Données projet'!$E$13+1,1))-AVERAGE(OFFSET($H$3,0,0,'Données projet'!$E$13+1,1))</f>
        <v>408.246209980743</v>
      </c>
      <c r="CZ38" s="59">
        <f t="shared" si="42"/>
        <v>394.10236303013903</v>
      </c>
      <c r="DA38" s="15">
        <f>IF(ISNA(VLOOKUP(A38,'Données projet'!$A$139:$I$159,3,0)),0,VLOOKUP(A38,'Données projet'!$A$139:$I$159,3,0))</f>
        <v>5</v>
      </c>
      <c r="DB38" s="15">
        <f>IF(ISNA(VLOOKUP(A38,'Données projet'!$A$139:$I$159,4,0)),0,VLOOKUP(A38,'Données projet'!$A$139:$I$159,4,0))</f>
        <v>35</v>
      </c>
      <c r="DC38" s="16">
        <f>IF(ISNA(VLOOKUP(A38,'Données projet'!$A$139:$I$159,5,0)),0%,VLOOKUP(A38,'Données projet'!$A$139:$I$159,5,0)*VLOOKUP('Données projet'!$B$13,Paramètres!$A$1:$I$89,7,0))</f>
        <v>0.13250000000000001</v>
      </c>
      <c r="DD38" s="16">
        <f>IF(ISNA(VLOOKUP(A38,'Données projet'!$A$139:$I$159,6,0)),0%,VLOOKUP(A38,'Données projet'!$A$139:$I$159,6,0)*VLOOKUP('Données projet'!$B$13,Paramètres!$A$1:$I$89,7,0))</f>
        <v>0.13250000000000001</v>
      </c>
      <c r="DE38" s="16">
        <f>IF(ISNA(VLOOKUP(A38,'Données projet'!$A$139:$I$159,7,0)),0%,VLOOKUP(A38,'Données projet'!$A$139:$I$159,7,0))</f>
        <v>0.25</v>
      </c>
      <c r="DF38" s="21">
        <f>EXP(-LN(2)/35)*DF37+(1-EXP(-LN(2)/35))/(LN(2)/35)*DB38*DC38*VLOOKUP('Données projet'!$B$13,Paramètres!$A$1:$I$89,3,0)*0.475*44/12</f>
        <v>8.5350011745983139</v>
      </c>
      <c r="DG38" s="21">
        <f>EXP(-LN(2)/25)*DG37+(1-EXP(-LN(2)/25))/(LN(2)/25)*Calculateur!DB38*Calculateur!DD38*VLOOKUP('Données projet'!$B$13,Paramètres!$A$1:$I$89,3,0)*0.475*44/12</f>
        <v>17.010975901729889</v>
      </c>
      <c r="DH38" s="21">
        <f>EXP(-LN(2)/2)*DH37+(1-EXP(-LN(2)/2))/(LN(2)/2)*DB38*DE38*VLOOKUP('Données projet'!$B$13,Paramètres!$A$1:$I$89,3,0)*0.475*44/12</f>
        <v>8.7589571603880554</v>
      </c>
      <c r="DI38" s="22">
        <f t="shared" si="15"/>
        <v>34.304934236716257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>
        <f>VLOOKUP(A38,'Données projet'!$A$165:$I$185,2,0)</f>
        <v>206</v>
      </c>
      <c r="DM38" s="12">
        <f>VLOOKUP(A38,'Données projet'!$A$165:$I$185,9,0)</f>
        <v>12.8</v>
      </c>
      <c r="DN38" s="12">
        <f t="array" ref="DN38">INDEX(DM:DM,MIN(IF(ISNUMBER(DM38:DM234),ROW(DM38:DM234),"")))</f>
        <v>12.8</v>
      </c>
      <c r="DO38" s="12">
        <f>IF('Données projet'!$A$166&gt;35,DO37+DN38-DW37,IF(A38&lt;'Données projet'!$A$166,$DL$205^A38,IF(A38='Données projet'!$A$166,'Données projet'!$B$166,DO37+DN38-DW37)))</f>
        <v>205.99999999999997</v>
      </c>
      <c r="DP38" s="17">
        <f>DO38*VLOOKUP('Données projet'!$B$14,Paramètres!$A$1:$I$89,3,0)*VLOOKUP('Données projet'!$B$14,Paramètres!$A$1:$I$89,5,0)</f>
        <v>160.67999999999998</v>
      </c>
      <c r="DQ38" s="13">
        <f t="shared" si="43"/>
        <v>40.995853427140361</v>
      </c>
      <c r="DR38" s="20">
        <f t="shared" si="16"/>
        <v>351.25211138560275</v>
      </c>
      <c r="DS38" s="59">
        <f t="shared" si="17"/>
        <v>594.90264411017722</v>
      </c>
      <c r="DT38" s="59">
        <f ca="1">AVERAGE(OFFSET($DS$3,0,0,'Données projet'!$E$14+1,1))-AVERAGE(OFFSET($H$3,0,0,'Données projet'!$E$14+1,1))</f>
        <v>371.07993287480366</v>
      </c>
      <c r="DU38" s="59">
        <f t="shared" si="44"/>
        <v>358.67120540290637</v>
      </c>
      <c r="DV38" s="15">
        <f>IF(ISNA(VLOOKUP(A38,'Données projet'!$A$165:$I$185,3,0)),0,VLOOKUP(A38,'Données projet'!$A$165:$I$185,3,0))</f>
        <v>5</v>
      </c>
      <c r="DW38" s="15">
        <f>IF(ISNA(VLOOKUP(A38,'Données projet'!$A$165:$I$185,4,0)),0,VLOOKUP(A38,'Données projet'!$A$165:$I$185,4,0))</f>
        <v>35</v>
      </c>
      <c r="DX38" s="16">
        <f>IF(ISNA(VLOOKUP(A38,'Données projet'!$A$165:$I$185,5,0)),0%,VLOOKUP(A38,'Données projet'!$A$165:$I$185,5,0)*VLOOKUP('Données projet'!$B$14,Paramètres!$A$1:$I$89,7,0))</f>
        <v>0.1075</v>
      </c>
      <c r="DY38" s="16">
        <f>IF(ISNA(VLOOKUP(A38,'Données projet'!$A$165:$I$185,6,0)),0%,VLOOKUP(A38,'Données projet'!$A$165:$I$185,6,0)*VLOOKUP('Données projet'!$B$14,Paramètres!$A$1:$I$89,7,0))</f>
        <v>0.1075</v>
      </c>
      <c r="DZ38" s="16">
        <f>IF(ISNA(VLOOKUP(A38,'Données projet'!$A$165:$I$185,7,0)),0%,VLOOKUP(A38,'Données projet'!$A$165:$I$185,7,0))</f>
        <v>0.25</v>
      </c>
      <c r="EA38" s="21">
        <f>EXP(-LN(2)/35)*EA37+(1-EXP(-LN(2)/35))/(LN(2)/35)*DW38*DX38*VLOOKUP('Données projet'!$B$14,Paramètres!$A$1:$I$89,3,0)*0.475*44/12</f>
        <v>6.1826996379334123</v>
      </c>
      <c r="EB38" s="21">
        <f>EXP(-LN(2)/25)*EB37+(1-EXP(-LN(2)/25))/(LN(2)/25)*Calculateur!DW38*Calculateur!DY38*VLOOKUP('Données projet'!$B$14,Paramètres!$A$1:$I$89,3,0)*0.475*44/12</f>
        <v>12.32264089916417</v>
      </c>
      <c r="EC38" s="21">
        <f>EXP(-LN(2)/2)*EC37+(1-EXP(-LN(2)/2))/(LN(2)/2)*DW38*DZ38*VLOOKUP('Données projet'!$B$14,Paramètres!$A$1:$I$89,3,0)*0.475*44/12</f>
        <v>7.8204974646321919</v>
      </c>
      <c r="ED38" s="22">
        <f t="shared" si="18"/>
        <v>26.325838001729771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45">
      <c r="A39" s="10">
        <f t="shared" si="31"/>
        <v>36</v>
      </c>
      <c r="B39" s="73">
        <f>'Scénario référence'!$B$16*5+'Scénario référence'!$B$17*0+'Scénario référence'!$B$18*5</f>
        <v>5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1">
        <f t="shared" si="32"/>
        <v>0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18.333333333333332</v>
      </c>
      <c r="H39" s="67">
        <f t="shared" si="1"/>
        <v>183.33333333333334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4.0942857142857143</v>
      </c>
      <c r="N39" s="13">
        <f>IF('Données projet'!$A$36&gt;35,N38+M39-V38,IF(A39&lt;'Données projet'!$A$36,$K$205^A39,IF(A39='Données projet'!$A$36,'Données projet'!$B$36,N38+M39-V38)))</f>
        <v>147.39428571428581</v>
      </c>
      <c r="O39" s="13">
        <f>N39*VLOOKUP('Données projet'!$B$9,Paramètres!$A$1:$I$89,3,0)*VLOOKUP('Données projet'!$B$9,Paramètres!$A$1:$I$89,5,0)</f>
        <v>133.36234971428578</v>
      </c>
      <c r="P39" s="13">
        <f t="shared" si="33"/>
        <v>34.772141208569977</v>
      </c>
      <c r="Q39" s="20">
        <f t="shared" si="53"/>
        <v>292.83423835730713</v>
      </c>
      <c r="R39" s="59">
        <f t="shared" si="0"/>
        <v>537.3466565983415</v>
      </c>
      <c r="S39" s="59">
        <f ca="1">AVERAGE(OFFSET($R$3,0,0,'Données projet'!$E$9+1,1))-AVERAGE(OFFSET($H$3,0,0,'Données projet'!$E$9+1,1))</f>
        <v>681.47578137804555</v>
      </c>
      <c r="T39" s="59">
        <f t="shared" si="34"/>
        <v>300.88511065995885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0</v>
      </c>
      <c r="AA39" s="21">
        <f>EXP(-LN(2)/25)*AA38+(1-EXP(-LN(2)/25))/(LN(2)/25)*Calculateur!V39*Calculateur!X39*VLOOKUP('Données projet'!$B$9,Paramètres!$A$1:$I$89,3,0)*0.475*44/12</f>
        <v>0</v>
      </c>
      <c r="AB39" s="21">
        <f>EXP(-LN(2)/2)*AB38+(1-EXP(-LN(2)/2))/(LN(2)/2)*V39*Y39*VLOOKUP('Données projet'!$B$9,Paramètres!$A$1:$I$89,3,0)*0.475*44/12</f>
        <v>0</v>
      </c>
      <c r="AC39" s="22">
        <f t="shared" si="3"/>
        <v>0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6.4429411764705877</v>
      </c>
      <c r="AI39" s="13">
        <f>IF('Données projet'!$A$62&gt;35,AI38+AH39-AQ38,IF(A39&lt;'Données projet'!$A$62,$AF$205^A39,IF(A39='Données projet'!$A$62,'Données projet'!$B$62,AI38+AH39-AQ38)))</f>
        <v>231.94588235294106</v>
      </c>
      <c r="AJ39" s="13">
        <f>AI39*VLOOKUP('Données projet'!$B$10,Paramètres!$A$1:$I$89,3,0)*VLOOKUP('Données projet'!$B$10,Paramètres!$A$1:$I$89,5,0)</f>
        <v>108.5506729411764</v>
      </c>
      <c r="AK39" s="13">
        <f t="shared" si="35"/>
        <v>28.989248670148307</v>
      </c>
      <c r="AL39" s="20">
        <f t="shared" si="4"/>
        <v>239.5486968063905</v>
      </c>
      <c r="AM39" s="59">
        <f t="shared" si="5"/>
        <v>484.06111504742489</v>
      </c>
      <c r="AN39" s="59">
        <f ca="1">AVERAGE(OFFSET($AM$3,0,0,'Données projet'!$E$10+1,1))-AVERAGE(OFFSET($H$3,0,0,'Données projet'!$E$10+1,1))</f>
        <v>325.45940224919184</v>
      </c>
      <c r="AO39" s="59">
        <f t="shared" si="36"/>
        <v>256.30046621034876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0</v>
      </c>
      <c r="AV39" s="21">
        <f>EXP(-LN(2)/25)*AV38+(1-EXP(-LN(2)/25))/(LN(2)/25)*Calculateur!AQ39*Calculateur!AS39*VLOOKUP('Données projet'!$B$10,Paramètres!$A$1:$I$89,3,0)*0.475*44/12</f>
        <v>0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0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3.3603333333333336</v>
      </c>
      <c r="BD39" s="12">
        <f>IF('Données projet'!$A$88&gt;35,BD38+BC39-BL38,IF(A39&lt;'Données projet'!$A$88,$BA$205^A39,IF(A39='Données projet'!$A$88,'Données projet'!$B$88,BD38+BC39-BL38)))</f>
        <v>120.97199999999998</v>
      </c>
      <c r="BE39" s="13">
        <f>BD39*VLOOKUP('Données projet'!$B$11,Paramètres!$A$1:$I$89,3,0)*VLOOKUP('Données projet'!$B$11,Paramètres!$A$1:$I$89,5,0)</f>
        <v>122.66560799999998</v>
      </c>
      <c r="BF39" s="13">
        <f t="shared" si="37"/>
        <v>32.295911394857214</v>
      </c>
      <c r="BG39" s="20">
        <f t="shared" si="7"/>
        <v>269.89131294604289</v>
      </c>
      <c r="BH39" s="59">
        <f t="shared" si="8"/>
        <v>514.40373118707726</v>
      </c>
      <c r="BI39" s="59">
        <f ca="1">AVERAGE(OFFSET($BH$3,0,0,'Données projet'!$E$11+1,1))-AVERAGE(OFFSET($H$3,0,0,'Données projet'!$E$11+1,1))</f>
        <v>580.02848304986492</v>
      </c>
      <c r="BJ39" s="59">
        <f t="shared" si="38"/>
        <v>281.68891895586728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0</v>
      </c>
      <c r="BQ39" s="21">
        <f>EXP(-LN(2)/25)*BQ38+(1-EXP(-LN(2)/25))/(LN(2)/25)*Calculateur!BL39*Calculateur!BN39*VLOOKUP('Données projet'!$B$11,Paramètres!$A$1:$I$89,3,0)*0.475*44/12</f>
        <v>0</v>
      </c>
      <c r="BR39" s="21">
        <f>EXP(-LN(2)/2)*BR38+(1-EXP(-LN(2)/2))/(LN(2)/2)*BL39*BO39*VLOOKUP('Données projet'!$B$11,Paramètres!$A$1:$I$89,3,0)*0.475*44/12</f>
        <v>0</v>
      </c>
      <c r="BS39" s="22">
        <f t="shared" si="9"/>
        <v>0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11.4</v>
      </c>
      <c r="BY39" s="12">
        <f>IF('Données projet'!$A$114&gt;35,BY38+BX39-CG38,IF(A39&lt;'Données projet'!$A$114,$BV$205^A39,IF(A39='Données projet'!$A$114,'Données projet'!$B$114,BY38+BX39-CG38)))</f>
        <v>182.39999999999998</v>
      </c>
      <c r="BZ39" s="13">
        <f>BY39*VLOOKUP('Données projet'!$B$12,Paramètres!$A$1:$I$89,3,0)*VLOOKUP('Données projet'!$B$12,Paramètres!$A$1:$I$89,5,0)</f>
        <v>173.57183999999998</v>
      </c>
      <c r="CA39" s="13">
        <f t="shared" si="39"/>
        <v>43.889026259091224</v>
      </c>
      <c r="CB39" s="20">
        <f t="shared" si="10"/>
        <v>378.74434206791716</v>
      </c>
      <c r="CC39" s="59">
        <f t="shared" si="11"/>
        <v>623.25676030895158</v>
      </c>
      <c r="CD39" s="59">
        <f ca="1">AVERAGE(OFFSET($CC$3,0,0,'Données projet'!$E$12+1,1))-AVERAGE(OFFSET($H$3,0,0,'Données projet'!$E$12+1,1))</f>
        <v>439.15394290667945</v>
      </c>
      <c r="CE39" s="59">
        <f t="shared" si="40"/>
        <v>423.56554025351068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7.3949820163117046</v>
      </c>
      <c r="CL39" s="21">
        <f>EXP(-LN(2)/25)*CL38+(1-EXP(-LN(2)/25))/(LN(2)/25)*Calculateur!CG39*Calculateur!CI39*VLOOKUP('Données projet'!$B$12,Paramètres!$A$1:$I$89,3,0)*0.475*44/12</f>
        <v>14.622526715623547</v>
      </c>
      <c r="CM39" s="21">
        <f>EXP(-LN(2)/2)*CM38+(1-EXP(-LN(2)/2))/(LN(2)/2)*CG39*CJ39*VLOOKUP('Données projet'!$B$12,Paramètres!$A$1:$I$89,3,0)*0.475*44/12</f>
        <v>6.7465106831822235</v>
      </c>
      <c r="CN39" s="22">
        <f t="shared" si="12"/>
        <v>28.764019415117474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11.4</v>
      </c>
      <c r="CT39" s="12">
        <f>IF('Données projet'!$A$140&gt;35,CT38+CS39-DB38,IF(A39&lt;'Données projet'!$A$140,$CQ$205^A39,IF(A39='Données projet'!$A$140,'Données projet'!$B$140,CT38+CS39-DB38)))</f>
        <v>182.39999999999998</v>
      </c>
      <c r="CU39" s="17">
        <f>CT39*VLOOKUP('Données projet'!$B$13,Paramètres!$A$1:$I$89,3,0)*VLOOKUP('Données projet'!$B$13,Paramètres!$A$1:$I$89,5,0)</f>
        <v>159.34464</v>
      </c>
      <c r="CV39" s="13">
        <f t="shared" si="41"/>
        <v>40.694661837553809</v>
      </c>
      <c r="CW39" s="20">
        <f t="shared" si="13"/>
        <v>348.40178403373949</v>
      </c>
      <c r="CX39" s="59">
        <f t="shared" si="14"/>
        <v>592.91420227477397</v>
      </c>
      <c r="CY39" s="59">
        <f ca="1">AVERAGE(OFFSET($CX$3,0,0,'Données projet'!$E$13+1,1))-AVERAGE(OFFSET($H$3,0,0,'Données projet'!$E$13+1,1))</f>
        <v>408.246209980743</v>
      </c>
      <c r="CZ39" s="59">
        <f t="shared" si="42"/>
        <v>394.10236303013903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>
        <f>EXP(-LN(2)/35)*DF38+(1-EXP(-LN(2)/35))/(LN(2)/35)*DB39*DC39*VLOOKUP('Données projet'!$B$13,Paramètres!$A$1:$I$89,3,0)*0.475*44/12</f>
        <v>8.3676350074011232</v>
      </c>
      <c r="DG39" s="21">
        <f>EXP(-LN(2)/25)*DG38+(1-EXP(-LN(2)/25))/(LN(2)/25)*Calculateur!DB39*Calculateur!DD39*VLOOKUP('Données projet'!$B$13,Paramètres!$A$1:$I$89,3,0)*0.475*44/12</f>
        <v>16.545809871128743</v>
      </c>
      <c r="DH39" s="21">
        <f>EXP(-LN(2)/2)*DH38+(1-EXP(-LN(2)/2))/(LN(2)/2)*DB39*DE39*VLOOKUP('Données projet'!$B$13,Paramètres!$A$1:$I$89,3,0)*0.475*44/12</f>
        <v>6.1935180042328604</v>
      </c>
      <c r="DI39" s="22">
        <f t="shared" si="15"/>
        <v>31.106962882762726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11.4</v>
      </c>
      <c r="DO39" s="12">
        <f>IF('Données projet'!$A$166&gt;35,DO38+DN39-DW38,IF(A39&lt;'Données projet'!$A$166,$DL$205^A39,IF(A39='Données projet'!$A$166,'Données projet'!$B$166,DO38+DN39-DW38)))</f>
        <v>182.39999999999998</v>
      </c>
      <c r="DP39" s="17">
        <f>DO39*VLOOKUP('Données projet'!$B$14,Paramètres!$A$1:$I$89,3,0)*VLOOKUP('Données projet'!$B$14,Paramètres!$A$1:$I$89,5,0)</f>
        <v>142.27199999999999</v>
      </c>
      <c r="DQ39" s="13">
        <f t="shared" si="43"/>
        <v>36.817000136193229</v>
      </c>
      <c r="DR39" s="20">
        <f t="shared" si="16"/>
        <v>311.91334190386982</v>
      </c>
      <c r="DS39" s="59">
        <f t="shared" si="17"/>
        <v>556.42576014490419</v>
      </c>
      <c r="DT39" s="59">
        <f ca="1">AVERAGE(OFFSET($DS$3,0,0,'Données projet'!$E$14+1,1))-AVERAGE(OFFSET($H$3,0,0,'Données projet'!$E$14+1,1))</f>
        <v>371.07993287480366</v>
      </c>
      <c r="DU39" s="59">
        <f t="shared" si="44"/>
        <v>358.67120540290637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>
        <f>EXP(-LN(2)/35)*EA38+(1-EXP(-LN(2)/35))/(LN(2)/35)*DW39*DX39*VLOOKUP('Données projet'!$B$14,Paramètres!$A$1:$I$89,3,0)*0.475*44/12</f>
        <v>6.0614606691079542</v>
      </c>
      <c r="EB39" s="21">
        <f>EXP(-LN(2)/25)*EB38+(1-EXP(-LN(2)/25))/(LN(2)/25)*Calculateur!DW39*Calculateur!DY39*VLOOKUP('Données projet'!$B$14,Paramètres!$A$1:$I$89,3,0)*0.475*44/12</f>
        <v>11.985677635757005</v>
      </c>
      <c r="EC39" s="21">
        <f>EXP(-LN(2)/2)*EC38+(1-EXP(-LN(2)/2))/(LN(2)/2)*DW39*DZ39*VLOOKUP('Données projet'!$B$14,Paramètres!$A$1:$I$89,3,0)*0.475*44/12</f>
        <v>5.5299267894936257</v>
      </c>
      <c r="ED39" s="22">
        <f t="shared" si="18"/>
        <v>23.577065094358584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45">
      <c r="A40" s="10">
        <f t="shared" si="31"/>
        <v>37</v>
      </c>
      <c r="B40" s="73">
        <f>'Scénario référence'!$B$16*5+'Scénario référence'!$B$17*0+'Scénario référence'!$B$18*5</f>
        <v>5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1">
        <f t="shared" si="32"/>
        <v>0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18.333333333333332</v>
      </c>
      <c r="H40" s="67">
        <f t="shared" si="1"/>
        <v>183.33333333333334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4.0942857142857143</v>
      </c>
      <c r="N40" s="13">
        <f>IF('Données projet'!$A$36&gt;35,N39+M40-V39,IF(A40&lt;'Données projet'!$A$36,$K$205^A40,IF(A40='Données projet'!$A$36,'Données projet'!$B$36,N39+M40-V39)))</f>
        <v>151.48857142857153</v>
      </c>
      <c r="O40" s="13">
        <f>N40*VLOOKUP('Données projet'!$B$9,Paramètres!$A$1:$I$89,3,0)*VLOOKUP('Données projet'!$B$9,Paramètres!$A$1:$I$89,5,0)</f>
        <v>137.06685942857152</v>
      </c>
      <c r="P40" s="13">
        <f t="shared" si="33"/>
        <v>35.624238388297236</v>
      </c>
      <c r="Q40" s="20">
        <f t="shared" si="53"/>
        <v>300.77032869771307</v>
      </c>
      <c r="R40" s="59">
        <f t="shared" si="0"/>
        <v>546.12968066838414</v>
      </c>
      <c r="S40" s="59">
        <f ca="1">AVERAGE(OFFSET($R$3,0,0,'Données projet'!$E$9+1,1))-AVERAGE(OFFSET($H$3,0,0,'Données projet'!$E$9+1,1))</f>
        <v>681.47578137804555</v>
      </c>
      <c r="T40" s="59">
        <f t="shared" si="34"/>
        <v>300.88511065995885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0</v>
      </c>
      <c r="AA40" s="21">
        <f>EXP(-LN(2)/25)*AA39+(1-EXP(-LN(2)/25))/(LN(2)/25)*Calculateur!V40*Calculateur!X40*VLOOKUP('Données projet'!$B$9,Paramètres!$A$1:$I$89,3,0)*0.475*44/12</f>
        <v>0</v>
      </c>
      <c r="AB40" s="21">
        <f>EXP(-LN(2)/2)*AB39+(1-EXP(-LN(2)/2))/(LN(2)/2)*V40*Y40*VLOOKUP('Données projet'!$B$9,Paramètres!$A$1:$I$89,3,0)*0.475*44/12</f>
        <v>0</v>
      </c>
      <c r="AC40" s="22">
        <f t="shared" si="3"/>
        <v>0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6.4429411764705877</v>
      </c>
      <c r="AI40" s="13">
        <f>IF('Données projet'!$A$62&gt;35,AI39+AH40-AQ39,IF(A40&lt;'Données projet'!$A$62,$AF$205^A40,IF(A40='Données projet'!$A$62,'Données projet'!$B$62,AI39+AH40-AQ39)))</f>
        <v>238.38882352941164</v>
      </c>
      <c r="AJ40" s="13">
        <f>AI40*VLOOKUP('Données projet'!$B$10,Paramètres!$A$1:$I$89,3,0)*VLOOKUP('Données projet'!$B$10,Paramètres!$A$1:$I$89,5,0)</f>
        <v>111.56596941176464</v>
      </c>
      <c r="AK40" s="13">
        <f t="shared" si="35"/>
        <v>29.699635093753383</v>
      </c>
      <c r="AL40" s="20">
        <f t="shared" si="4"/>
        <v>246.03759451377718</v>
      </c>
      <c r="AM40" s="59">
        <f t="shared" si="5"/>
        <v>491.39694648444828</v>
      </c>
      <c r="AN40" s="59">
        <f ca="1">AVERAGE(OFFSET($AM$3,0,0,'Données projet'!$E$10+1,1))-AVERAGE(OFFSET($H$3,0,0,'Données projet'!$E$10+1,1))</f>
        <v>325.45940224919184</v>
      </c>
      <c r="AO40" s="59">
        <f t="shared" si="36"/>
        <v>256.30046621034876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0</v>
      </c>
      <c r="AV40" s="21">
        <f>EXP(-LN(2)/25)*AV39+(1-EXP(-LN(2)/25))/(LN(2)/25)*Calculateur!AQ40*Calculateur!AS40*VLOOKUP('Données projet'!$B$10,Paramètres!$A$1:$I$89,3,0)*0.475*44/12</f>
        <v>0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0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3.3603333333333336</v>
      </c>
      <c r="BD40" s="12">
        <f>IF('Données projet'!$A$88&gt;35,BD39+BC40-BL39,IF(A40&lt;'Données projet'!$A$88,$BA$205^A40,IF(A40='Données projet'!$A$88,'Données projet'!$B$88,BD39+BC40-BL39)))</f>
        <v>124.33233333333331</v>
      </c>
      <c r="BE40" s="13">
        <f>BD40*VLOOKUP('Données projet'!$B$11,Paramètres!$A$1:$I$89,3,0)*VLOOKUP('Données projet'!$B$11,Paramètres!$A$1:$I$89,5,0)</f>
        <v>126.07298599999999</v>
      </c>
      <c r="BF40" s="13">
        <f t="shared" si="37"/>
        <v>33.08732814573294</v>
      </c>
      <c r="BG40" s="20">
        <f t="shared" si="7"/>
        <v>277.20421380381816</v>
      </c>
      <c r="BH40" s="59">
        <f t="shared" si="8"/>
        <v>522.56356577448923</v>
      </c>
      <c r="BI40" s="59">
        <f ca="1">AVERAGE(OFFSET($BH$3,0,0,'Données projet'!$E$11+1,1))-AVERAGE(OFFSET($H$3,0,0,'Données projet'!$E$11+1,1))</f>
        <v>580.02848304986492</v>
      </c>
      <c r="BJ40" s="59">
        <f t="shared" si="38"/>
        <v>281.68891895586728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0</v>
      </c>
      <c r="BQ40" s="21">
        <f>EXP(-LN(2)/25)*BQ39+(1-EXP(-LN(2)/25))/(LN(2)/25)*Calculateur!BL40*Calculateur!BN40*VLOOKUP('Données projet'!$B$11,Paramètres!$A$1:$I$89,3,0)*0.475*44/12</f>
        <v>0</v>
      </c>
      <c r="BR40" s="21">
        <f>EXP(-LN(2)/2)*BR39+(1-EXP(-LN(2)/2))/(LN(2)/2)*BL40*BO40*VLOOKUP('Données projet'!$B$11,Paramètres!$A$1:$I$89,3,0)*0.475*44/12</f>
        <v>0</v>
      </c>
      <c r="BS40" s="22">
        <f t="shared" si="9"/>
        <v>0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11.4</v>
      </c>
      <c r="BY40" s="12">
        <f>IF('Données projet'!$A$114&gt;35,BY39+BX40-CG39,IF(A40&lt;'Données projet'!$A$114,$BV$205^A40,IF(A40='Données projet'!$A$114,'Données projet'!$B$114,BY39+BX40-CG39)))</f>
        <v>193.79999999999998</v>
      </c>
      <c r="BZ40" s="13">
        <f>BY40*VLOOKUP('Données projet'!$B$12,Paramètres!$A$1:$I$89,3,0)*VLOOKUP('Données projet'!$B$12,Paramètres!$A$1:$I$89,5,0)</f>
        <v>184.42007999999998</v>
      </c>
      <c r="CA40" s="13">
        <f t="shared" si="39"/>
        <v>46.304179794239147</v>
      </c>
      <c r="CB40" s="20">
        <f t="shared" si="10"/>
        <v>401.84475247496647</v>
      </c>
      <c r="CC40" s="59">
        <f t="shared" si="11"/>
        <v>647.20410444563754</v>
      </c>
      <c r="CD40" s="59">
        <f ca="1">AVERAGE(OFFSET($CC$3,0,0,'Données projet'!$E$12+1,1))-AVERAGE(OFFSET($H$3,0,0,'Données projet'!$E$12+1,1))</f>
        <v>439.15394290667945</v>
      </c>
      <c r="CE40" s="59">
        <f t="shared" si="40"/>
        <v>423.56554025351068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7.2499709294654879</v>
      </c>
      <c r="CL40" s="21">
        <f>EXP(-LN(2)/25)*CL39+(1-EXP(-LN(2)/25))/(LN(2)/25)*Calculateur!CG40*Calculateur!CI40*VLOOKUP('Données projet'!$B$12,Paramètres!$A$1:$I$89,3,0)*0.475*44/12</f>
        <v>14.222672953619561</v>
      </c>
      <c r="CM40" s="21">
        <f>EXP(-LN(2)/2)*CM39+(1-EXP(-LN(2)/2))/(LN(2)/2)*CG40*CJ40*VLOOKUP('Données projet'!$B$12,Paramètres!$A$1:$I$89,3,0)*0.475*44/12</f>
        <v>4.7705034534256381</v>
      </c>
      <c r="CN40" s="22">
        <f t="shared" si="12"/>
        <v>26.243147336510688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11.4</v>
      </c>
      <c r="CT40" s="12">
        <f>IF('Données projet'!$A$140&gt;35,CT39+CS40-DB39,IF(A40&lt;'Données projet'!$A$140,$CQ$205^A40,IF(A40='Données projet'!$A$140,'Données projet'!$B$140,CT39+CS40-DB39)))</f>
        <v>193.79999999999998</v>
      </c>
      <c r="CU40" s="17">
        <f>CT40*VLOOKUP('Données projet'!$B$13,Paramètres!$A$1:$I$89,3,0)*VLOOKUP('Données projet'!$B$13,Paramètres!$A$1:$I$89,5,0)</f>
        <v>169.30368000000001</v>
      </c>
      <c r="CV40" s="13">
        <f t="shared" si="41"/>
        <v>42.934033834973214</v>
      </c>
      <c r="CW40" s="20">
        <f t="shared" si="13"/>
        <v>369.64735159591169</v>
      </c>
      <c r="CX40" s="59">
        <f t="shared" si="14"/>
        <v>615.00670356658281</v>
      </c>
      <c r="CY40" s="59">
        <f ca="1">AVERAGE(OFFSET($CX$3,0,0,'Données projet'!$E$13+1,1))-AVERAGE(OFFSET($H$3,0,0,'Données projet'!$E$13+1,1))</f>
        <v>408.246209980743</v>
      </c>
      <c r="CZ40" s="59">
        <f t="shared" si="42"/>
        <v>394.10236303013903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>
        <f>EXP(-LN(2)/35)*DF39+(1-EXP(-LN(2)/35))/(LN(2)/35)*DB40*DC40*VLOOKUP('Données projet'!$B$13,Paramètres!$A$1:$I$89,3,0)*0.475*44/12</f>
        <v>8.2035507886593884</v>
      </c>
      <c r="DG40" s="21">
        <f>EXP(-LN(2)/25)*DG39+(1-EXP(-LN(2)/25))/(LN(2)/25)*Calculateur!DB40*Calculateur!DD40*VLOOKUP('Données projet'!$B$13,Paramètres!$A$1:$I$89,3,0)*0.475*44/12</f>
        <v>16.093363830096401</v>
      </c>
      <c r="DH40" s="21">
        <f>EXP(-LN(2)/2)*DH39+(1-EXP(-LN(2)/2))/(LN(2)/2)*DB40*DE40*VLOOKUP('Données projet'!$B$13,Paramètres!$A$1:$I$89,3,0)*0.475*44/12</f>
        <v>4.3794785801940277</v>
      </c>
      <c r="DI40" s="22">
        <f t="shared" si="15"/>
        <v>28.676393198949818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11.4</v>
      </c>
      <c r="DO40" s="12">
        <f>IF('Données projet'!$A$166&gt;35,DO39+DN40-DW39,IF(A40&lt;'Données projet'!$A$166,$DL$205^A40,IF(A40='Données projet'!$A$166,'Données projet'!$B$166,DO39+DN40-DW39)))</f>
        <v>193.79999999999998</v>
      </c>
      <c r="DP40" s="17">
        <f>DO40*VLOOKUP('Données projet'!$B$14,Paramètres!$A$1:$I$89,3,0)*VLOOKUP('Données projet'!$B$14,Paramètres!$A$1:$I$89,5,0)</f>
        <v>151.16399999999999</v>
      </c>
      <c r="DQ40" s="13">
        <f t="shared" si="43"/>
        <v>38.842989674159945</v>
      </c>
      <c r="DR40" s="20">
        <f t="shared" si="16"/>
        <v>330.92884034916193</v>
      </c>
      <c r="DS40" s="59">
        <f t="shared" si="17"/>
        <v>576.288192319833</v>
      </c>
      <c r="DT40" s="59">
        <f ca="1">AVERAGE(OFFSET($DS$3,0,0,'Données projet'!$E$14+1,1))-AVERAGE(OFFSET($H$3,0,0,'Données projet'!$E$14+1,1))</f>
        <v>371.07993287480366</v>
      </c>
      <c r="DU40" s="59">
        <f t="shared" si="44"/>
        <v>358.67120540290637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>
        <f>EXP(-LN(2)/35)*EA39+(1-EXP(-LN(2)/35))/(LN(2)/35)*DW40*DX40*VLOOKUP('Données projet'!$B$14,Paramètres!$A$1:$I$89,3,0)*0.475*44/12</f>
        <v>5.9425991225126946</v>
      </c>
      <c r="EB40" s="21">
        <f>EXP(-LN(2)/25)*EB39+(1-EXP(-LN(2)/25))/(LN(2)/25)*Calculateur!DW40*Calculateur!DY40*VLOOKUP('Données projet'!$B$14,Paramètres!$A$1:$I$89,3,0)*0.475*44/12</f>
        <v>11.657928650507836</v>
      </c>
      <c r="EC40" s="21">
        <f>EXP(-LN(2)/2)*EC39+(1-EXP(-LN(2)/2))/(LN(2)/2)*DW40*DZ40*VLOOKUP('Données projet'!$B$14,Paramètres!$A$1:$I$89,3,0)*0.475*44/12</f>
        <v>3.9102487323160968</v>
      </c>
      <c r="ED40" s="22">
        <f t="shared" si="18"/>
        <v>21.510776505336629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45">
      <c r="A41" s="10">
        <f t="shared" si="31"/>
        <v>38</v>
      </c>
      <c r="B41" s="73">
        <f>'Scénario référence'!$B$16*5+'Scénario référence'!$B$17*0+'Scénario référence'!$B$18*5</f>
        <v>5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1">
        <f t="shared" si="32"/>
        <v>0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18.333333333333332</v>
      </c>
      <c r="H41" s="67">
        <f t="shared" si="1"/>
        <v>183.33333333333334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4.0942857142857143</v>
      </c>
      <c r="N41" s="13">
        <f>IF('Données projet'!$A$36&gt;35,N40+M41-V40,IF(A41&lt;'Données projet'!$A$36,$K$205^A41,IF(A41='Données projet'!$A$36,'Données projet'!$B$36,N40+M41-V40)))</f>
        <v>155.58285714285725</v>
      </c>
      <c r="O41" s="13">
        <f>N41*VLOOKUP('Données projet'!$B$9,Paramètres!$A$1:$I$89,3,0)*VLOOKUP('Données projet'!$B$9,Paramètres!$A$1:$I$89,5,0)</f>
        <v>140.77136914285722</v>
      </c>
      <c r="P41" s="13">
        <f t="shared" si="33"/>
        <v>36.473658784165018</v>
      </c>
      <c r="Q41" s="20">
        <f t="shared" si="53"/>
        <v>308.70175697289704</v>
      </c>
      <c r="R41" s="59">
        <f t="shared" si="0"/>
        <v>554.89335026645574</v>
      </c>
      <c r="S41" s="59">
        <f ca="1">AVERAGE(OFFSET($R$3,0,0,'Données projet'!$E$9+1,1))-AVERAGE(OFFSET($H$3,0,0,'Données projet'!$E$9+1,1))</f>
        <v>681.47578137804555</v>
      </c>
      <c r="T41" s="59">
        <f t="shared" si="34"/>
        <v>300.88511065995885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0</v>
      </c>
      <c r="AA41" s="21">
        <f>EXP(-LN(2)/25)*AA40+(1-EXP(-LN(2)/25))/(LN(2)/25)*Calculateur!V41*Calculateur!X41*VLOOKUP('Données projet'!$B$9,Paramètres!$A$1:$I$89,3,0)*0.475*44/12</f>
        <v>0</v>
      </c>
      <c r="AB41" s="21">
        <f>EXP(-LN(2)/2)*AB40+(1-EXP(-LN(2)/2))/(LN(2)/2)*V41*Y41*VLOOKUP('Données projet'!$B$9,Paramètres!$A$1:$I$89,3,0)*0.475*44/12</f>
        <v>0</v>
      </c>
      <c r="AC41" s="22">
        <f t="shared" si="3"/>
        <v>0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6.4429411764705877</v>
      </c>
      <c r="AI41" s="13">
        <f>IF('Données projet'!$A$62&gt;35,AI40+AH41-AQ40,IF(A41&lt;'Données projet'!$A$62,$AF$205^A41,IF(A41='Données projet'!$A$62,'Données projet'!$B$62,AI40+AH41-AQ40)))</f>
        <v>244.83176470588222</v>
      </c>
      <c r="AJ41" s="13">
        <f>AI41*VLOOKUP('Données projet'!$B$10,Paramètres!$A$1:$I$89,3,0)*VLOOKUP('Données projet'!$B$10,Paramètres!$A$1:$I$89,5,0)</f>
        <v>114.58126588235287</v>
      </c>
      <c r="AK41" s="13">
        <f t="shared" si="35"/>
        <v>30.407789904629308</v>
      </c>
      <c r="AL41" s="20">
        <f t="shared" si="4"/>
        <v>252.5226054956606</v>
      </c>
      <c r="AM41" s="59">
        <f t="shared" si="5"/>
        <v>498.71419878921932</v>
      </c>
      <c r="AN41" s="59">
        <f ca="1">AVERAGE(OFFSET($AM$3,0,0,'Données projet'!$E$10+1,1))-AVERAGE(OFFSET($H$3,0,0,'Données projet'!$E$10+1,1))</f>
        <v>325.45940224919184</v>
      </c>
      <c r="AO41" s="59">
        <f t="shared" si="36"/>
        <v>256.30046621034876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0</v>
      </c>
      <c r="AV41" s="21">
        <f>EXP(-LN(2)/25)*AV40+(1-EXP(-LN(2)/25))/(LN(2)/25)*Calculateur!AQ41*Calculateur!AS41*VLOOKUP('Données projet'!$B$10,Paramètres!$A$1:$I$89,3,0)*0.475*44/12</f>
        <v>0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0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3.3603333333333336</v>
      </c>
      <c r="BD41" s="12">
        <f>IF('Données projet'!$A$88&gt;35,BD40+BC41-BL40,IF(A41&lt;'Données projet'!$A$88,$BA$205^A41,IF(A41='Données projet'!$A$88,'Données projet'!$B$88,BD40+BC41-BL40)))</f>
        <v>127.69266666666664</v>
      </c>
      <c r="BE41" s="13">
        <f>BD41*VLOOKUP('Données projet'!$B$11,Paramètres!$A$1:$I$89,3,0)*VLOOKUP('Données projet'!$B$11,Paramètres!$A$1:$I$89,5,0)</f>
        <v>129.48036399999998</v>
      </c>
      <c r="BF41" s="13">
        <f t="shared" si="37"/>
        <v>33.876258734659984</v>
      </c>
      <c r="BG41" s="20">
        <f t="shared" si="7"/>
        <v>284.51278459619942</v>
      </c>
      <c r="BH41" s="59">
        <f t="shared" si="8"/>
        <v>530.70437788975812</v>
      </c>
      <c r="BI41" s="59">
        <f ca="1">AVERAGE(OFFSET($BH$3,0,0,'Données projet'!$E$11+1,1))-AVERAGE(OFFSET($H$3,0,0,'Données projet'!$E$11+1,1))</f>
        <v>580.02848304986492</v>
      </c>
      <c r="BJ41" s="59">
        <f t="shared" si="38"/>
        <v>281.68891895586728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0</v>
      </c>
      <c r="BQ41" s="21">
        <f>EXP(-LN(2)/25)*BQ40+(1-EXP(-LN(2)/25))/(LN(2)/25)*Calculateur!BL41*Calculateur!BN41*VLOOKUP('Données projet'!$B$11,Paramètres!$A$1:$I$89,3,0)*0.475*44/12</f>
        <v>0</v>
      </c>
      <c r="BR41" s="21">
        <f>EXP(-LN(2)/2)*BR40+(1-EXP(-LN(2)/2))/(LN(2)/2)*BL41*BO41*VLOOKUP('Données projet'!$B$11,Paramètres!$A$1:$I$89,3,0)*0.475*44/12</f>
        <v>0</v>
      </c>
      <c r="BS41" s="22">
        <f t="shared" si="9"/>
        <v>0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11.4</v>
      </c>
      <c r="BY41" s="12">
        <f>IF('Données projet'!$A$114&gt;35,BY40+BX41-CG40,IF(A41&lt;'Données projet'!$A$114,$BV$205^A41,IF(A41='Données projet'!$A$114,'Données projet'!$B$114,BY40+BX41-CG40)))</f>
        <v>205.2</v>
      </c>
      <c r="BZ41" s="13">
        <f>BY41*VLOOKUP('Données projet'!$B$12,Paramètres!$A$1:$I$89,3,0)*VLOOKUP('Données projet'!$B$12,Paramètres!$A$1:$I$89,5,0)</f>
        <v>195.26831999999999</v>
      </c>
      <c r="CA41" s="13">
        <f t="shared" si="39"/>
        <v>48.702843078505502</v>
      </c>
      <c r="CB41" s="20">
        <f t="shared" si="10"/>
        <v>424.91644236173039</v>
      </c>
      <c r="CC41" s="59">
        <f t="shared" si="11"/>
        <v>671.10803565528909</v>
      </c>
      <c r="CD41" s="59">
        <f ca="1">AVERAGE(OFFSET($CC$3,0,0,'Données projet'!$E$12+1,1))-AVERAGE(OFFSET($H$3,0,0,'Données projet'!$E$12+1,1))</f>
        <v>439.15394290667945</v>
      </c>
      <c r="CE41" s="59">
        <f t="shared" si="40"/>
        <v>423.56554025351068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7.107803421584296</v>
      </c>
      <c r="CL41" s="21">
        <f>EXP(-LN(2)/25)*CL40+(1-EXP(-LN(2)/25))/(LN(2)/25)*Calculateur!CG41*Calculateur!CI41*VLOOKUP('Données projet'!$B$12,Paramètres!$A$1:$I$89,3,0)*0.475*44/12</f>
        <v>13.83375321376497</v>
      </c>
      <c r="CM41" s="21">
        <f>EXP(-LN(2)/2)*CM40+(1-EXP(-LN(2)/2))/(LN(2)/2)*CG41*CJ41*VLOOKUP('Données projet'!$B$12,Paramètres!$A$1:$I$89,3,0)*0.475*44/12</f>
        <v>3.3732553415911122</v>
      </c>
      <c r="CN41" s="22">
        <f t="shared" si="12"/>
        <v>24.314811976940376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11.4</v>
      </c>
      <c r="CT41" s="12">
        <f>IF('Données projet'!$A$140&gt;35,CT40+CS41-DB40,IF(A41&lt;'Données projet'!$A$140,$CQ$205^A41,IF(A41='Données projet'!$A$140,'Données projet'!$B$140,CT40+CS41-DB40)))</f>
        <v>205.2</v>
      </c>
      <c r="CU41" s="17">
        <f>CT41*VLOOKUP('Données projet'!$B$13,Paramètres!$A$1:$I$89,3,0)*VLOOKUP('Données projet'!$B$13,Paramètres!$A$1:$I$89,5,0)</f>
        <v>179.26272</v>
      </c>
      <c r="CV41" s="13">
        <f t="shared" si="41"/>
        <v>45.158115787467153</v>
      </c>
      <c r="CW41" s="20">
        <f t="shared" si="13"/>
        <v>390.86628899650526</v>
      </c>
      <c r="CX41" s="59">
        <f t="shared" si="14"/>
        <v>637.05788229006396</v>
      </c>
      <c r="CY41" s="59">
        <f ca="1">AVERAGE(OFFSET($CX$3,0,0,'Données projet'!$E$13+1,1))-AVERAGE(OFFSET($H$3,0,0,'Données projet'!$E$13+1,1))</f>
        <v>408.246209980743</v>
      </c>
      <c r="CZ41" s="59">
        <f t="shared" si="42"/>
        <v>394.10236303013903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>
        <f>EXP(-LN(2)/35)*DF40+(1-EXP(-LN(2)/35))/(LN(2)/35)*DB41*DC41*VLOOKUP('Données projet'!$B$13,Paramètres!$A$1:$I$89,3,0)*0.475*44/12</f>
        <v>8.0426841613656865</v>
      </c>
      <c r="DG41" s="21">
        <f>EXP(-LN(2)/25)*DG40+(1-EXP(-LN(2)/25))/(LN(2)/25)*Calculateur!DB41*Calculateur!DD41*VLOOKUP('Données projet'!$B$13,Paramètres!$A$1:$I$89,3,0)*0.475*44/12</f>
        <v>15.653289949849192</v>
      </c>
      <c r="DH41" s="21">
        <f>EXP(-LN(2)/2)*DH40+(1-EXP(-LN(2)/2))/(LN(2)/2)*DB41*DE41*VLOOKUP('Données projet'!$B$13,Paramètres!$A$1:$I$89,3,0)*0.475*44/12</f>
        <v>3.0967590021164302</v>
      </c>
      <c r="DI41" s="22">
        <f t="shared" si="15"/>
        <v>26.792733113331309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11.4</v>
      </c>
      <c r="DO41" s="12">
        <f>IF('Données projet'!$A$166&gt;35,DO40+DN41-DW40,IF(A41&lt;'Données projet'!$A$166,$DL$205^A41,IF(A41='Données projet'!$A$166,'Données projet'!$B$166,DO40+DN41-DW40)))</f>
        <v>205.2</v>
      </c>
      <c r="DP41" s="17">
        <f>DO41*VLOOKUP('Données projet'!$B$14,Paramètres!$A$1:$I$89,3,0)*VLOOKUP('Données projet'!$B$14,Paramètres!$A$1:$I$89,5,0)</f>
        <v>160.05599999999998</v>
      </c>
      <c r="DQ41" s="13">
        <f t="shared" si="43"/>
        <v>40.855146105751423</v>
      </c>
      <c r="DR41" s="20">
        <f t="shared" si="16"/>
        <v>349.92024613418363</v>
      </c>
      <c r="DS41" s="59">
        <f t="shared" si="17"/>
        <v>596.11183942774232</v>
      </c>
      <c r="DT41" s="59">
        <f ca="1">AVERAGE(OFFSET($DS$3,0,0,'Données projet'!$E$14+1,1))-AVERAGE(OFFSET($H$3,0,0,'Données projet'!$E$14+1,1))</f>
        <v>371.07993287480366</v>
      </c>
      <c r="DU41" s="59">
        <f t="shared" si="44"/>
        <v>358.67120540290637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>
        <f>EXP(-LN(2)/35)*EA40+(1-EXP(-LN(2)/35))/(LN(2)/35)*DW41*DX41*VLOOKUP('Données projet'!$B$14,Paramètres!$A$1:$I$89,3,0)*0.475*44/12</f>
        <v>5.8260683783477836</v>
      </c>
      <c r="EB41" s="21">
        <f>EXP(-LN(2)/25)*EB40+(1-EXP(-LN(2)/25))/(LN(2)/25)*Calculateur!DW41*Calculateur!DY41*VLOOKUP('Données projet'!$B$14,Paramètres!$A$1:$I$89,3,0)*0.475*44/12</f>
        <v>11.339141978495876</v>
      </c>
      <c r="EC41" s="21">
        <f>EXP(-LN(2)/2)*EC40+(1-EXP(-LN(2)/2))/(LN(2)/2)*DW41*DZ41*VLOOKUP('Données projet'!$B$14,Paramètres!$A$1:$I$89,3,0)*0.475*44/12</f>
        <v>2.7649633947468133</v>
      </c>
      <c r="ED41" s="22">
        <f t="shared" si="18"/>
        <v>19.930173751590473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45">
      <c r="A42" s="10">
        <f t="shared" si="31"/>
        <v>39</v>
      </c>
      <c r="B42" s="73">
        <f>'Scénario référence'!$B$16*5+'Scénario référence'!$B$17*0+'Scénario référence'!$B$18*5</f>
        <v>5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1">
        <f t="shared" si="32"/>
        <v>0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18.333333333333332</v>
      </c>
      <c r="H42" s="67">
        <f t="shared" si="1"/>
        <v>183.33333333333334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4.0942857142857143</v>
      </c>
      <c r="N42" s="13">
        <f>IF('Données projet'!$A$36&gt;35,N41+M42-V41,IF(A42&lt;'Données projet'!$A$36,$K$205^A42,IF(A42='Données projet'!$A$36,'Données projet'!$B$36,N41+M42-V41)))</f>
        <v>159.67714285714297</v>
      </c>
      <c r="O42" s="13">
        <f>N42*VLOOKUP('Données projet'!$B$9,Paramètres!$A$1:$I$89,3,0)*VLOOKUP('Données projet'!$B$9,Paramètres!$A$1:$I$89,5,0)</f>
        <v>144.47587885714296</v>
      </c>
      <c r="P42" s="13">
        <f t="shared" si="33"/>
        <v>37.320480935293446</v>
      </c>
      <c r="Q42" s="20">
        <f t="shared" si="53"/>
        <v>316.62865997182678</v>
      </c>
      <c r="R42" s="59">
        <f t="shared" si="0"/>
        <v>563.63805706193386</v>
      </c>
      <c r="S42" s="59">
        <f ca="1">AVERAGE(OFFSET($R$3,0,0,'Données projet'!$E$9+1,1))-AVERAGE(OFFSET($H$3,0,0,'Données projet'!$E$9+1,1))</f>
        <v>681.47578137804555</v>
      </c>
      <c r="T42" s="59">
        <f t="shared" si="34"/>
        <v>300.88511065995885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0</v>
      </c>
      <c r="AA42" s="21">
        <f>EXP(-LN(2)/25)*AA41+(1-EXP(-LN(2)/25))/(LN(2)/25)*Calculateur!V42*Calculateur!X42*VLOOKUP('Données projet'!$B$9,Paramètres!$A$1:$I$89,3,0)*0.475*44/12</f>
        <v>0</v>
      </c>
      <c r="AB42" s="21">
        <f>EXP(-LN(2)/2)*AB41+(1-EXP(-LN(2)/2))/(LN(2)/2)*V42*Y42*VLOOKUP('Données projet'!$B$9,Paramètres!$A$1:$I$89,3,0)*0.475*44/12</f>
        <v>0</v>
      </c>
      <c r="AC42" s="22">
        <f t="shared" si="3"/>
        <v>0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6.4429411764705877</v>
      </c>
      <c r="AI42" s="13">
        <f>IF('Données projet'!$A$62&gt;35,AI41+AH42-AQ41,IF(A42&lt;'Données projet'!$A$62,$AF$205^A42,IF(A42='Données projet'!$A$62,'Données projet'!$B$62,AI41+AH42-AQ41)))</f>
        <v>251.27470588235281</v>
      </c>
      <c r="AJ42" s="13">
        <f>AI42*VLOOKUP('Données projet'!$B$10,Paramètres!$A$1:$I$89,3,0)*VLOOKUP('Données projet'!$B$10,Paramètres!$A$1:$I$89,5,0)</f>
        <v>117.59656235294111</v>
      </c>
      <c r="AK42" s="13">
        <f t="shared" si="35"/>
        <v>31.113778580195845</v>
      </c>
      <c r="AL42" s="20">
        <f t="shared" si="4"/>
        <v>259.00384379188023</v>
      </c>
      <c r="AM42" s="59">
        <f t="shared" si="5"/>
        <v>506.01324088198737</v>
      </c>
      <c r="AN42" s="59">
        <f ca="1">AVERAGE(OFFSET($AM$3,0,0,'Données projet'!$E$10+1,1))-AVERAGE(OFFSET($H$3,0,0,'Données projet'!$E$10+1,1))</f>
        <v>325.45940224919184</v>
      </c>
      <c r="AO42" s="59">
        <f t="shared" si="36"/>
        <v>256.30046621034876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0</v>
      </c>
      <c r="AV42" s="21">
        <f>EXP(-LN(2)/25)*AV41+(1-EXP(-LN(2)/25))/(LN(2)/25)*Calculateur!AQ42*Calculateur!AS42*VLOOKUP('Données projet'!$B$10,Paramètres!$A$1:$I$89,3,0)*0.475*44/12</f>
        <v>0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0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3.3603333333333336</v>
      </c>
      <c r="BD42" s="12">
        <f>IF('Données projet'!$A$88&gt;35,BD41+BC42-BL41,IF(A42&lt;'Données projet'!$A$88,$BA$205^A42,IF(A42='Données projet'!$A$88,'Données projet'!$B$88,BD41+BC42-BL41)))</f>
        <v>131.05299999999997</v>
      </c>
      <c r="BE42" s="13">
        <f>BD42*VLOOKUP('Données projet'!$B$11,Paramètres!$A$1:$I$89,3,0)*VLOOKUP('Données projet'!$B$11,Paramètres!$A$1:$I$89,5,0)</f>
        <v>132.88774199999997</v>
      </c>
      <c r="BF42" s="13">
        <f t="shared" si="37"/>
        <v>34.662776107749004</v>
      </c>
      <c r="BG42" s="20">
        <f t="shared" si="7"/>
        <v>291.81715237099615</v>
      </c>
      <c r="BH42" s="59">
        <f t="shared" si="8"/>
        <v>538.82654946110324</v>
      </c>
      <c r="BI42" s="59">
        <f ca="1">AVERAGE(OFFSET($BH$3,0,0,'Données projet'!$E$11+1,1))-AVERAGE(OFFSET($H$3,0,0,'Données projet'!$E$11+1,1))</f>
        <v>580.02848304986492</v>
      </c>
      <c r="BJ42" s="59">
        <f t="shared" si="38"/>
        <v>281.68891895586728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0</v>
      </c>
      <c r="BQ42" s="21">
        <f>EXP(-LN(2)/25)*BQ41+(1-EXP(-LN(2)/25))/(LN(2)/25)*Calculateur!BL42*Calculateur!BN42*VLOOKUP('Données projet'!$B$11,Paramètres!$A$1:$I$89,3,0)*0.475*44/12</f>
        <v>0</v>
      </c>
      <c r="BR42" s="21">
        <f>EXP(-LN(2)/2)*BR41+(1-EXP(-LN(2)/2))/(LN(2)/2)*BL42*BO42*VLOOKUP('Données projet'!$B$11,Paramètres!$A$1:$I$89,3,0)*0.475*44/12</f>
        <v>0</v>
      </c>
      <c r="BS42" s="22">
        <f t="shared" si="9"/>
        <v>0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11.4</v>
      </c>
      <c r="BY42" s="12">
        <f>IF('Données projet'!$A$114&gt;35,BY41+BX42-CG41,IF(A42&lt;'Données projet'!$A$114,$BV$205^A42,IF(A42='Données projet'!$A$114,'Données projet'!$B$114,BY41+BX42-CG41)))</f>
        <v>216.6</v>
      </c>
      <c r="BZ42" s="13">
        <f>BY42*VLOOKUP('Données projet'!$B$12,Paramètres!$A$1:$I$89,3,0)*VLOOKUP('Données projet'!$B$12,Paramètres!$A$1:$I$89,5,0)</f>
        <v>206.11656000000002</v>
      </c>
      <c r="CA42" s="13">
        <f t="shared" si="39"/>
        <v>51.086036652420376</v>
      </c>
      <c r="CB42" s="20">
        <f t="shared" si="10"/>
        <v>447.96118916963223</v>
      </c>
      <c r="CC42" s="59">
        <f t="shared" si="11"/>
        <v>694.97058625973932</v>
      </c>
      <c r="CD42" s="59">
        <f ca="1">AVERAGE(OFFSET($CC$3,0,0,'Données projet'!$E$12+1,1))-AVERAGE(OFFSET($H$3,0,0,'Données projet'!$E$12+1,1))</f>
        <v>439.15394290667945</v>
      </c>
      <c r="CE42" s="59">
        <f t="shared" si="40"/>
        <v>423.56554025351068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6.968423731819037</v>
      </c>
      <c r="CL42" s="21">
        <f>EXP(-LN(2)/25)*CL41+(1-EXP(-LN(2)/25))/(LN(2)/25)*Calculateur!CG42*Calculateur!CI42*VLOOKUP('Données projet'!$B$12,Paramètres!$A$1:$I$89,3,0)*0.475*44/12</f>
        <v>13.455468504649103</v>
      </c>
      <c r="CM42" s="21">
        <f>EXP(-LN(2)/2)*CM41+(1-EXP(-LN(2)/2))/(LN(2)/2)*CG42*CJ42*VLOOKUP('Données projet'!$B$12,Paramètres!$A$1:$I$89,3,0)*0.475*44/12</f>
        <v>2.3852517267128195</v>
      </c>
      <c r="CN42" s="22">
        <f t="shared" si="12"/>
        <v>22.809143963180961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11.4</v>
      </c>
      <c r="CT42" s="12">
        <f>IF('Données projet'!$A$140&gt;35,CT41+CS42-DB41,IF(A42&lt;'Données projet'!$A$140,$CQ$205^A42,IF(A42='Données projet'!$A$140,'Données projet'!$B$140,CT41+CS42-DB41)))</f>
        <v>216.6</v>
      </c>
      <c r="CU42" s="17">
        <f>CT42*VLOOKUP('Données projet'!$B$13,Paramètres!$A$1:$I$89,3,0)*VLOOKUP('Données projet'!$B$13,Paramètres!$A$1:$I$89,5,0)</f>
        <v>189.22176000000002</v>
      </c>
      <c r="CV42" s="13">
        <f t="shared" si="41"/>
        <v>47.367853957810077</v>
      </c>
      <c r="CW42" s="20">
        <f t="shared" si="13"/>
        <v>412.06024430985258</v>
      </c>
      <c r="CX42" s="59">
        <f t="shared" si="14"/>
        <v>659.06964139995966</v>
      </c>
      <c r="CY42" s="59">
        <f ca="1">AVERAGE(OFFSET($CX$3,0,0,'Données projet'!$E$13+1,1))-AVERAGE(OFFSET($H$3,0,0,'Données projet'!$E$13+1,1))</f>
        <v>408.246209980743</v>
      </c>
      <c r="CZ42" s="59">
        <f t="shared" si="42"/>
        <v>394.10236303013903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>
        <f>EXP(-LN(2)/35)*DF41+(1-EXP(-LN(2)/35))/(LN(2)/35)*DB42*DC42*VLOOKUP('Données projet'!$B$13,Paramètres!$A$1:$I$89,3,0)*0.475*44/12</f>
        <v>7.8849720305142608</v>
      </c>
      <c r="DG42" s="21">
        <f>EXP(-LN(2)/25)*DG41+(1-EXP(-LN(2)/25))/(LN(2)/25)*Calculateur!DB42*Calculateur!DD42*VLOOKUP('Données projet'!$B$13,Paramètres!$A$1:$I$89,3,0)*0.475*44/12</f>
        <v>15.225249912999823</v>
      </c>
      <c r="DH42" s="21">
        <f>EXP(-LN(2)/2)*DH41+(1-EXP(-LN(2)/2))/(LN(2)/2)*DB42*DE42*VLOOKUP('Données projet'!$B$13,Paramètres!$A$1:$I$89,3,0)*0.475*44/12</f>
        <v>2.1897392900970138</v>
      </c>
      <c r="DI42" s="22">
        <f t="shared" si="15"/>
        <v>25.299961233611096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11.4</v>
      </c>
      <c r="DO42" s="12">
        <f>IF('Données projet'!$A$166&gt;35,DO41+DN42-DW41,IF(A42&lt;'Données projet'!$A$166,$DL$205^A42,IF(A42='Données projet'!$A$166,'Données projet'!$B$166,DO41+DN42-DW41)))</f>
        <v>216.6</v>
      </c>
      <c r="DP42" s="17">
        <f>DO42*VLOOKUP('Données projet'!$B$14,Paramètres!$A$1:$I$89,3,0)*VLOOKUP('Données projet'!$B$14,Paramètres!$A$1:$I$89,5,0)</f>
        <v>168.94800000000001</v>
      </c>
      <c r="DQ42" s="13">
        <f t="shared" si="43"/>
        <v>42.854325527446242</v>
      </c>
      <c r="DR42" s="20">
        <f t="shared" si="16"/>
        <v>368.88905029363553</v>
      </c>
      <c r="DS42" s="59">
        <f t="shared" si="17"/>
        <v>615.89844738374268</v>
      </c>
      <c r="DT42" s="59">
        <f ca="1">AVERAGE(OFFSET($DS$3,0,0,'Données projet'!$E$14+1,1))-AVERAGE(OFFSET($H$3,0,0,'Données projet'!$E$14+1,1))</f>
        <v>371.07993287480366</v>
      </c>
      <c r="DU42" s="59">
        <f t="shared" si="44"/>
        <v>358.67120540290637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>
        <f>EXP(-LN(2)/35)*EA41+(1-EXP(-LN(2)/35))/(LN(2)/35)*DW42*DX42*VLOOKUP('Données projet'!$B$14,Paramètres!$A$1:$I$89,3,0)*0.475*44/12</f>
        <v>5.7118227309992102</v>
      </c>
      <c r="EB42" s="21">
        <f>EXP(-LN(2)/25)*EB41+(1-EXP(-LN(2)/25))/(LN(2)/25)*Calculateur!DW42*Calculateur!DY42*VLOOKUP('Données projet'!$B$14,Paramètres!$A$1:$I$89,3,0)*0.475*44/12</f>
        <v>11.029072544794346</v>
      </c>
      <c r="EC42" s="21">
        <f>EXP(-LN(2)/2)*EC41+(1-EXP(-LN(2)/2))/(LN(2)/2)*DW42*DZ42*VLOOKUP('Données projet'!$B$14,Paramètres!$A$1:$I$89,3,0)*0.475*44/12</f>
        <v>1.9551243661580486</v>
      </c>
      <c r="ED42" s="22">
        <f t="shared" si="18"/>
        <v>18.696019641951604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45">
      <c r="A43" s="10">
        <f t="shared" si="31"/>
        <v>40</v>
      </c>
      <c r="B43" s="73">
        <f>'Scénario référence'!$B$16*5+'Scénario référence'!$B$17*0+'Scénario référence'!$B$18*5</f>
        <v>5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1">
        <f t="shared" si="32"/>
        <v>0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18.333333333333332</v>
      </c>
      <c r="H43" s="67">
        <f t="shared" si="1"/>
        <v>183.33333333333334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4.0942857142857143</v>
      </c>
      <c r="N43" s="13">
        <f>IF('Données projet'!$A$36&gt;35,N42+M43-V42,IF(A43&lt;'Données projet'!$A$36,$K$205^A43,IF(A43='Données projet'!$A$36,'Données projet'!$B$36,N42+M43-V42)))</f>
        <v>163.77142857142869</v>
      </c>
      <c r="O43" s="13">
        <f>N43*VLOOKUP('Données projet'!$B$9,Paramètres!$A$1:$I$89,3,0)*VLOOKUP('Données projet'!$B$9,Paramètres!$A$1:$I$89,5,0)</f>
        <v>148.18038857142867</v>
      </c>
      <c r="P43" s="13">
        <f t="shared" si="33"/>
        <v>38.16477912369308</v>
      </c>
      <c r="Q43" s="20">
        <f t="shared" si="53"/>
        <v>324.55116706900372</v>
      </c>
      <c r="R43" s="59">
        <f t="shared" si="0"/>
        <v>572.36418088812457</v>
      </c>
      <c r="S43" s="59">
        <f ca="1">AVERAGE(OFFSET($R$3,0,0,'Données projet'!$E$9+1,1))-AVERAGE(OFFSET($H$3,0,0,'Données projet'!$E$9+1,1))</f>
        <v>681.47578137804555</v>
      </c>
      <c r="T43" s="59">
        <f t="shared" si="34"/>
        <v>300.88511065995885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0</v>
      </c>
      <c r="AA43" s="21">
        <f>EXP(-LN(2)/25)*AA42+(1-EXP(-LN(2)/25))/(LN(2)/25)*Calculateur!V43*Calculateur!X43*VLOOKUP('Données projet'!$B$9,Paramètres!$A$1:$I$89,3,0)*0.475*44/12</f>
        <v>0</v>
      </c>
      <c r="AB43" s="21">
        <f>EXP(-LN(2)/2)*AB42+(1-EXP(-LN(2)/2))/(LN(2)/2)*V43*Y43*VLOOKUP('Données projet'!$B$9,Paramètres!$A$1:$I$89,3,0)*0.475*44/12</f>
        <v>0</v>
      </c>
      <c r="AC43" s="22">
        <f t="shared" si="3"/>
        <v>0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6.4429411764705877</v>
      </c>
      <c r="AI43" s="13">
        <f>IF('Données projet'!$A$62&gt;35,AI42+AH43-AQ42,IF(A43&lt;'Données projet'!$A$62,$AF$205^A43,IF(A43='Données projet'!$A$62,'Données projet'!$B$62,AI42+AH43-AQ42)))</f>
        <v>257.71764705882339</v>
      </c>
      <c r="AJ43" s="13">
        <f>AI43*VLOOKUP('Données projet'!$B$10,Paramètres!$A$1:$I$89,3,0)*VLOOKUP('Données projet'!$B$10,Paramètres!$A$1:$I$89,5,0)</f>
        <v>120.61185882352935</v>
      </c>
      <c r="AK43" s="13">
        <f t="shared" si="35"/>
        <v>31.817663048755449</v>
      </c>
      <c r="AL43" s="20">
        <f t="shared" si="4"/>
        <v>265.48141726089602</v>
      </c>
      <c r="AM43" s="59">
        <f t="shared" si="5"/>
        <v>513.29443108001681</v>
      </c>
      <c r="AN43" s="59">
        <f ca="1">AVERAGE(OFFSET($AM$3,0,0,'Données projet'!$E$10+1,1))-AVERAGE(OFFSET($H$3,0,0,'Données projet'!$E$10+1,1))</f>
        <v>325.45940224919184</v>
      </c>
      <c r="AO43" s="59">
        <f t="shared" si="36"/>
        <v>256.30046621034876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0</v>
      </c>
      <c r="AV43" s="21">
        <f>EXP(-LN(2)/25)*AV42+(1-EXP(-LN(2)/25))/(LN(2)/25)*Calculateur!AQ43*Calculateur!AS43*VLOOKUP('Données projet'!$B$10,Paramètres!$A$1:$I$89,3,0)*0.475*44/12</f>
        <v>0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0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3.3603333333333336</v>
      </c>
      <c r="BD43" s="12">
        <f>IF('Données projet'!$A$88&gt;35,BD42+BC43-BL42,IF(A43&lt;'Données projet'!$A$88,$BA$205^A43,IF(A43='Données projet'!$A$88,'Données projet'!$B$88,BD42+BC43-BL42)))</f>
        <v>134.4133333333333</v>
      </c>
      <c r="BE43" s="13">
        <f>BD43*VLOOKUP('Données projet'!$B$11,Paramètres!$A$1:$I$89,3,0)*VLOOKUP('Données projet'!$B$11,Paramètres!$A$1:$I$89,5,0)</f>
        <v>136.29511999999997</v>
      </c>
      <c r="BF43" s="13">
        <f t="shared" si="37"/>
        <v>35.44694925716302</v>
      </c>
      <c r="BG43" s="20">
        <f t="shared" si="7"/>
        <v>299.11743728955889</v>
      </c>
      <c r="BH43" s="59">
        <f t="shared" si="8"/>
        <v>546.93045110867968</v>
      </c>
      <c r="BI43" s="59">
        <f ca="1">AVERAGE(OFFSET($BH$3,0,0,'Données projet'!$E$11+1,1))-AVERAGE(OFFSET($H$3,0,0,'Données projet'!$E$11+1,1))</f>
        <v>580.02848304986492</v>
      </c>
      <c r="BJ43" s="59">
        <f t="shared" si="38"/>
        <v>281.68891895586728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0</v>
      </c>
      <c r="BQ43" s="21">
        <f>EXP(-LN(2)/25)*BQ42+(1-EXP(-LN(2)/25))/(LN(2)/25)*Calculateur!BL43*Calculateur!BN43*VLOOKUP('Données projet'!$B$11,Paramètres!$A$1:$I$89,3,0)*0.475*44/12</f>
        <v>0</v>
      </c>
      <c r="BR43" s="21">
        <f>EXP(-LN(2)/2)*BR42+(1-EXP(-LN(2)/2))/(LN(2)/2)*BL43*BO43*VLOOKUP('Données projet'!$B$11,Paramètres!$A$1:$I$89,3,0)*0.475*44/12</f>
        <v>0</v>
      </c>
      <c r="BS43" s="22">
        <f t="shared" si="9"/>
        <v>0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>
        <f>VLOOKUP(A43,'Données projet'!$A$113:$I$133,2,0)</f>
        <v>228</v>
      </c>
      <c r="BW43" s="12">
        <f>VLOOKUP(A43,'Données projet'!$A$113:$I$133,9,0)</f>
        <v>11.4</v>
      </c>
      <c r="BX43" s="12">
        <f t="array" ref="BX43">INDEX(BW:BW,MIN(IF(ISNUMBER(BW43:BW239),ROW(BW43:BW239),"")))</f>
        <v>11.4</v>
      </c>
      <c r="BY43" s="12">
        <f>IF('Données projet'!$A$114&gt;35,BY42+BX43-CG42,IF(A43&lt;'Données projet'!$A$114,$BV$205^A43,IF(A43='Données projet'!$A$114,'Données projet'!$B$114,BY42+BX43-CG42)))</f>
        <v>228</v>
      </c>
      <c r="BZ43" s="13">
        <f>BY43*VLOOKUP('Données projet'!$B$12,Paramètres!$A$1:$I$89,3,0)*VLOOKUP('Données projet'!$B$12,Paramètres!$A$1:$I$89,5,0)</f>
        <v>216.9648</v>
      </c>
      <c r="CA43" s="13">
        <f t="shared" si="39"/>
        <v>53.454667563841021</v>
      </c>
      <c r="CB43" s="20">
        <f t="shared" si="10"/>
        <v>470.98057267368972</v>
      </c>
      <c r="CC43" s="59">
        <f t="shared" si="11"/>
        <v>718.7935864928105</v>
      </c>
      <c r="CD43" s="59">
        <f ca="1">AVERAGE(OFFSET($CC$3,0,0,'Données projet'!$E$12+1,1))-AVERAGE(OFFSET($H$3,0,0,'Données projet'!$E$12+1,1))</f>
        <v>439.15394290667945</v>
      </c>
      <c r="CE43" s="59">
        <f t="shared" si="40"/>
        <v>423.56554025351068</v>
      </c>
      <c r="CF43" s="15">
        <f>IF(ISNA(VLOOKUP(A43,'Données projet'!$A$113:$I$133,3,0)),0,VLOOKUP(A43,'Données projet'!$A$113:$I$133,3,0))</f>
        <v>6</v>
      </c>
      <c r="CG43" s="15">
        <f>IF(ISNA(VLOOKUP(A43,'Données projet'!$A$113:$I$133,4,0)),0,VLOOKUP(A43,'Données projet'!$A$113:$I$133,4,0))</f>
        <v>35</v>
      </c>
      <c r="CH43" s="16">
        <f>IF(ISNA(VLOOKUP(A43,'Données projet'!$A$113:$I$133,5,0)),0%,VLOOKUP(A43,'Données projet'!$A$113:$I$133,5,0)*VLOOKUP('Données projet'!$B$12,Paramètres!$A$1:$I$89,7,0))</f>
        <v>0.1075</v>
      </c>
      <c r="CI43" s="16">
        <f>IF(ISNA(VLOOKUP(A43,'Données projet'!$A$113:$I$133,6,0)),0%,VLOOKUP(A43,'Données projet'!$A$113:$I$133,6,0)*VLOOKUP('Données projet'!$B$12,Paramètres!$A$1:$I$89,7,0))</f>
        <v>0.1075</v>
      </c>
      <c r="CJ43" s="16">
        <f>IF(ISNA(VLOOKUP(A43,'Données projet'!$A$113:$I$133,7,0)),0%,VLOOKUP(A43,'Données projet'!$A$113:$I$133,7,0))</f>
        <v>0.25</v>
      </c>
      <c r="CK43" s="21">
        <f>EXP(-LN(2)/35)*CK42+(1-EXP(-LN(2)/35))/(LN(2)/35)*CG43*CH43*VLOOKUP('Données projet'!$B$12,Paramètres!$A$1:$I$89,3,0)*0.475*44/12</f>
        <v>10.789797812284736</v>
      </c>
      <c r="CL43" s="21">
        <f>EXP(-LN(2)/25)*CL42+(1-EXP(-LN(2)/25))/(LN(2)/25)*Calculateur!CG43*Calculateur!CI43*VLOOKUP('Données projet'!$B$12,Paramètres!$A$1:$I$89,3,0)*0.475*44/12</f>
        <v>17.029964395021842</v>
      </c>
      <c r="CM43" s="21">
        <f>EXP(-LN(2)/2)*CM42+(1-EXP(-LN(2)/2))/(LN(2)/2)*CG43*CJ43*VLOOKUP('Données projet'!$B$12,Paramètres!$A$1:$I$89,3,0)*0.475*44/12</f>
        <v>9.5429045252573221</v>
      </c>
      <c r="CN43" s="22">
        <f t="shared" si="12"/>
        <v>37.362666732563902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>
        <f>VLOOKUP(A43,'Données projet'!$A$139:$I$159,2,0)</f>
        <v>228</v>
      </c>
      <c r="CR43" s="12">
        <f>VLOOKUP(A43,'Données projet'!$A$139:$I$159,9,0)</f>
        <v>11.4</v>
      </c>
      <c r="CS43" s="12">
        <f t="array" ref="CS43">INDEX(CR:CR,MIN(IF(ISNUMBER(CR43:CR239),ROW(CR43:CR239),"")))</f>
        <v>11.4</v>
      </c>
      <c r="CT43" s="12">
        <f>IF('Données projet'!$A$140&gt;35,CT42+CS43-DB42,IF(A43&lt;'Données projet'!$A$140,$CQ$205^A43,IF(A43='Données projet'!$A$140,'Données projet'!$B$140,CT42+CS43-DB42)))</f>
        <v>228</v>
      </c>
      <c r="CU43" s="17">
        <f>CT43*VLOOKUP('Données projet'!$B$13,Paramètres!$A$1:$I$89,3,0)*VLOOKUP('Données projet'!$B$13,Paramètres!$A$1:$I$89,5,0)</f>
        <v>199.1808</v>
      </c>
      <c r="CV43" s="13">
        <f t="shared" si="41"/>
        <v>49.564089376413683</v>
      </c>
      <c r="CW43" s="20">
        <f t="shared" si="13"/>
        <v>433.23068233058711</v>
      </c>
      <c r="CX43" s="59">
        <f t="shared" si="14"/>
        <v>681.0436961497079</v>
      </c>
      <c r="CY43" s="59">
        <f ca="1">AVERAGE(OFFSET($CX$3,0,0,'Données projet'!$E$13+1,1))-AVERAGE(OFFSET($H$3,0,0,'Données projet'!$E$13+1,1))</f>
        <v>408.246209980743</v>
      </c>
      <c r="CZ43" s="59">
        <f t="shared" si="42"/>
        <v>394.10236303013903</v>
      </c>
      <c r="DA43" s="15">
        <f>IF(ISNA(VLOOKUP(A43,'Données projet'!$A$139:$I$159,3,0)),0,VLOOKUP(A43,'Données projet'!$A$139:$I$159,3,0))</f>
        <v>6</v>
      </c>
      <c r="DB43" s="15">
        <f>IF(ISNA(VLOOKUP(A43,'Données projet'!$A$139:$I$159,4,0)),0,VLOOKUP(A43,'Données projet'!$A$139:$I$159,4,0))</f>
        <v>35</v>
      </c>
      <c r="DC43" s="16">
        <f>IF(ISNA(VLOOKUP(A43,'Données projet'!$A$139:$I$159,5,0)),0%,VLOOKUP(A43,'Données projet'!$A$139:$I$159,5,0)*VLOOKUP('Données projet'!$B$13,Paramètres!$A$1:$I$89,7,0))</f>
        <v>0.13250000000000001</v>
      </c>
      <c r="DD43" s="16">
        <f>IF(ISNA(VLOOKUP(A43,'Données projet'!$A$139:$I$159,6,0)),0%,VLOOKUP(A43,'Données projet'!$A$139:$I$159,6,0)*VLOOKUP('Données projet'!$B$13,Paramètres!$A$1:$I$89,7,0))</f>
        <v>0.13250000000000001</v>
      </c>
      <c r="DE43" s="16">
        <f>IF(ISNA(VLOOKUP(A43,'Données projet'!$A$139:$I$159,7,0)),0%,VLOOKUP(A43,'Données projet'!$A$139:$I$159,7,0))</f>
        <v>0.25</v>
      </c>
      <c r="DF43" s="21">
        <f>EXP(-LN(2)/35)*DF42+(1-EXP(-LN(2)/35))/(LN(2)/35)*DB43*DC43*VLOOKUP('Données projet'!$B$13,Paramètres!$A$1:$I$89,3,0)*0.475*44/12</f>
        <v>12.208966796363363</v>
      </c>
      <c r="DG43" s="21">
        <f>EXP(-LN(2)/25)*DG42+(1-EXP(-LN(2)/25))/(LN(2)/25)*Calculateur!DB43*Calculateur!DD43*VLOOKUP('Données projet'!$B$13,Paramètres!$A$1:$I$89,3,0)*0.475*44/12</f>
        <v>19.269894900657576</v>
      </c>
      <c r="DH43" s="21">
        <f>EXP(-LN(2)/2)*DH42+(1-EXP(-LN(2)/2))/(LN(2)/2)*DB43*DE43*VLOOKUP('Données projet'!$B$13,Paramètres!$A$1:$I$89,3,0)*0.475*44/12</f>
        <v>8.7606992363018037</v>
      </c>
      <c r="DI43" s="22">
        <f t="shared" si="15"/>
        <v>40.239560933322743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>
        <f>VLOOKUP(A43,'Données projet'!$A$165:$I$185,2,0)</f>
        <v>228</v>
      </c>
      <c r="DM43" s="12">
        <f>VLOOKUP(A43,'Données projet'!$A$165:$I$185,9,0)</f>
        <v>11.4</v>
      </c>
      <c r="DN43" s="12">
        <f t="array" ref="DN43">INDEX(DM:DM,MIN(IF(ISNUMBER(DM43:DM239),ROW(DM43:DM239),"")))</f>
        <v>11.4</v>
      </c>
      <c r="DO43" s="12">
        <f>IF('Données projet'!$A$166&gt;35,DO42+DN43-DW42,IF(A43&lt;'Données projet'!$A$166,$DL$205^A43,IF(A43='Données projet'!$A$166,'Données projet'!$B$166,DO42+DN43-DW42)))</f>
        <v>228</v>
      </c>
      <c r="DP43" s="17">
        <f>DO43*VLOOKUP('Données projet'!$B$14,Paramètres!$A$1:$I$89,3,0)*VLOOKUP('Données projet'!$B$14,Paramètres!$A$1:$I$89,5,0)</f>
        <v>177.84</v>
      </c>
      <c r="DQ43" s="13">
        <f t="shared" si="43"/>
        <v>44.841288830609102</v>
      </c>
      <c r="DR43" s="20">
        <f t="shared" si="16"/>
        <v>387.83657804664421</v>
      </c>
      <c r="DS43" s="59">
        <f t="shared" si="17"/>
        <v>635.64959186576505</v>
      </c>
      <c r="DT43" s="59">
        <f ca="1">AVERAGE(OFFSET($DS$3,0,0,'Données projet'!$E$14+1,1))-AVERAGE(OFFSET($H$3,0,0,'Données projet'!$E$14+1,1))</f>
        <v>371.07993287480366</v>
      </c>
      <c r="DU43" s="59">
        <f t="shared" si="44"/>
        <v>358.67120540290637</v>
      </c>
      <c r="DV43" s="15">
        <f>IF(ISNA(VLOOKUP(A43,'Données projet'!$A$165:$I$185,3,0)),0,VLOOKUP(A43,'Données projet'!$A$165:$I$185,3,0))</f>
        <v>6</v>
      </c>
      <c r="DW43" s="15">
        <f>IF(ISNA(VLOOKUP(A43,'Données projet'!$A$165:$I$185,4,0)),0,VLOOKUP(A43,'Données projet'!$A$165:$I$185,4,0))</f>
        <v>35</v>
      </c>
      <c r="DX43" s="16">
        <f>IF(ISNA(VLOOKUP(A43,'Données projet'!$A$165:$I$185,5,0)),0%,VLOOKUP(A43,'Données projet'!$A$165:$I$185,5,0)*VLOOKUP('Données projet'!$B$14,Paramètres!$A$1:$I$89,7,0))</f>
        <v>0.1075</v>
      </c>
      <c r="DY43" s="16">
        <f>IF(ISNA(VLOOKUP(A43,'Données projet'!$A$165:$I$185,6,0)),0%,VLOOKUP(A43,'Données projet'!$A$165:$I$185,6,0)*VLOOKUP('Données projet'!$B$14,Paramètres!$A$1:$I$89,7,0))</f>
        <v>0.1075</v>
      </c>
      <c r="DZ43" s="16">
        <f>IF(ISNA(VLOOKUP(A43,'Données projet'!$A$165:$I$185,7,0)),0%,VLOOKUP(A43,'Données projet'!$A$165:$I$185,7,0))</f>
        <v>0.25</v>
      </c>
      <c r="EA43" s="21">
        <f>EXP(-LN(2)/35)*EA42+(1-EXP(-LN(2)/35))/(LN(2)/35)*DW43*DX43*VLOOKUP('Données projet'!$B$14,Paramètres!$A$1:$I$89,3,0)*0.475*44/12</f>
        <v>8.8440965674465026</v>
      </c>
      <c r="EB43" s="21">
        <f>EXP(-LN(2)/25)*EB42+(1-EXP(-LN(2)/25))/(LN(2)/25)*Calculateur!DW43*Calculateur!DY43*VLOOKUP('Données projet'!$B$14,Paramètres!$A$1:$I$89,3,0)*0.475*44/12</f>
        <v>13.958987209034294</v>
      </c>
      <c r="EC43" s="21">
        <f>EXP(-LN(2)/2)*EC42+(1-EXP(-LN(2)/2))/(LN(2)/2)*DW43*DZ43*VLOOKUP('Données projet'!$B$14,Paramètres!$A$1:$I$89,3,0)*0.475*44/12</f>
        <v>7.8220528895551809</v>
      </c>
      <c r="ED43" s="22">
        <f t="shared" si="18"/>
        <v>30.625136666035978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45">
      <c r="A44" s="10">
        <f t="shared" si="31"/>
        <v>41</v>
      </c>
      <c r="B44" s="73">
        <f>'Scénario référence'!$B$16*5+'Scénario référence'!$B$17*0+'Scénario référence'!$B$18*5</f>
        <v>5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1">
        <f t="shared" si="32"/>
        <v>0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18.333333333333332</v>
      </c>
      <c r="H44" s="67">
        <f t="shared" si="1"/>
        <v>183.33333333333334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4.0942857142857143</v>
      </c>
      <c r="N44" s="13">
        <f>IF('Données projet'!$A$36&gt;35,N43+M44-V43,IF(A44&lt;'Données projet'!$A$36,$K$205^A44,IF(A44='Données projet'!$A$36,'Données projet'!$B$36,N43+M44-V43)))</f>
        <v>167.8657142857144</v>
      </c>
      <c r="O44" s="13">
        <f>N44*VLOOKUP('Données projet'!$B$9,Paramètres!$A$1:$I$89,3,0)*VLOOKUP('Données projet'!$B$9,Paramètres!$A$1:$I$89,5,0)</f>
        <v>151.88489828571437</v>
      </c>
      <c r="P44" s="13">
        <f t="shared" si="33"/>
        <v>39.006623705593562</v>
      </c>
      <c r="Q44" s="20">
        <f t="shared" si="53"/>
        <v>332.46940080152797</v>
      </c>
      <c r="R44" s="59">
        <f t="shared" si="0"/>
        <v>581.07209039603197</v>
      </c>
      <c r="S44" s="59">
        <f ca="1">AVERAGE(OFFSET($R$3,0,0,'Données projet'!$E$9+1,1))-AVERAGE(OFFSET($H$3,0,0,'Données projet'!$E$9+1,1))</f>
        <v>681.47578137804555</v>
      </c>
      <c r="T44" s="59">
        <f t="shared" si="34"/>
        <v>300.88511065995885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0</v>
      </c>
      <c r="AA44" s="21">
        <f>EXP(-LN(2)/25)*AA43+(1-EXP(-LN(2)/25))/(LN(2)/25)*Calculateur!V44*Calculateur!X44*VLOOKUP('Données projet'!$B$9,Paramètres!$A$1:$I$89,3,0)*0.475*44/12</f>
        <v>0</v>
      </c>
      <c r="AB44" s="21">
        <f>EXP(-LN(2)/2)*AB43+(1-EXP(-LN(2)/2))/(LN(2)/2)*V44*Y44*VLOOKUP('Données projet'!$B$9,Paramètres!$A$1:$I$89,3,0)*0.475*44/12</f>
        <v>0</v>
      </c>
      <c r="AC44" s="22">
        <f t="shared" si="3"/>
        <v>0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6.4429411764705877</v>
      </c>
      <c r="AI44" s="13">
        <f>IF('Données projet'!$A$62&gt;35,AI43+AH44-AQ43,IF(A44&lt;'Données projet'!$A$62,$AF$205^A44,IF(A44='Données projet'!$A$62,'Données projet'!$B$62,AI43+AH44-AQ43)))</f>
        <v>264.16058823529397</v>
      </c>
      <c r="AJ44" s="13">
        <f>AI44*VLOOKUP('Données projet'!$B$10,Paramètres!$A$1:$I$89,3,0)*VLOOKUP('Données projet'!$B$10,Paramètres!$A$1:$I$89,5,0)</f>
        <v>123.62715529411757</v>
      </c>
      <c r="AK44" s="13">
        <f t="shared" si="35"/>
        <v>32.519501965719137</v>
      </c>
      <c r="AL44" s="20">
        <f t="shared" si="4"/>
        <v>271.95542806088224</v>
      </c>
      <c r="AM44" s="59">
        <f t="shared" si="5"/>
        <v>520.55811765538624</v>
      </c>
      <c r="AN44" s="59">
        <f ca="1">AVERAGE(OFFSET($AM$3,0,0,'Données projet'!$E$10+1,1))-AVERAGE(OFFSET($H$3,0,0,'Données projet'!$E$10+1,1))</f>
        <v>325.45940224919184</v>
      </c>
      <c r="AO44" s="59">
        <f t="shared" si="36"/>
        <v>256.30046621034876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0</v>
      </c>
      <c r="AV44" s="21">
        <f>EXP(-LN(2)/25)*AV43+(1-EXP(-LN(2)/25))/(LN(2)/25)*Calculateur!AQ44*Calculateur!AS44*VLOOKUP('Données projet'!$B$10,Paramètres!$A$1:$I$89,3,0)*0.475*44/12</f>
        <v>0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0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3.3603333333333336</v>
      </c>
      <c r="BD44" s="12">
        <f>IF('Données projet'!$A$88&gt;35,BD43+BC44-BL43,IF(A44&lt;'Données projet'!$A$88,$BA$205^A44,IF(A44='Données projet'!$A$88,'Données projet'!$B$88,BD43+BC44-BL43)))</f>
        <v>137.77366666666663</v>
      </c>
      <c r="BE44" s="13">
        <f>BD44*VLOOKUP('Données projet'!$B$11,Paramètres!$A$1:$I$89,3,0)*VLOOKUP('Données projet'!$B$11,Paramètres!$A$1:$I$89,5,0)</f>
        <v>139.70249799999996</v>
      </c>
      <c r="BF44" s="13">
        <f t="shared" si="37"/>
        <v>36.228843528850774</v>
      </c>
      <c r="BG44" s="20">
        <f t="shared" si="7"/>
        <v>306.41375316274832</v>
      </c>
      <c r="BH44" s="59">
        <f t="shared" si="8"/>
        <v>555.01644275725232</v>
      </c>
      <c r="BI44" s="59">
        <f ca="1">AVERAGE(OFFSET($BH$3,0,0,'Données projet'!$E$11+1,1))-AVERAGE(OFFSET($H$3,0,0,'Données projet'!$E$11+1,1))</f>
        <v>580.02848304986492</v>
      </c>
      <c r="BJ44" s="59">
        <f t="shared" si="38"/>
        <v>281.68891895586728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0</v>
      </c>
      <c r="BQ44" s="21">
        <f>EXP(-LN(2)/25)*BQ43+(1-EXP(-LN(2)/25))/(LN(2)/25)*Calculateur!BL44*Calculateur!BN44*VLOOKUP('Données projet'!$B$11,Paramètres!$A$1:$I$89,3,0)*0.475*44/12</f>
        <v>0</v>
      </c>
      <c r="BR44" s="21">
        <f>EXP(-LN(2)/2)*BR43+(1-EXP(-LN(2)/2))/(LN(2)/2)*BL44*BO44*VLOOKUP('Données projet'!$B$11,Paramètres!$A$1:$I$89,3,0)*0.475*44/12</f>
        <v>0</v>
      </c>
      <c r="BS44" s="22">
        <f t="shared" si="9"/>
        <v>0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9.8000000000000007</v>
      </c>
      <c r="BY44" s="12">
        <f>IF('Données projet'!$A$114&gt;35,BY43+BX44-CG43,IF(A44&lt;'Données projet'!$A$114,$BV$205^A44,IF(A44='Données projet'!$A$114,'Données projet'!$B$114,BY43+BX44-CG43)))</f>
        <v>202.8</v>
      </c>
      <c r="BZ44" s="13">
        <f>BY44*VLOOKUP('Données projet'!$B$12,Paramètres!$A$1:$I$89,3,0)*VLOOKUP('Données projet'!$B$12,Paramètres!$A$1:$I$89,5,0)</f>
        <v>192.98447999999999</v>
      </c>
      <c r="CA44" s="13">
        <f t="shared" si="39"/>
        <v>48.199179293232802</v>
      </c>
      <c r="CB44" s="20">
        <f t="shared" si="10"/>
        <v>420.06153993571371</v>
      </c>
      <c r="CC44" s="59">
        <f t="shared" si="11"/>
        <v>668.66422953021765</v>
      </c>
      <c r="CD44" s="59">
        <f ca="1">AVERAGE(OFFSET($CC$3,0,0,'Données projet'!$E$12+1,1))-AVERAGE(OFFSET($H$3,0,0,'Données projet'!$E$12+1,1))</f>
        <v>439.15394290667945</v>
      </c>
      <c r="CE44" s="59">
        <f t="shared" si="40"/>
        <v>423.56554025351068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10.578216458312665</v>
      </c>
      <c r="CL44" s="21">
        <f>EXP(-LN(2)/25)*CL43+(1-EXP(-LN(2)/25))/(LN(2)/25)*Calculateur!CG44*Calculateur!CI44*VLOOKUP('Données projet'!$B$12,Paramètres!$A$1:$I$89,3,0)*0.475*44/12</f>
        <v>16.564279123073064</v>
      </c>
      <c r="CM44" s="21">
        <f>EXP(-LN(2)/2)*CM43+(1-EXP(-LN(2)/2))/(LN(2)/2)*CG44*CJ44*VLOOKUP('Données projet'!$B$12,Paramètres!$A$1:$I$89,3,0)*0.475*44/12</f>
        <v>6.7478525020252436</v>
      </c>
      <c r="CN44" s="22">
        <f t="shared" si="12"/>
        <v>33.890348083410977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9.8000000000000007</v>
      </c>
      <c r="CT44" s="12">
        <f>IF('Données projet'!$A$140&gt;35,CT43+CS44-DB43,IF(A44&lt;'Données projet'!$A$140,$CQ$205^A44,IF(A44='Données projet'!$A$140,'Données projet'!$B$140,CT43+CS44-DB43)))</f>
        <v>202.8</v>
      </c>
      <c r="CU44" s="17">
        <f>CT44*VLOOKUP('Données projet'!$B$13,Paramètres!$A$1:$I$89,3,0)*VLOOKUP('Données projet'!$B$13,Paramètres!$A$1:$I$89,5,0)</f>
        <v>177.16608000000002</v>
      </c>
      <c r="CV44" s="13">
        <f t="shared" si="41"/>
        <v>44.691110042101649</v>
      </c>
      <c r="CW44" s="20">
        <f t="shared" si="13"/>
        <v>386.40127265666041</v>
      </c>
      <c r="CX44" s="59">
        <f t="shared" si="14"/>
        <v>635.00396225116435</v>
      </c>
      <c r="CY44" s="59">
        <f ca="1">AVERAGE(OFFSET($CX$3,0,0,'Données projet'!$E$13+1,1))-AVERAGE(OFFSET($H$3,0,0,'Données projet'!$E$13+1,1))</f>
        <v>408.246209980743</v>
      </c>
      <c r="CZ44" s="59">
        <f t="shared" si="42"/>
        <v>394.10236303013903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>
        <f>EXP(-LN(2)/35)*DF43+(1-EXP(-LN(2)/35))/(LN(2)/35)*DB44*DC44*VLOOKUP('Données projet'!$B$13,Paramètres!$A$1:$I$89,3,0)*0.475*44/12</f>
        <v>11.96955640422112</v>
      </c>
      <c r="DG44" s="21">
        <f>EXP(-LN(2)/25)*DG43+(1-EXP(-LN(2)/25))/(LN(2)/25)*Calculateur!DB44*Calculateur!DD44*VLOOKUP('Données projet'!$B$13,Paramètres!$A$1:$I$89,3,0)*0.475*44/12</f>
        <v>18.742958611239363</v>
      </c>
      <c r="DH44" s="21">
        <f>EXP(-LN(2)/2)*DH43+(1-EXP(-LN(2)/2))/(LN(2)/2)*DB44*DE44*VLOOKUP('Données projet'!$B$13,Paramètres!$A$1:$I$89,3,0)*0.475*44/12</f>
        <v>6.1947498379248138</v>
      </c>
      <c r="DI44" s="22">
        <f t="shared" si="15"/>
        <v>36.9072648533853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9.8000000000000007</v>
      </c>
      <c r="DO44" s="12">
        <f>IF('Données projet'!$A$166&gt;35,DO43+DN44-DW43,IF(A44&lt;'Données projet'!$A$166,$DL$205^A44,IF(A44='Données projet'!$A$166,'Données projet'!$B$166,DO43+DN44-DW43)))</f>
        <v>202.8</v>
      </c>
      <c r="DP44" s="17">
        <f>DO44*VLOOKUP('Données projet'!$B$14,Paramètres!$A$1:$I$89,3,0)*VLOOKUP('Données projet'!$B$14,Paramètres!$A$1:$I$89,5,0)</f>
        <v>158.18400000000003</v>
      </c>
      <c r="DQ44" s="13">
        <f t="shared" si="43"/>
        <v>40.432639815875881</v>
      </c>
      <c r="DR44" s="20">
        <f t="shared" si="16"/>
        <v>345.92398101265053</v>
      </c>
      <c r="DS44" s="59">
        <f t="shared" si="17"/>
        <v>594.52667060715453</v>
      </c>
      <c r="DT44" s="59">
        <f ca="1">AVERAGE(OFFSET($DS$3,0,0,'Données projet'!$E$14+1,1))-AVERAGE(OFFSET($H$3,0,0,'Données projet'!$E$14+1,1))</f>
        <v>371.07993287480366</v>
      </c>
      <c r="DU44" s="59">
        <f t="shared" si="44"/>
        <v>358.67120540290637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>
        <f>EXP(-LN(2)/35)*EA43+(1-EXP(-LN(2)/35))/(LN(2)/35)*DW44*DX44*VLOOKUP('Données projet'!$B$14,Paramètres!$A$1:$I$89,3,0)*0.475*44/12</f>
        <v>8.6706692281251332</v>
      </c>
      <c r="EB44" s="21">
        <f>EXP(-LN(2)/25)*EB43+(1-EXP(-LN(2)/25))/(LN(2)/25)*Calculateur!DW44*Calculateur!DY44*VLOOKUP('Données projet'!$B$14,Paramètres!$A$1:$I$89,3,0)*0.475*44/12</f>
        <v>13.577277969732018</v>
      </c>
      <c r="EC44" s="21">
        <f>EXP(-LN(2)/2)*EC43+(1-EXP(-LN(2)/2))/(LN(2)/2)*DW44*DZ44*VLOOKUP('Données projet'!$B$14,Paramètres!$A$1:$I$89,3,0)*0.475*44/12</f>
        <v>5.5310266410042974</v>
      </c>
      <c r="ED44" s="22">
        <f t="shared" si="18"/>
        <v>27.778973838861447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45">
      <c r="A45" s="10">
        <f t="shared" si="31"/>
        <v>42</v>
      </c>
      <c r="B45" s="73">
        <f>'Scénario référence'!$B$16*5+'Scénario référence'!$B$17*0+'Scénario référence'!$B$18*5</f>
        <v>5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1">
        <f t="shared" si="32"/>
        <v>0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18.333333333333332</v>
      </c>
      <c r="H45" s="67">
        <f t="shared" si="1"/>
        <v>183.33333333333334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>
        <f>VLOOKUP(A45,'Données projet'!$A$35:$I$55,2,0)</f>
        <v>171.96</v>
      </c>
      <c r="L45" s="12">
        <f>VLOOKUP(A45,'Données projet'!$A$35:$I$55,9,0)</f>
        <v>4.0942857142857143</v>
      </c>
      <c r="M45" s="12">
        <f t="array" ref="M45">INDEX(L:L,MIN(IF(ISNUMBER(L45:L241),ROW(L45:L241),"")))</f>
        <v>4.0942857142857143</v>
      </c>
      <c r="N45" s="13">
        <f>IF('Données projet'!$A$36&gt;35,N44+M45-V44,IF(A45&lt;'Données projet'!$A$36,$K$205^A45,IF(A45='Données projet'!$A$36,'Données projet'!$B$36,N44+M45-V44)))</f>
        <v>171.96000000000012</v>
      </c>
      <c r="O45" s="13">
        <f>N45*VLOOKUP('Données projet'!$B$9,Paramètres!$A$1:$I$89,3,0)*VLOOKUP('Données projet'!$B$9,Paramètres!$A$1:$I$89,5,0)</f>
        <v>155.58940800000011</v>
      </c>
      <c r="P45" s="13">
        <f t="shared" si="33"/>
        <v>39.846081409537142</v>
      </c>
      <c r="Q45" s="20">
        <f t="shared" si="53"/>
        <v>340.3834773882773</v>
      </c>
      <c r="R45" s="59">
        <f t="shared" si="0"/>
        <v>589.762143648912</v>
      </c>
      <c r="S45" s="59">
        <f ca="1">AVERAGE(OFFSET($R$3,0,0,'Données projet'!$E$9+1,1))-AVERAGE(OFFSET($H$3,0,0,'Données projet'!$E$9+1,1))</f>
        <v>681.47578137804555</v>
      </c>
      <c r="T45" s="59">
        <f t="shared" si="34"/>
        <v>300.88511065995885</v>
      </c>
      <c r="U45" s="15">
        <f>IF(ISNA(VLOOKUP(A45,'Données projet'!$A$35:$I$55,3,0)),0,VLOOKUP(A45,'Données projet'!$A$35:$I$55,3,0))</f>
        <v>1</v>
      </c>
      <c r="V45" s="15">
        <f>IF(ISNA(VLOOKUP(A45,'Données projet'!$A$35:$I$55,4,0)),0,VLOOKUP(A45,'Données projet'!$A$35:$I$55,4,0))</f>
        <v>44.510000000000005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0.34400000000000003</v>
      </c>
      <c r="Y45" s="16">
        <f>IF(ISNA(VLOOKUP(A45,'Données projet'!$A$35:$I$55,7,0)),0%,VLOOKUP(A45,'Données projet'!$A$35:$I$55,7,0))</f>
        <v>0.2</v>
      </c>
      <c r="Z45" s="21">
        <f>EXP(-LN(2)/35)*Z44+(1-EXP(-LN(2)/35))/(LN(2)/35)*V45*W45*VLOOKUP('Données projet'!$B$9,Paramètres!$A$1:$I$89,3,0)*0.475*44/12</f>
        <v>0</v>
      </c>
      <c r="AA45" s="21">
        <f>EXP(-LN(2)/25)*AA44+(1-EXP(-LN(2)/25))/(LN(2)/25)*Calculateur!V45*Calculateur!X45*VLOOKUP('Données projet'!$B$9,Paramètres!$A$1:$I$89,3,0)*0.475*44/12</f>
        <v>15.254654682209745</v>
      </c>
      <c r="AB45" s="21">
        <f>EXP(-LN(2)/2)*AB44+(1-EXP(-LN(2)/2))/(LN(2)/2)*V45*Y45*VLOOKUP('Données projet'!$B$9,Paramètres!$A$1:$I$89,3,0)*0.475*44/12</f>
        <v>7.599665462085774</v>
      </c>
      <c r="AC45" s="22">
        <f t="shared" si="3"/>
        <v>22.854320144295521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6.4429411764705877</v>
      </c>
      <c r="AI45" s="13">
        <f>IF('Données projet'!$A$62&gt;35,AI44+AH45-AQ44,IF(A45&lt;'Données projet'!$A$62,$AF$205^A45,IF(A45='Données projet'!$A$62,'Données projet'!$B$62,AI44+AH45-AQ44)))</f>
        <v>270.60352941176455</v>
      </c>
      <c r="AJ45" s="13">
        <f>AI45*VLOOKUP('Données projet'!$B$10,Paramètres!$A$1:$I$89,3,0)*VLOOKUP('Données projet'!$B$10,Paramètres!$A$1:$I$89,5,0)</f>
        <v>126.64245176470581</v>
      </c>
      <c r="AK45" s="13">
        <f t="shared" si="35"/>
        <v>33.219350962124722</v>
      </c>
      <c r="AL45" s="20">
        <f t="shared" si="4"/>
        <v>278.42597308256319</v>
      </c>
      <c r="AM45" s="59">
        <f t="shared" si="5"/>
        <v>527.80463934319789</v>
      </c>
      <c r="AN45" s="59">
        <f ca="1">AVERAGE(OFFSET($AM$3,0,0,'Données projet'!$E$10+1,1))-AVERAGE(OFFSET($H$3,0,0,'Données projet'!$E$10+1,1))</f>
        <v>325.45940224919184</v>
      </c>
      <c r="AO45" s="59">
        <f t="shared" si="36"/>
        <v>256.30046621034876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0</v>
      </c>
      <c r="AV45" s="21">
        <f>EXP(-LN(2)/25)*AV44+(1-EXP(-LN(2)/25))/(LN(2)/25)*Calculateur!AQ45*Calculateur!AS45*VLOOKUP('Données projet'!$B$10,Paramètres!$A$1:$I$89,3,0)*0.475*44/12</f>
        <v>0</v>
      </c>
      <c r="AW45" s="21">
        <f>EXP(-LN(2)/2)*AW44+(1-EXP(-LN(2)/2))/(LN(2)/2)*AQ45*AT45*VLOOKUP('Données projet'!$B$10,Paramètres!$A$1:$I$89,3,0)*0.475*44/12</f>
        <v>0</v>
      </c>
      <c r="AX45" s="21">
        <f t="shared" si="6"/>
        <v>0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3.3603333333333336</v>
      </c>
      <c r="BD45" s="12">
        <f>IF('Données projet'!$A$88&gt;35,BD44+BC45-BL44,IF(A45&lt;'Données projet'!$A$88,$BA$205^A45,IF(A45='Données projet'!$A$88,'Données projet'!$B$88,BD44+BC45-BL44)))</f>
        <v>141.13399999999996</v>
      </c>
      <c r="BE45" s="13">
        <f>BD45*VLOOKUP('Données projet'!$B$11,Paramètres!$A$1:$I$89,3,0)*VLOOKUP('Données projet'!$B$11,Paramètres!$A$1:$I$89,5,0)</f>
        <v>143.10987599999996</v>
      </c>
      <c r="BF45" s="13">
        <f t="shared" si="37"/>
        <v>37.008520899412304</v>
      </c>
      <c r="BG45" s="20">
        <f t="shared" si="7"/>
        <v>313.70620793314299</v>
      </c>
      <c r="BH45" s="59">
        <f t="shared" si="8"/>
        <v>563.08487419377775</v>
      </c>
      <c r="BI45" s="59">
        <f ca="1">AVERAGE(OFFSET($BH$3,0,0,'Données projet'!$E$11+1,1))-AVERAGE(OFFSET($H$3,0,0,'Données projet'!$E$11+1,1))</f>
        <v>580.02848304986492</v>
      </c>
      <c r="BJ45" s="59">
        <f t="shared" si="38"/>
        <v>281.68891895586728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0</v>
      </c>
      <c r="BQ45" s="21">
        <f>EXP(-LN(2)/25)*BQ44+(1-EXP(-LN(2)/25))/(LN(2)/25)*Calculateur!BL45*Calculateur!BN45*VLOOKUP('Données projet'!$B$11,Paramètres!$A$1:$I$89,3,0)*0.475*44/12</f>
        <v>0</v>
      </c>
      <c r="BR45" s="21">
        <f>EXP(-LN(2)/2)*BR44+(1-EXP(-LN(2)/2))/(LN(2)/2)*BL45*BO45*VLOOKUP('Données projet'!$B$11,Paramètres!$A$1:$I$89,3,0)*0.475*44/12</f>
        <v>0</v>
      </c>
      <c r="BS45" s="22">
        <f t="shared" si="9"/>
        <v>0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9.8000000000000007</v>
      </c>
      <c r="BY45" s="12">
        <f>IF('Données projet'!$A$114&gt;35,BY44+BX45-CG44,IF(A45&lt;'Données projet'!$A$114,$BV$205^A45,IF(A45='Données projet'!$A$114,'Données projet'!$B$114,BY44+BX45-CG44)))</f>
        <v>212.60000000000002</v>
      </c>
      <c r="BZ45" s="13">
        <f>BY45*VLOOKUP('Données projet'!$B$12,Paramètres!$A$1:$I$89,3,0)*VLOOKUP('Données projet'!$B$12,Paramètres!$A$1:$I$89,5,0)</f>
        <v>202.31016000000002</v>
      </c>
      <c r="CA45" s="13">
        <f t="shared" si="39"/>
        <v>50.251531123141397</v>
      </c>
      <c r="CB45" s="20">
        <f t="shared" si="10"/>
        <v>439.87827870613796</v>
      </c>
      <c r="CC45" s="59">
        <f t="shared" si="11"/>
        <v>689.25694496677272</v>
      </c>
      <c r="CD45" s="59">
        <f ca="1">AVERAGE(OFFSET($CC$3,0,0,'Données projet'!$E$12+1,1))-AVERAGE(OFFSET($H$3,0,0,'Données projet'!$E$12+1,1))</f>
        <v>439.15394290667945</v>
      </c>
      <c r="CE45" s="59">
        <f t="shared" si="40"/>
        <v>423.56554025351068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10.370784085640103</v>
      </c>
      <c r="CL45" s="21">
        <f>EXP(-LN(2)/25)*CL44+(1-EXP(-LN(2)/25))/(LN(2)/25)*Calculateur!CG45*Calculateur!CI45*VLOOKUP('Données projet'!$B$12,Paramètres!$A$1:$I$89,3,0)*0.475*44/12</f>
        <v>16.111328039375049</v>
      </c>
      <c r="CM45" s="21">
        <f>EXP(-LN(2)/2)*CM44+(1-EXP(-LN(2)/2))/(LN(2)/2)*CG45*CJ45*VLOOKUP('Données projet'!$B$12,Paramètres!$A$1:$I$89,3,0)*0.475*44/12</f>
        <v>4.7714522626286611</v>
      </c>
      <c r="CN45" s="22">
        <f t="shared" si="12"/>
        <v>31.253564387643813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9.8000000000000007</v>
      </c>
      <c r="CT45" s="12">
        <f>IF('Données projet'!$A$140&gt;35,CT44+CS45-DB44,IF(A45&lt;'Données projet'!$A$140,$CQ$205^A45,IF(A45='Données projet'!$A$140,'Données projet'!$B$140,CT44+CS45-DB44)))</f>
        <v>212.60000000000002</v>
      </c>
      <c r="CU45" s="17">
        <f>CT45*VLOOKUP('Données projet'!$B$13,Paramètres!$A$1:$I$89,3,0)*VLOOKUP('Données projet'!$B$13,Paramètres!$A$1:$I$89,5,0)</f>
        <v>185.72736000000003</v>
      </c>
      <c r="CV45" s="13">
        <f t="shared" si="41"/>
        <v>46.594086043363802</v>
      </c>
      <c r="CW45" s="20">
        <f t="shared" si="13"/>
        <v>404.62651852552534</v>
      </c>
      <c r="CX45" s="59">
        <f t="shared" si="14"/>
        <v>654.00518478616004</v>
      </c>
      <c r="CY45" s="59">
        <f ca="1">AVERAGE(OFFSET($CX$3,0,0,'Données projet'!$E$13+1,1))-AVERAGE(OFFSET($H$3,0,0,'Données projet'!$E$13+1,1))</f>
        <v>408.246209980743</v>
      </c>
      <c r="CZ45" s="59">
        <f t="shared" si="42"/>
        <v>394.10236303013903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>
        <f>EXP(-LN(2)/35)*DF44+(1-EXP(-LN(2)/35))/(LN(2)/35)*DB45*DC45*VLOOKUP('Données projet'!$B$13,Paramètres!$A$1:$I$89,3,0)*0.475*44/12</f>
        <v>11.734840703842865</v>
      </c>
      <c r="DG45" s="21">
        <f>EXP(-LN(2)/25)*DG44+(1-EXP(-LN(2)/25))/(LN(2)/25)*Calculateur!DB45*Calculateur!DD45*VLOOKUP('Données projet'!$B$13,Paramètres!$A$1:$I$89,3,0)*0.475*44/12</f>
        <v>18.230431422365665</v>
      </c>
      <c r="DH45" s="21">
        <f>EXP(-LN(2)/2)*DH44+(1-EXP(-LN(2)/2))/(LN(2)/2)*DB45*DE45*VLOOKUP('Données projet'!$B$13,Paramètres!$A$1:$I$89,3,0)*0.475*44/12</f>
        <v>4.3803496181509027</v>
      </c>
      <c r="DI45" s="22">
        <f t="shared" si="15"/>
        <v>34.345621744359434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9.8000000000000007</v>
      </c>
      <c r="DO45" s="12">
        <f>IF('Données projet'!$A$166&gt;35,DO44+DN45-DW44,IF(A45&lt;'Données projet'!$A$166,$DL$205^A45,IF(A45='Données projet'!$A$166,'Données projet'!$B$166,DO44+DN45-DW44)))</f>
        <v>212.60000000000002</v>
      </c>
      <c r="DP45" s="17">
        <f>DO45*VLOOKUP('Données projet'!$B$14,Paramètres!$A$1:$I$89,3,0)*VLOOKUP('Données projet'!$B$14,Paramètres!$A$1:$I$89,5,0)</f>
        <v>165.82800000000003</v>
      </c>
      <c r="DQ45" s="13">
        <f t="shared" si="43"/>
        <v>42.154287435834398</v>
      </c>
      <c r="DR45" s="20">
        <f t="shared" si="16"/>
        <v>362.23581728407822</v>
      </c>
      <c r="DS45" s="59">
        <f t="shared" si="17"/>
        <v>611.61448354471293</v>
      </c>
      <c r="DT45" s="59">
        <f ca="1">AVERAGE(OFFSET($DS$3,0,0,'Données projet'!$E$14+1,1))-AVERAGE(OFFSET($H$3,0,0,'Données projet'!$E$14+1,1))</f>
        <v>371.07993287480366</v>
      </c>
      <c r="DU45" s="59">
        <f t="shared" si="44"/>
        <v>358.67120540290637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>
        <f>EXP(-LN(2)/35)*EA44+(1-EXP(-LN(2)/35))/(LN(2)/35)*DW45*DX45*VLOOKUP('Données projet'!$B$14,Paramètres!$A$1:$I$89,3,0)*0.475*44/12</f>
        <v>8.5006426931476238</v>
      </c>
      <c r="EB45" s="21">
        <f>EXP(-LN(2)/25)*EB44+(1-EXP(-LN(2)/25))/(LN(2)/25)*Calculateur!DW45*Calculateur!DY45*VLOOKUP('Données projet'!$B$14,Paramètres!$A$1:$I$89,3,0)*0.475*44/12</f>
        <v>13.206006589651679</v>
      </c>
      <c r="EC45" s="21">
        <f>EXP(-LN(2)/2)*EC44+(1-EXP(-LN(2)/2))/(LN(2)/2)*DW45*DZ45*VLOOKUP('Données projet'!$B$14,Paramètres!$A$1:$I$89,3,0)*0.475*44/12</f>
        <v>3.9110264447775909</v>
      </c>
      <c r="ED45" s="22">
        <f t="shared" si="18"/>
        <v>25.617675727576895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45">
      <c r="A46" s="10">
        <f t="shared" si="31"/>
        <v>43</v>
      </c>
      <c r="B46" s="73">
        <f>'Scénario référence'!$B$16*5+'Scénario référence'!$B$17*0+'Scénario référence'!$B$18*5</f>
        <v>5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1">
        <f t="shared" si="32"/>
        <v>0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18.333333333333332</v>
      </c>
      <c r="H46" s="67">
        <f t="shared" si="1"/>
        <v>183.33333333333334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10.110000000000001</v>
      </c>
      <c r="N46" s="13">
        <f>IF('Données projet'!$A$36&gt;35,N45+M46-V45,IF(A46&lt;'Données projet'!$A$36,$K$205^A46,IF(A46='Données projet'!$A$36,'Données projet'!$B$36,N45+M46-V45)))</f>
        <v>137.56000000000012</v>
      </c>
      <c r="O46" s="13">
        <f>N46*VLOOKUP('Données projet'!$B$9,Paramètres!$A$1:$I$89,3,0)*VLOOKUP('Données projet'!$B$9,Paramètres!$A$1:$I$89,5,0)</f>
        <v>124.4642880000001</v>
      </c>
      <c r="P46" s="13">
        <f t="shared" si="33"/>
        <v>32.713997336243899</v>
      </c>
      <c r="Q46" s="20">
        <f t="shared" si="53"/>
        <v>273.75218029395825</v>
      </c>
      <c r="R46" s="59">
        <f t="shared" si="0"/>
        <v>523.89336176039023</v>
      </c>
      <c r="S46" s="59">
        <f ca="1">AVERAGE(OFFSET($R$3,0,0,'Données projet'!$E$9+1,1))-AVERAGE(OFFSET($H$3,0,0,'Données projet'!$E$9+1,1))</f>
        <v>681.47578137804555</v>
      </c>
      <c r="T46" s="59">
        <f t="shared" si="34"/>
        <v>300.88511065995885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0</v>
      </c>
      <c r="AA46" s="21">
        <f>EXP(-LN(2)/25)*AA45+(1-EXP(-LN(2)/25))/(LN(2)/25)*Calculateur!V46*Calculateur!X46*VLOOKUP('Données projet'!$B$9,Paramètres!$A$1:$I$89,3,0)*0.475*44/12</f>
        <v>14.837515347717295</v>
      </c>
      <c r="AB46" s="21">
        <f>EXP(-LN(2)/2)*AB45+(1-EXP(-LN(2)/2))/(LN(2)/2)*V46*Y46*VLOOKUP('Données projet'!$B$9,Paramètres!$A$1:$I$89,3,0)*0.475*44/12</f>
        <v>5.3737749829900485</v>
      </c>
      <c r="AC46" s="22">
        <f t="shared" si="3"/>
        <v>20.211290330707342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6.4429411764705877</v>
      </c>
      <c r="AI46" s="13">
        <f>IF('Données projet'!$A$62&gt;35,AI45+AH46-AQ45,IF(A46&lt;'Données projet'!$A$62,$AF$205^A46,IF(A46='Données projet'!$A$62,'Données projet'!$B$62,AI45+AH46-AQ45)))</f>
        <v>277.04647058823514</v>
      </c>
      <c r="AJ46" s="13">
        <f>AI46*VLOOKUP('Données projet'!$B$10,Paramètres!$A$1:$I$89,3,0)*VLOOKUP('Données projet'!$B$10,Paramètres!$A$1:$I$89,5,0)</f>
        <v>129.65774823529404</v>
      </c>
      <c r="AK46" s="13">
        <f t="shared" si="35"/>
        <v>33.917262868819897</v>
      </c>
      <c r="AL46" s="20">
        <f t="shared" si="4"/>
        <v>284.89314433966507</v>
      </c>
      <c r="AM46" s="59">
        <f t="shared" si="5"/>
        <v>535.03432580609706</v>
      </c>
      <c r="AN46" s="59">
        <f ca="1">AVERAGE(OFFSET($AM$3,0,0,'Données projet'!$E$10+1,1))-AVERAGE(OFFSET($H$3,0,0,'Données projet'!$E$10+1,1))</f>
        <v>325.45940224919184</v>
      </c>
      <c r="AO46" s="59">
        <f t="shared" si="36"/>
        <v>256.30046621034876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0</v>
      </c>
      <c r="AV46" s="21">
        <f>EXP(-LN(2)/25)*AV45+(1-EXP(-LN(2)/25))/(LN(2)/25)*Calculateur!AQ46*Calculateur!AS46*VLOOKUP('Données projet'!$B$10,Paramètres!$A$1:$I$89,3,0)*0.475*44/12</f>
        <v>0</v>
      </c>
      <c r="AW46" s="21">
        <f>EXP(-LN(2)/2)*AW45+(1-EXP(-LN(2)/2))/(LN(2)/2)*AQ46*AT46*VLOOKUP('Données projet'!$B$10,Paramètres!$A$1:$I$89,3,0)*0.475*44/12</f>
        <v>0</v>
      </c>
      <c r="AX46" s="21">
        <f t="shared" si="6"/>
        <v>0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3.3603333333333336</v>
      </c>
      <c r="BD46" s="12">
        <f>IF('Données projet'!$A$88&gt;35,BD45+BC46-BL45,IF(A46&lt;'Données projet'!$A$88,$BA$205^A46,IF(A46='Données projet'!$A$88,'Données projet'!$B$88,BD45+BC46-BL45)))</f>
        <v>144.49433333333329</v>
      </c>
      <c r="BE46" s="13">
        <f>BD46*VLOOKUP('Données projet'!$B$11,Paramètres!$A$1:$I$89,3,0)*VLOOKUP('Données projet'!$B$11,Paramètres!$A$1:$I$89,5,0)</f>
        <v>146.51725399999995</v>
      </c>
      <c r="BF46" s="13">
        <f t="shared" si="37"/>
        <v>37.786040225853256</v>
      </c>
      <c r="BG46" s="20">
        <f t="shared" si="7"/>
        <v>320.99490411002768</v>
      </c>
      <c r="BH46" s="59">
        <f t="shared" si="8"/>
        <v>571.13608557645966</v>
      </c>
      <c r="BI46" s="59">
        <f ca="1">AVERAGE(OFFSET($BH$3,0,0,'Données projet'!$E$11+1,1))-AVERAGE(OFFSET($H$3,0,0,'Données projet'!$E$11+1,1))</f>
        <v>580.02848304986492</v>
      </c>
      <c r="BJ46" s="59">
        <f t="shared" si="38"/>
        <v>281.68891895586728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0</v>
      </c>
      <c r="BQ46" s="21">
        <f>EXP(-LN(2)/25)*BQ45+(1-EXP(-LN(2)/25))/(LN(2)/25)*Calculateur!BL46*Calculateur!BN46*VLOOKUP('Données projet'!$B$11,Paramètres!$A$1:$I$89,3,0)*0.475*44/12</f>
        <v>0</v>
      </c>
      <c r="BR46" s="21">
        <f>EXP(-LN(2)/2)*BR45+(1-EXP(-LN(2)/2))/(LN(2)/2)*BL46*BO46*VLOOKUP('Données projet'!$B$11,Paramètres!$A$1:$I$89,3,0)*0.475*44/12</f>
        <v>0</v>
      </c>
      <c r="BS46" s="22">
        <f t="shared" si="9"/>
        <v>0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9.8000000000000007</v>
      </c>
      <c r="BY46" s="12">
        <f>IF('Données projet'!$A$114&gt;35,BY45+BX46-CG45,IF(A46&lt;'Données projet'!$A$114,$BV$205^A46,IF(A46='Données projet'!$A$114,'Données projet'!$B$114,BY45+BX46-CG45)))</f>
        <v>222.40000000000003</v>
      </c>
      <c r="BZ46" s="13">
        <f>BY46*VLOOKUP('Données projet'!$B$12,Paramètres!$A$1:$I$89,3,0)*VLOOKUP('Données projet'!$B$12,Paramètres!$A$1:$I$89,5,0)</f>
        <v>211.63584000000003</v>
      </c>
      <c r="CA46" s="13">
        <f t="shared" si="39"/>
        <v>52.292896299216586</v>
      </c>
      <c r="CB46" s="20">
        <f t="shared" si="10"/>
        <v>459.67588238780223</v>
      </c>
      <c r="CC46" s="59">
        <f t="shared" si="11"/>
        <v>709.81706385423422</v>
      </c>
      <c r="CD46" s="59">
        <f ca="1">AVERAGE(OFFSET($CC$3,0,0,'Données projet'!$E$12+1,1))-AVERAGE(OFFSET($H$3,0,0,'Données projet'!$E$12+1,1))</f>
        <v>439.15394290667945</v>
      </c>
      <c r="CE46" s="59">
        <f t="shared" si="40"/>
        <v>423.56554025351068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10.167419335274397</v>
      </c>
      <c r="CL46" s="21">
        <f>EXP(-LN(2)/25)*CL45+(1-EXP(-LN(2)/25))/(LN(2)/25)*Calculateur!CG46*Calculateur!CI46*VLOOKUP('Données projet'!$B$12,Paramètres!$A$1:$I$89,3,0)*0.475*44/12</f>
        <v>15.670762926880419</v>
      </c>
      <c r="CM46" s="21">
        <f>EXP(-LN(2)/2)*CM45+(1-EXP(-LN(2)/2))/(LN(2)/2)*CG46*CJ46*VLOOKUP('Données projet'!$B$12,Paramètres!$A$1:$I$89,3,0)*0.475*44/12</f>
        <v>3.3739262510126218</v>
      </c>
      <c r="CN46" s="22">
        <f t="shared" si="12"/>
        <v>29.21210851316744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9.8000000000000007</v>
      </c>
      <c r="CT46" s="12">
        <f>IF('Données projet'!$A$140&gt;35,CT45+CS46-DB45,IF(A46&lt;'Données projet'!$A$140,$CQ$205^A46,IF(A46='Données projet'!$A$140,'Données projet'!$B$140,CT45+CS46-DB45)))</f>
        <v>222.40000000000003</v>
      </c>
      <c r="CU46" s="17">
        <f>CT46*VLOOKUP('Données projet'!$B$13,Paramètres!$A$1:$I$89,3,0)*VLOOKUP('Données projet'!$B$13,Paramètres!$A$1:$I$89,5,0)</f>
        <v>194.28864000000004</v>
      </c>
      <c r="CV46" s="13">
        <f t="shared" si="41"/>
        <v>48.486875029770822</v>
      </c>
      <c r="CW46" s="20">
        <f t="shared" si="13"/>
        <v>422.83402201018424</v>
      </c>
      <c r="CX46" s="59">
        <f t="shared" si="14"/>
        <v>672.97520347661634</v>
      </c>
      <c r="CY46" s="59">
        <f ca="1">AVERAGE(OFFSET($CX$3,0,0,'Données projet'!$E$13+1,1))-AVERAGE(OFFSET($H$3,0,0,'Données projet'!$E$13+1,1))</f>
        <v>408.246209980743</v>
      </c>
      <c r="CZ46" s="59">
        <f t="shared" si="42"/>
        <v>394.10236303013903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>
        <f>EXP(-LN(2)/35)*DF45+(1-EXP(-LN(2)/35))/(LN(2)/35)*DB46*DC46*VLOOKUP('Données projet'!$B$13,Paramètres!$A$1:$I$89,3,0)*0.475*44/12</f>
        <v>11.504727635186587</v>
      </c>
      <c r="DG46" s="21">
        <f>EXP(-LN(2)/25)*DG45+(1-EXP(-LN(2)/25))/(LN(2)/25)*Calculateur!DB46*Calculateur!DD46*VLOOKUP('Données projet'!$B$13,Paramètres!$A$1:$I$89,3,0)*0.475*44/12</f>
        <v>17.731919316424353</v>
      </c>
      <c r="DH46" s="21">
        <f>EXP(-LN(2)/2)*DH45+(1-EXP(-LN(2)/2))/(LN(2)/2)*DB46*DE46*VLOOKUP('Données projet'!$B$13,Paramètres!$A$1:$I$89,3,0)*0.475*44/12</f>
        <v>3.0973749189624078</v>
      </c>
      <c r="DI46" s="22">
        <f t="shared" si="15"/>
        <v>32.334021870573345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9.8000000000000007</v>
      </c>
      <c r="DO46" s="12">
        <f>IF('Données projet'!$A$166&gt;35,DO45+DN46-DW45,IF(A46&lt;'Données projet'!$A$166,$DL$205^A46,IF(A46='Données projet'!$A$166,'Données projet'!$B$166,DO45+DN46-DW45)))</f>
        <v>222.40000000000003</v>
      </c>
      <c r="DP46" s="17">
        <f>DO46*VLOOKUP('Données projet'!$B$14,Paramètres!$A$1:$I$89,3,0)*VLOOKUP('Données projet'!$B$14,Paramètres!$A$1:$I$89,5,0)</f>
        <v>173.47200000000004</v>
      </c>
      <c r="DQ46" s="13">
        <f t="shared" si="43"/>
        <v>43.866718728383574</v>
      </c>
      <c r="DR46" s="20">
        <f t="shared" si="16"/>
        <v>378.53160178526809</v>
      </c>
      <c r="DS46" s="59">
        <f t="shared" si="17"/>
        <v>628.67278325170014</v>
      </c>
      <c r="DT46" s="59">
        <f ca="1">AVERAGE(OFFSET($DS$3,0,0,'Données projet'!$E$14+1,1))-AVERAGE(OFFSET($H$3,0,0,'Données projet'!$E$14+1,1))</f>
        <v>371.07993287480366</v>
      </c>
      <c r="DU46" s="59">
        <f t="shared" si="44"/>
        <v>358.67120540290637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>
        <f>EXP(-LN(2)/35)*EA45+(1-EXP(-LN(2)/35))/(LN(2)/35)*DW46*DX46*VLOOKUP('Données projet'!$B$14,Paramètres!$A$1:$I$89,3,0)*0.475*44/12</f>
        <v>8.3339502748150771</v>
      </c>
      <c r="EB46" s="21">
        <f>EXP(-LN(2)/25)*EB45+(1-EXP(-LN(2)/25))/(LN(2)/25)*Calculateur!DW46*Calculateur!DY46*VLOOKUP('Données projet'!$B$14,Paramètres!$A$1:$I$89,3,0)*0.475*44/12</f>
        <v>12.844887644983951</v>
      </c>
      <c r="EC46" s="21">
        <f>EXP(-LN(2)/2)*EC45+(1-EXP(-LN(2)/2))/(LN(2)/2)*DW46*DZ46*VLOOKUP('Données projet'!$B$14,Paramètres!$A$1:$I$89,3,0)*0.475*44/12</f>
        <v>2.7655133205021492</v>
      </c>
      <c r="ED46" s="22">
        <f t="shared" si="18"/>
        <v>23.944351240301177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45">
      <c r="A47" s="10">
        <f t="shared" si="31"/>
        <v>44</v>
      </c>
      <c r="B47" s="73">
        <f>'Scénario référence'!$B$16*5+'Scénario référence'!$B$17*0+'Scénario référence'!$B$18*5</f>
        <v>5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1">
        <f t="shared" si="32"/>
        <v>0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18.333333333333332</v>
      </c>
      <c r="H47" s="67">
        <f t="shared" si="1"/>
        <v>183.33333333333334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10.110000000000001</v>
      </c>
      <c r="N47" s="13">
        <f>IF('Données projet'!$A$36&gt;35,N46+M47-V46,IF(A47&lt;'Données projet'!$A$36,$K$205^A47,IF(A47='Données projet'!$A$36,'Données projet'!$B$36,N46+M47-V46)))</f>
        <v>147.67000000000013</v>
      </c>
      <c r="O47" s="13">
        <f>N47*VLOOKUP('Données projet'!$B$9,Paramètres!$A$1:$I$89,3,0)*VLOOKUP('Données projet'!$B$9,Paramètres!$A$1:$I$89,5,0)</f>
        <v>133.61181600000012</v>
      </c>
      <c r="P47" s="13">
        <f t="shared" si="33"/>
        <v>34.829608206917271</v>
      </c>
      <c r="Q47" s="20">
        <f t="shared" si="53"/>
        <v>293.36881382704775</v>
      </c>
      <c r="R47" s="59">
        <f t="shared" si="0"/>
        <v>544.25928256518523</v>
      </c>
      <c r="S47" s="59">
        <f ca="1">AVERAGE(OFFSET($R$3,0,0,'Données projet'!$E$9+1,1))-AVERAGE(OFFSET($H$3,0,0,'Données projet'!$E$9+1,1))</f>
        <v>681.47578137804555</v>
      </c>
      <c r="T47" s="59">
        <f t="shared" si="34"/>
        <v>300.88511065995885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0</v>
      </c>
      <c r="AA47" s="21">
        <f>EXP(-LN(2)/25)*AA46+(1-EXP(-LN(2)/25))/(LN(2)/25)*Calculateur!V47*Calculateur!X47*VLOOKUP('Données projet'!$B$9,Paramètres!$A$1:$I$89,3,0)*0.475*44/12</f>
        <v>14.431782710262945</v>
      </c>
      <c r="AB47" s="21">
        <f>EXP(-LN(2)/2)*AB46+(1-EXP(-LN(2)/2))/(LN(2)/2)*V47*Y47*VLOOKUP('Données projet'!$B$9,Paramètres!$A$1:$I$89,3,0)*0.475*44/12</f>
        <v>3.7998327310428874</v>
      </c>
      <c r="AC47" s="22">
        <f t="shared" si="3"/>
        <v>18.231615441305834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6.4429411764705877</v>
      </c>
      <c r="AI47" s="13">
        <f>IF('Données projet'!$A$62&gt;35,AI46+AH47-AQ46,IF(A47&lt;'Données projet'!$A$62,$AF$205^A47,IF(A47='Données projet'!$A$62,'Données projet'!$B$62,AI46+AH47-AQ46)))</f>
        <v>283.48941176470572</v>
      </c>
      <c r="AJ47" s="13">
        <f>AI47*VLOOKUP('Données projet'!$B$10,Paramètres!$A$1:$I$89,3,0)*VLOOKUP('Données projet'!$B$10,Paramètres!$A$1:$I$89,5,0)</f>
        <v>132.67304470588229</v>
      </c>
      <c r="AK47" s="13">
        <f t="shared" si="35"/>
        <v>34.613287919203351</v>
      </c>
      <c r="AL47" s="20">
        <f t="shared" si="4"/>
        <v>291.35702932202412</v>
      </c>
      <c r="AM47" s="59">
        <f t="shared" si="5"/>
        <v>542.24749806016155</v>
      </c>
      <c r="AN47" s="59">
        <f ca="1">AVERAGE(OFFSET($AM$3,0,0,'Données projet'!$E$10+1,1))-AVERAGE(OFFSET($H$3,0,0,'Données projet'!$E$10+1,1))</f>
        <v>325.45940224919184</v>
      </c>
      <c r="AO47" s="59">
        <f t="shared" si="36"/>
        <v>256.30046621034876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0</v>
      </c>
      <c r="AV47" s="21">
        <f>EXP(-LN(2)/25)*AV46+(1-EXP(-LN(2)/25))/(LN(2)/25)*Calculateur!AQ47*Calculateur!AS47*VLOOKUP('Données projet'!$B$10,Paramètres!$A$1:$I$89,3,0)*0.475*44/12</f>
        <v>0</v>
      </c>
      <c r="AW47" s="21">
        <f>EXP(-LN(2)/2)*AW46+(1-EXP(-LN(2)/2))/(LN(2)/2)*AQ47*AT47*VLOOKUP('Données projet'!$B$10,Paramètres!$A$1:$I$89,3,0)*0.475*44/12</f>
        <v>0</v>
      </c>
      <c r="AX47" s="21">
        <f t="shared" si="6"/>
        <v>0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3.3603333333333336</v>
      </c>
      <c r="BD47" s="12">
        <f>IF('Données projet'!$A$88&gt;35,BD46+BC47-BL46,IF(A47&lt;'Données projet'!$A$88,$BA$205^A47,IF(A47='Données projet'!$A$88,'Données projet'!$B$88,BD46+BC47-BL46)))</f>
        <v>147.85466666666662</v>
      </c>
      <c r="BE47" s="13">
        <f>BD47*VLOOKUP('Données projet'!$B$11,Paramètres!$A$1:$I$89,3,0)*VLOOKUP('Données projet'!$B$11,Paramètres!$A$1:$I$89,5,0)</f>
        <v>149.92463199999995</v>
      </c>
      <c r="BF47" s="13">
        <f t="shared" si="37"/>
        <v>38.561457471452059</v>
      </c>
      <c r="BG47" s="20">
        <f t="shared" si="7"/>
        <v>328.27993916277887</v>
      </c>
      <c r="BH47" s="59">
        <f t="shared" si="8"/>
        <v>579.1704079009163</v>
      </c>
      <c r="BI47" s="59">
        <f ca="1">AVERAGE(OFFSET($BH$3,0,0,'Données projet'!$E$11+1,1))-AVERAGE(OFFSET($H$3,0,0,'Données projet'!$E$11+1,1))</f>
        <v>580.02848304986492</v>
      </c>
      <c r="BJ47" s="59">
        <f t="shared" si="38"/>
        <v>281.68891895586728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0</v>
      </c>
      <c r="BQ47" s="21">
        <f>EXP(-LN(2)/25)*BQ46+(1-EXP(-LN(2)/25))/(LN(2)/25)*Calculateur!BL47*Calculateur!BN47*VLOOKUP('Données projet'!$B$11,Paramètres!$A$1:$I$89,3,0)*0.475*44/12</f>
        <v>0</v>
      </c>
      <c r="BR47" s="21">
        <f>EXP(-LN(2)/2)*BR46+(1-EXP(-LN(2)/2))/(LN(2)/2)*BL47*BO47*VLOOKUP('Données projet'!$B$11,Paramètres!$A$1:$I$89,3,0)*0.475*44/12</f>
        <v>0</v>
      </c>
      <c r="BS47" s="22">
        <f t="shared" si="9"/>
        <v>0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9.8000000000000007</v>
      </c>
      <c r="BY47" s="12">
        <f>IF('Données projet'!$A$114&gt;35,BY46+BX47-CG46,IF(A47&lt;'Données projet'!$A$114,$BV$205^A47,IF(A47='Données projet'!$A$114,'Données projet'!$B$114,BY46+BX47-CG46)))</f>
        <v>232.20000000000005</v>
      </c>
      <c r="BZ47" s="13">
        <f>BY47*VLOOKUP('Données projet'!$B$12,Paramètres!$A$1:$I$89,3,0)*VLOOKUP('Données projet'!$B$12,Paramètres!$A$1:$I$89,5,0)</f>
        <v>220.96152000000004</v>
      </c>
      <c r="CA47" s="13">
        <f t="shared" si="39"/>
        <v>54.323814270404277</v>
      </c>
      <c r="CB47" s="20">
        <f t="shared" si="10"/>
        <v>479.45529052095412</v>
      </c>
      <c r="CC47" s="59">
        <f t="shared" si="11"/>
        <v>730.34575925909155</v>
      </c>
      <c r="CD47" s="59">
        <f ca="1">AVERAGE(OFFSET($CC$3,0,0,'Données projet'!$E$12+1,1))-AVERAGE(OFFSET($H$3,0,0,'Données projet'!$E$12+1,1))</f>
        <v>439.15394290667945</v>
      </c>
      <c r="CE47" s="59">
        <f t="shared" si="40"/>
        <v>423.56554025351068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9.9680424436231121</v>
      </c>
      <c r="CL47" s="21">
        <f>EXP(-LN(2)/25)*CL46+(1-EXP(-LN(2)/25))/(LN(2)/25)*Calculateur!CG47*Calculateur!CI47*VLOOKUP('Données projet'!$B$12,Paramètres!$A$1:$I$89,3,0)*0.475*44/12</f>
        <v>15.242245090555269</v>
      </c>
      <c r="CM47" s="21">
        <f>EXP(-LN(2)/2)*CM46+(1-EXP(-LN(2)/2))/(LN(2)/2)*CG47*CJ47*VLOOKUP('Données projet'!$B$12,Paramètres!$A$1:$I$89,3,0)*0.475*44/12</f>
        <v>2.3857261313143305</v>
      </c>
      <c r="CN47" s="22">
        <f t="shared" si="12"/>
        <v>27.596013665492713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9.8000000000000007</v>
      </c>
      <c r="CT47" s="12">
        <f>IF('Données projet'!$A$140&gt;35,CT46+CS47-DB46,IF(A47&lt;'Données projet'!$A$140,$CQ$205^A47,IF(A47='Données projet'!$A$140,'Données projet'!$B$140,CT46+CS47-DB46)))</f>
        <v>232.20000000000005</v>
      </c>
      <c r="CU47" s="17">
        <f>CT47*VLOOKUP('Données projet'!$B$13,Paramètres!$A$1:$I$89,3,0)*VLOOKUP('Données projet'!$B$13,Paramètres!$A$1:$I$89,5,0)</f>
        <v>202.84992000000005</v>
      </c>
      <c r="CV47" s="13">
        <f t="shared" si="41"/>
        <v>50.369977187686075</v>
      </c>
      <c r="CW47" s="20">
        <f t="shared" si="13"/>
        <v>441.02465426855332</v>
      </c>
      <c r="CX47" s="59">
        <f t="shared" si="14"/>
        <v>691.91512300669069</v>
      </c>
      <c r="CY47" s="59">
        <f ca="1">AVERAGE(OFFSET($CX$3,0,0,'Données projet'!$E$13+1,1))-AVERAGE(OFFSET($H$3,0,0,'Données projet'!$E$13+1,1))</f>
        <v>408.246209980743</v>
      </c>
      <c r="CZ47" s="59">
        <f t="shared" si="42"/>
        <v>394.10236303013903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>
        <f>EXP(-LN(2)/35)*DF46+(1-EXP(-LN(2)/35))/(LN(2)/35)*DB47*DC47*VLOOKUP('Données projet'!$B$13,Paramètres!$A$1:$I$89,3,0)*0.475*44/12</f>
        <v>11.279126943451546</v>
      </c>
      <c r="DG47" s="21">
        <f>EXP(-LN(2)/25)*DG46+(1-EXP(-LN(2)/25))/(LN(2)/25)*Calculateur!DB47*Calculateur!DD47*VLOOKUP('Données projet'!$B$13,Paramètres!$A$1:$I$89,3,0)*0.475*44/12</f>
        <v>17.247039050235617</v>
      </c>
      <c r="DH47" s="21">
        <f>EXP(-LN(2)/2)*DH46+(1-EXP(-LN(2)/2))/(LN(2)/2)*DB47*DE47*VLOOKUP('Données projet'!$B$13,Paramètres!$A$1:$I$89,3,0)*0.475*44/12</f>
        <v>2.1901748090754518</v>
      </c>
      <c r="DI47" s="22">
        <f t="shared" si="15"/>
        <v>30.716340802762616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9.8000000000000007</v>
      </c>
      <c r="DO47" s="12">
        <f>IF('Données projet'!$A$166&gt;35,DO46+DN47-DW46,IF(A47&lt;'Données projet'!$A$166,$DL$205^A47,IF(A47='Données projet'!$A$166,'Données projet'!$B$166,DO46+DN47-DW46)))</f>
        <v>232.20000000000005</v>
      </c>
      <c r="DP47" s="17">
        <f>DO47*VLOOKUP('Données projet'!$B$14,Paramètres!$A$1:$I$89,3,0)*VLOOKUP('Données projet'!$B$14,Paramètres!$A$1:$I$89,5,0)</f>
        <v>181.11600000000004</v>
      </c>
      <c r="DQ47" s="13">
        <f t="shared" si="43"/>
        <v>45.570386218758216</v>
      </c>
      <c r="DR47" s="20">
        <f t="shared" si="16"/>
        <v>394.81212266433727</v>
      </c>
      <c r="DS47" s="59">
        <f t="shared" si="17"/>
        <v>645.7025914024747</v>
      </c>
      <c r="DT47" s="59">
        <f ca="1">AVERAGE(OFFSET($DS$3,0,0,'Données projet'!$E$14+1,1))-AVERAGE(OFFSET($H$3,0,0,'Données projet'!$E$14+1,1))</f>
        <v>371.07993287480366</v>
      </c>
      <c r="DU47" s="59">
        <f t="shared" si="44"/>
        <v>358.67120540290637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>
        <f>EXP(-LN(2)/35)*EA46+(1-EXP(-LN(2)/35))/(LN(2)/35)*DW47*DX47*VLOOKUP('Données projet'!$B$14,Paramètres!$A$1:$I$89,3,0)*0.475*44/12</f>
        <v>8.1705265931336957</v>
      </c>
      <c r="EB47" s="21">
        <f>EXP(-LN(2)/25)*EB46+(1-EXP(-LN(2)/25))/(LN(2)/25)*Calculateur!DW47*Calculateur!DY47*VLOOKUP('Données projet'!$B$14,Paramètres!$A$1:$I$89,3,0)*0.475*44/12</f>
        <v>12.49364351684858</v>
      </c>
      <c r="EC47" s="21">
        <f>EXP(-LN(2)/2)*EC46+(1-EXP(-LN(2)/2))/(LN(2)/2)*DW47*DZ47*VLOOKUP('Données projet'!$B$14,Paramètres!$A$1:$I$89,3,0)*0.475*44/12</f>
        <v>1.9555132223887959</v>
      </c>
      <c r="ED47" s="22">
        <f t="shared" si="18"/>
        <v>22.619683332371071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45">
      <c r="A48" s="10">
        <f t="shared" si="31"/>
        <v>45</v>
      </c>
      <c r="B48" s="73">
        <f>'Scénario référence'!$B$16*5+'Scénario référence'!$B$17*0+'Scénario référence'!$B$18*5</f>
        <v>5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1">
        <f t="shared" si="32"/>
        <v>0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18.333333333333332</v>
      </c>
      <c r="H48" s="67">
        <f t="shared" si="1"/>
        <v>183.33333333333334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10.110000000000001</v>
      </c>
      <c r="N48" s="13">
        <f>IF('Données projet'!$A$36&gt;35,N47+M48-V47,IF(A48&lt;'Données projet'!$A$36,$K$205^A48,IF(A48='Données projet'!$A$36,'Données projet'!$B$36,N47+M48-V47)))</f>
        <v>157.78000000000014</v>
      </c>
      <c r="O48" s="13">
        <f>N48*VLOOKUP('Données projet'!$B$9,Paramètres!$A$1:$I$89,3,0)*VLOOKUP('Données projet'!$B$9,Paramètres!$A$1:$I$89,5,0)</f>
        <v>142.75934400000011</v>
      </c>
      <c r="P48" s="13">
        <f t="shared" si="33"/>
        <v>36.928412609012774</v>
      </c>
      <c r="Q48" s="20">
        <f t="shared" si="53"/>
        <v>312.95617609403075</v>
      </c>
      <c r="R48" s="59">
        <f t="shared" si="0"/>
        <v>564.58293364486485</v>
      </c>
      <c r="S48" s="59">
        <f ca="1">AVERAGE(OFFSET($R$3,0,0,'Données projet'!$E$9+1,1))-AVERAGE(OFFSET($H$3,0,0,'Données projet'!$E$9+1,1))</f>
        <v>681.47578137804555</v>
      </c>
      <c r="T48" s="59">
        <f t="shared" si="34"/>
        <v>300.88511065995885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0</v>
      </c>
      <c r="AA48" s="21">
        <f>EXP(-LN(2)/25)*AA47+(1-EXP(-LN(2)/25))/(LN(2)/25)*Calculateur!V48*Calculateur!X48*VLOOKUP('Données projet'!$B$9,Paramètres!$A$1:$I$89,3,0)*0.475*44/12</f>
        <v>14.037144853116336</v>
      </c>
      <c r="AB48" s="21">
        <f>EXP(-LN(2)/2)*AB47+(1-EXP(-LN(2)/2))/(LN(2)/2)*V48*Y48*VLOOKUP('Données projet'!$B$9,Paramètres!$A$1:$I$89,3,0)*0.475*44/12</f>
        <v>2.6868874914950243</v>
      </c>
      <c r="AC48" s="22">
        <f t="shared" si="3"/>
        <v>16.724032344611359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6.4429411764705877</v>
      </c>
      <c r="AI48" s="13">
        <f>IF('Données projet'!$A$62&gt;35,AI47+AH48-AQ47,IF(A48&lt;'Données projet'!$A$62,$AF$205^A48,IF(A48='Données projet'!$A$62,'Données projet'!$B$62,AI47+AH48-AQ47)))</f>
        <v>289.9323529411763</v>
      </c>
      <c r="AJ48" s="13">
        <f>AI48*VLOOKUP('Données projet'!$B$10,Paramètres!$A$1:$I$89,3,0)*VLOOKUP('Données projet'!$B$10,Paramètres!$A$1:$I$89,5,0)</f>
        <v>135.68834117647052</v>
      </c>
      <c r="AK48" s="13">
        <f t="shared" si="35"/>
        <v>35.307473933015544</v>
      </c>
      <c r="AL48" s="20">
        <f t="shared" si="4"/>
        <v>297.8177113156882</v>
      </c>
      <c r="AM48" s="59">
        <f t="shared" si="5"/>
        <v>549.44446886652236</v>
      </c>
      <c r="AN48" s="59">
        <f ca="1">AVERAGE(OFFSET($AM$3,0,0,'Données projet'!$E$10+1,1))-AVERAGE(OFFSET($H$3,0,0,'Données projet'!$E$10+1,1))</f>
        <v>325.45940224919184</v>
      </c>
      <c r="AO48" s="59">
        <f t="shared" si="36"/>
        <v>256.30046621034876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0</v>
      </c>
      <c r="AV48" s="21">
        <f>EXP(-LN(2)/25)*AV47+(1-EXP(-LN(2)/25))/(LN(2)/25)*Calculateur!AQ48*Calculateur!AS48*VLOOKUP('Données projet'!$B$10,Paramètres!$A$1:$I$89,3,0)*0.475*44/12</f>
        <v>0</v>
      </c>
      <c r="AW48" s="21">
        <f>EXP(-LN(2)/2)*AW47+(1-EXP(-LN(2)/2))/(LN(2)/2)*AQ48*AT48*VLOOKUP('Données projet'!$B$10,Paramètres!$A$1:$I$89,3,0)*0.475*44/12</f>
        <v>0</v>
      </c>
      <c r="AX48" s="21">
        <f t="shared" si="6"/>
        <v>0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3.3603333333333336</v>
      </c>
      <c r="BD48" s="12">
        <f>IF('Données projet'!$A$88&gt;35,BD47+BC48-BL47,IF(A48&lt;'Données projet'!$A$88,$BA$205^A48,IF(A48='Données projet'!$A$88,'Données projet'!$B$88,BD47+BC48-BL47)))</f>
        <v>151.21499999999995</v>
      </c>
      <c r="BE48" s="13">
        <f>BD48*VLOOKUP('Données projet'!$B$11,Paramètres!$A$1:$I$89,3,0)*VLOOKUP('Données projet'!$B$11,Paramètres!$A$1:$I$89,5,0)</f>
        <v>153.33200999999997</v>
      </c>
      <c r="BF48" s="13">
        <f t="shared" si="37"/>
        <v>39.334825910514574</v>
      </c>
      <c r="BG48" s="20">
        <f t="shared" si="7"/>
        <v>335.5614058774795</v>
      </c>
      <c r="BH48" s="59">
        <f t="shared" si="8"/>
        <v>587.1881634283136</v>
      </c>
      <c r="BI48" s="59">
        <f ca="1">AVERAGE(OFFSET($BH$3,0,0,'Données projet'!$E$11+1,1))-AVERAGE(OFFSET($H$3,0,0,'Données projet'!$E$11+1,1))</f>
        <v>580.02848304986492</v>
      </c>
      <c r="BJ48" s="59">
        <f t="shared" si="38"/>
        <v>281.68891895586728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0</v>
      </c>
      <c r="BQ48" s="21">
        <f>EXP(-LN(2)/25)*BQ47+(1-EXP(-LN(2)/25))/(LN(2)/25)*Calculateur!BL48*Calculateur!BN48*VLOOKUP('Données projet'!$B$11,Paramètres!$A$1:$I$89,3,0)*0.475*44/12</f>
        <v>0</v>
      </c>
      <c r="BR48" s="21">
        <f>EXP(-LN(2)/2)*BR47+(1-EXP(-LN(2)/2))/(LN(2)/2)*BL48*BO48*VLOOKUP('Données projet'!$B$11,Paramètres!$A$1:$I$89,3,0)*0.475*44/12</f>
        <v>0</v>
      </c>
      <c r="BS48" s="22">
        <f t="shared" si="9"/>
        <v>0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>
        <f>VLOOKUP(A48,'Données projet'!$A$113:$I$133,2,0)</f>
        <v>242</v>
      </c>
      <c r="BW48" s="12">
        <f>VLOOKUP(A48,'Données projet'!$A$113:$I$133,9,0)</f>
        <v>9.8000000000000007</v>
      </c>
      <c r="BX48" s="12">
        <f t="array" ref="BX48">INDEX(BW:BW,MIN(IF(ISNUMBER(BW48:BW244),ROW(BW48:BW244),"")))</f>
        <v>9.8000000000000007</v>
      </c>
      <c r="BY48" s="12">
        <f>IF('Données projet'!$A$114&gt;35,BY47+BX48-CG47,IF(A48&lt;'Données projet'!$A$114,$BV$205^A48,IF(A48='Données projet'!$A$114,'Données projet'!$B$114,BY47+BX48-CG47)))</f>
        <v>242.00000000000006</v>
      </c>
      <c r="BZ48" s="13">
        <f>BY48*VLOOKUP('Données projet'!$B$12,Paramètres!$A$1:$I$89,3,0)*VLOOKUP('Données projet'!$B$12,Paramètres!$A$1:$I$89,5,0)</f>
        <v>230.28720000000007</v>
      </c>
      <c r="CA48" s="13">
        <f t="shared" si="39"/>
        <v>56.344776374960006</v>
      </c>
      <c r="CB48" s="20">
        <f t="shared" si="10"/>
        <v>499.21735885305537</v>
      </c>
      <c r="CC48" s="59">
        <f t="shared" si="11"/>
        <v>750.84411640388953</v>
      </c>
      <c r="CD48" s="59">
        <f ca="1">AVERAGE(OFFSET($CC$3,0,0,'Données projet'!$E$12+1,1))-AVERAGE(OFFSET($H$3,0,0,'Données projet'!$E$12+1,1))</f>
        <v>439.15394290667945</v>
      </c>
      <c r="CE48" s="59">
        <f t="shared" si="40"/>
        <v>423.56554025351068</v>
      </c>
      <c r="CF48" s="15">
        <f>IF(ISNA(VLOOKUP(A48,'Données projet'!$A$113:$I$133,3,0)),0,VLOOKUP(A48,'Données projet'!$A$113:$I$133,3,0))</f>
        <v>7</v>
      </c>
      <c r="CG48" s="15">
        <f>IF(ISNA(VLOOKUP(A48,'Données projet'!$A$113:$I$133,4,0)),0,VLOOKUP(A48,'Données projet'!$A$113:$I$133,4,0))</f>
        <v>24</v>
      </c>
      <c r="CH48" s="16">
        <f>IF(ISNA(VLOOKUP(A48,'Données projet'!$A$113:$I$133,5,0)),0%,VLOOKUP(A48,'Données projet'!$A$113:$I$133,5,0)*VLOOKUP('Données projet'!$B$12,Paramètres!$A$1:$I$89,7,0))</f>
        <v>0.1075</v>
      </c>
      <c r="CI48" s="16">
        <f>IF(ISNA(VLOOKUP(A48,'Données projet'!$A$113:$I$133,6,0)),0%,VLOOKUP(A48,'Données projet'!$A$113:$I$133,6,0)*VLOOKUP('Données projet'!$B$12,Paramètres!$A$1:$I$89,7,0))</f>
        <v>0.1075</v>
      </c>
      <c r="CJ48" s="16">
        <f>IF(ISNA(VLOOKUP(A48,'Données projet'!$A$113:$I$133,7,0)),0%,VLOOKUP(A48,'Données projet'!$A$113:$I$133,7,0))</f>
        <v>0.25</v>
      </c>
      <c r="CK48" s="21">
        <f>EXP(-LN(2)/35)*CK47+(1-EXP(-LN(2)/35))/(LN(2)/35)*CG48*CH48*VLOOKUP('Données projet'!$B$12,Paramètres!$A$1:$I$89,3,0)*0.475*44/12</f>
        <v>12.486646493171186</v>
      </c>
      <c r="CL48" s="21">
        <f>EXP(-LN(2)/25)*CL47+(1-EXP(-LN(2)/25))/(LN(2)/25)*Calculateur!CG48*Calculateur!CI48*VLOOKUP('Données projet'!$B$12,Paramètres!$A$1:$I$89,3,0)*0.475*44/12</f>
        <v>17.528830046181856</v>
      </c>
      <c r="CM48" s="21">
        <f>EXP(-LN(2)/2)*CM47+(1-EXP(-LN(2)/2))/(LN(2)/2)*CG48*CJ48*VLOOKUP('Données projet'!$B$12,Paramètres!$A$1:$I$89,3,0)*0.475*44/12</f>
        <v>7.0741243971372363</v>
      </c>
      <c r="CN48" s="22">
        <f t="shared" si="12"/>
        <v>37.089600936490278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>
        <f>VLOOKUP(A48,'Données projet'!$A$139:$I$159,2,0)</f>
        <v>242</v>
      </c>
      <c r="CR48" s="12">
        <f>VLOOKUP(A48,'Données projet'!$A$139:$I$159,9,0)</f>
        <v>9.8000000000000007</v>
      </c>
      <c r="CS48" s="12">
        <f t="array" ref="CS48">INDEX(CR:CR,MIN(IF(ISNUMBER(CR48:CR244),ROW(CR48:CR244),"")))</f>
        <v>9.8000000000000007</v>
      </c>
      <c r="CT48" s="12">
        <f>IF('Données projet'!$A$140&gt;35,CT47+CS48-DB47,IF(A48&lt;'Données projet'!$A$140,$CQ$205^A48,IF(A48='Données projet'!$A$140,'Données projet'!$B$140,CT47+CS48-DB47)))</f>
        <v>242.00000000000006</v>
      </c>
      <c r="CU48" s="17">
        <f>CT48*VLOOKUP('Données projet'!$B$13,Paramètres!$A$1:$I$89,3,0)*VLOOKUP('Données projet'!$B$13,Paramètres!$A$1:$I$89,5,0)</f>
        <v>211.41120000000006</v>
      </c>
      <c r="CV48" s="13">
        <f t="shared" si="41"/>
        <v>52.243848094411156</v>
      </c>
      <c r="CW48" s="20">
        <f t="shared" si="13"/>
        <v>459.19920876443285</v>
      </c>
      <c r="CX48" s="59">
        <f t="shared" si="14"/>
        <v>710.82596631526701</v>
      </c>
      <c r="CY48" s="59">
        <f ca="1">AVERAGE(OFFSET($CX$3,0,0,'Données projet'!$E$13+1,1))-AVERAGE(OFFSET($H$3,0,0,'Données projet'!$E$13+1,1))</f>
        <v>408.246209980743</v>
      </c>
      <c r="CZ48" s="59">
        <f t="shared" si="42"/>
        <v>394.10236303013903</v>
      </c>
      <c r="DA48" s="15">
        <f>IF(ISNA(VLOOKUP(A48,'Données projet'!$A$139:$I$159,3,0)),0,VLOOKUP(A48,'Données projet'!$A$139:$I$159,3,0))</f>
        <v>7</v>
      </c>
      <c r="DB48" s="15">
        <f>IF(ISNA(VLOOKUP(A48,'Données projet'!$A$139:$I$159,4,0)),0,VLOOKUP(A48,'Données projet'!$A$139:$I$159,4,0))</f>
        <v>24</v>
      </c>
      <c r="DC48" s="16">
        <f>IF(ISNA(VLOOKUP(A48,'Données projet'!$A$139:$I$159,5,0)),0%,VLOOKUP(A48,'Données projet'!$A$139:$I$159,5,0)*VLOOKUP('Données projet'!$B$13,Paramètres!$A$1:$I$89,7,0))</f>
        <v>0.13250000000000001</v>
      </c>
      <c r="DD48" s="16">
        <f>IF(ISNA(VLOOKUP(A48,'Données projet'!$A$139:$I$159,6,0)),0%,VLOOKUP(A48,'Données projet'!$A$139:$I$159,6,0)*VLOOKUP('Données projet'!$B$13,Paramètres!$A$1:$I$89,7,0))</f>
        <v>0.13250000000000001</v>
      </c>
      <c r="DE48" s="16">
        <f>IF(ISNA(VLOOKUP(A48,'Données projet'!$A$139:$I$159,7,0)),0%,VLOOKUP(A48,'Données projet'!$A$139:$I$159,7,0))</f>
        <v>0.25</v>
      </c>
      <c r="DF48" s="21">
        <f>EXP(-LN(2)/35)*DF47+(1-EXP(-LN(2)/35))/(LN(2)/35)*DB48*DC48*VLOOKUP('Données projet'!$B$13,Paramètres!$A$1:$I$89,3,0)*0.475*44/12</f>
        <v>14.128999920599348</v>
      </c>
      <c r="DG48" s="21">
        <f>EXP(-LN(2)/25)*DG47+(1-EXP(-LN(2)/25))/(LN(2)/25)*Calculateur!DB48*Calculateur!DD48*VLOOKUP('Données projet'!$B$13,Paramètres!$A$1:$I$89,3,0)*0.475*44/12</f>
        <v>19.834375744211872</v>
      </c>
      <c r="DH48" s="21">
        <f>EXP(-LN(2)/2)*DH47+(1-EXP(-LN(2)/2))/(LN(2)/2)*DB48*DE48*VLOOKUP('Données projet'!$B$13,Paramètres!$A$1:$I$89,3,0)*0.475*44/12</f>
        <v>6.494278135076808</v>
      </c>
      <c r="DI48" s="22">
        <f t="shared" si="15"/>
        <v>40.457653799888035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>
        <f>VLOOKUP(A48,'Données projet'!$A$165:$I$185,2,0)</f>
        <v>242</v>
      </c>
      <c r="DM48" s="12">
        <f>VLOOKUP(A48,'Données projet'!$A$165:$I$185,9,0)</f>
        <v>9.8000000000000007</v>
      </c>
      <c r="DN48" s="12">
        <f t="array" ref="DN48">INDEX(DM:DM,MIN(IF(ISNUMBER(DM48:DM244),ROW(DM48:DM244),"")))</f>
        <v>9.8000000000000007</v>
      </c>
      <c r="DO48" s="12">
        <f>IF('Données projet'!$A$166&gt;35,DO47+DN48-DW47,IF(A48&lt;'Données projet'!$A$166,$DL$205^A48,IF(A48='Données projet'!$A$166,'Données projet'!$B$166,DO47+DN48-DW47)))</f>
        <v>242.00000000000006</v>
      </c>
      <c r="DP48" s="17">
        <f>DO48*VLOOKUP('Données projet'!$B$14,Paramètres!$A$1:$I$89,3,0)*VLOOKUP('Données projet'!$B$14,Paramètres!$A$1:$I$89,5,0)</f>
        <v>188.76000000000005</v>
      </c>
      <c r="DQ48" s="13">
        <f t="shared" si="43"/>
        <v>47.265702073783714</v>
      </c>
      <c r="DR48" s="20">
        <f t="shared" si="16"/>
        <v>411.07809777850667</v>
      </c>
      <c r="DS48" s="59">
        <f t="shared" si="17"/>
        <v>662.70485532934083</v>
      </c>
      <c r="DT48" s="59">
        <f ca="1">AVERAGE(OFFSET($DS$3,0,0,'Données projet'!$E$14+1,1))-AVERAGE(OFFSET($H$3,0,0,'Données projet'!$E$14+1,1))</f>
        <v>371.07993287480366</v>
      </c>
      <c r="DU48" s="59">
        <f t="shared" si="44"/>
        <v>358.67120540290637</v>
      </c>
      <c r="DV48" s="15">
        <f>IF(ISNA(VLOOKUP(A48,'Données projet'!$A$165:$I$185,3,0)),0,VLOOKUP(A48,'Données projet'!$A$165:$I$185,3,0))</f>
        <v>7</v>
      </c>
      <c r="DW48" s="15">
        <f>IF(ISNA(VLOOKUP(A48,'Données projet'!$A$165:$I$185,4,0)),0,VLOOKUP(A48,'Données projet'!$A$165:$I$185,4,0))</f>
        <v>24</v>
      </c>
      <c r="DX48" s="16">
        <f>IF(ISNA(VLOOKUP(A48,'Données projet'!$A$165:$I$185,5,0)),0%,VLOOKUP(A48,'Données projet'!$A$165:$I$185,5,0)*VLOOKUP('Données projet'!$B$14,Paramètres!$A$1:$I$89,7,0))</f>
        <v>0.1075</v>
      </c>
      <c r="DY48" s="16">
        <f>IF(ISNA(VLOOKUP(A48,'Données projet'!$A$165:$I$185,6,0)),0%,VLOOKUP(A48,'Données projet'!$A$165:$I$185,6,0)*VLOOKUP('Données projet'!$B$14,Paramètres!$A$1:$I$89,7,0))</f>
        <v>0.1075</v>
      </c>
      <c r="DZ48" s="16">
        <f>IF(ISNA(VLOOKUP(A48,'Données projet'!$A$165:$I$185,7,0)),0%,VLOOKUP(A48,'Données projet'!$A$165:$I$185,7,0))</f>
        <v>0.25</v>
      </c>
      <c r="EA48" s="21">
        <f>EXP(-LN(2)/35)*EA47+(1-EXP(-LN(2)/35))/(LN(2)/35)*DW48*DX48*VLOOKUP('Données projet'!$B$14,Paramètres!$A$1:$I$89,3,0)*0.475*44/12</f>
        <v>10.234956141943591</v>
      </c>
      <c r="EB48" s="21">
        <f>EXP(-LN(2)/25)*EB47+(1-EXP(-LN(2)/25))/(LN(2)/25)*Calculateur!DW48*Calculateur!DY48*VLOOKUP('Données projet'!$B$14,Paramètres!$A$1:$I$89,3,0)*0.475*44/12</f>
        <v>14.367893480476932</v>
      </c>
      <c r="EC48" s="21">
        <f>EXP(-LN(2)/2)*EC47+(1-EXP(-LN(2)/2))/(LN(2)/2)*DW48*DZ48*VLOOKUP('Données projet'!$B$14,Paramètres!$A$1:$I$89,3,0)*0.475*44/12</f>
        <v>5.7984626206042913</v>
      </c>
      <c r="ED48" s="22">
        <f t="shared" si="18"/>
        <v>30.401312243024812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45">
      <c r="A49" s="10">
        <f t="shared" si="31"/>
        <v>46</v>
      </c>
      <c r="B49" s="73">
        <f>'Scénario référence'!$B$16*5+'Scénario référence'!$B$17*0+'Scénario référence'!$B$18*5</f>
        <v>5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1">
        <f t="shared" si="32"/>
        <v>0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18.333333333333332</v>
      </c>
      <c r="H49" s="67">
        <f t="shared" si="1"/>
        <v>183.33333333333334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10.110000000000001</v>
      </c>
      <c r="N49" s="13">
        <f>IF('Données projet'!$A$36&gt;35,N48+M49-V48,IF(A49&lt;'Données projet'!$A$36,$K$205^A49,IF(A49='Données projet'!$A$36,'Données projet'!$B$36,N48+M49-V48)))</f>
        <v>167.89000000000016</v>
      </c>
      <c r="O49" s="13">
        <f>N49*VLOOKUP('Données projet'!$B$9,Paramètres!$A$1:$I$89,3,0)*VLOOKUP('Données projet'!$B$9,Paramètres!$A$1:$I$89,5,0)</f>
        <v>151.90687200000013</v>
      </c>
      <c r="P49" s="13">
        <f t="shared" si="33"/>
        <v>39.011610015763097</v>
      </c>
      <c r="Q49" s="20">
        <f t="shared" si="53"/>
        <v>332.51635617745427</v>
      </c>
      <c r="R49" s="59">
        <f t="shared" si="0"/>
        <v>584.86662957617989</v>
      </c>
      <c r="S49" s="59">
        <f ca="1">AVERAGE(OFFSET($R$3,0,0,'Données projet'!$E$9+1,1))-AVERAGE(OFFSET($H$3,0,0,'Données projet'!$E$9+1,1))</f>
        <v>681.47578137804555</v>
      </c>
      <c r="T49" s="59">
        <f t="shared" si="34"/>
        <v>300.88511065995885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0</v>
      </c>
      <c r="AA49" s="21">
        <f>EXP(-LN(2)/25)*AA48+(1-EXP(-LN(2)/25))/(LN(2)/25)*Calculateur!V49*Calculateur!X49*VLOOKUP('Données projet'!$B$9,Paramètres!$A$1:$I$89,3,0)*0.475*44/12</f>
        <v>13.653298388926505</v>
      </c>
      <c r="AB49" s="21">
        <f>EXP(-LN(2)/2)*AB48+(1-EXP(-LN(2)/2))/(LN(2)/2)*V49*Y49*VLOOKUP('Données projet'!$B$9,Paramètres!$A$1:$I$89,3,0)*0.475*44/12</f>
        <v>1.8999163655214437</v>
      </c>
      <c r="AC49" s="22">
        <f t="shared" si="3"/>
        <v>15.553214754447948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6.4429411764705877</v>
      </c>
      <c r="AI49" s="13">
        <f>IF('Données projet'!$A$62&gt;35,AI48+AH49-AQ48,IF(A49&lt;'Données projet'!$A$62,$AF$205^A49,IF(A49='Données projet'!$A$62,'Données projet'!$B$62,AI48+AH49-AQ48)))</f>
        <v>296.37529411764689</v>
      </c>
      <c r="AJ49" s="13">
        <f>AI49*VLOOKUP('Données projet'!$B$10,Paramètres!$A$1:$I$89,3,0)*VLOOKUP('Données projet'!$B$10,Paramètres!$A$1:$I$89,5,0)</f>
        <v>138.70363764705874</v>
      </c>
      <c r="AK49" s="13">
        <f t="shared" si="35"/>
        <v>35.999866483331765</v>
      </c>
      <c r="AL49" s="20">
        <f t="shared" si="4"/>
        <v>304.27526969376351</v>
      </c>
      <c r="AM49" s="59">
        <f t="shared" si="5"/>
        <v>556.62554309248912</v>
      </c>
      <c r="AN49" s="59">
        <f ca="1">AVERAGE(OFFSET($AM$3,0,0,'Données projet'!$E$10+1,1))-AVERAGE(OFFSET($H$3,0,0,'Données projet'!$E$10+1,1))</f>
        <v>325.45940224919184</v>
      </c>
      <c r="AO49" s="59">
        <f t="shared" si="36"/>
        <v>256.30046621034876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0</v>
      </c>
      <c r="AV49" s="21">
        <f>EXP(-LN(2)/25)*AV48+(1-EXP(-LN(2)/25))/(LN(2)/25)*Calculateur!AQ49*Calculateur!AS49*VLOOKUP('Données projet'!$B$10,Paramètres!$A$1:$I$89,3,0)*0.475*44/12</f>
        <v>0</v>
      </c>
      <c r="AW49" s="21">
        <f>EXP(-LN(2)/2)*AW48+(1-EXP(-LN(2)/2))/(LN(2)/2)*AQ49*AT49*VLOOKUP('Données projet'!$B$10,Paramètres!$A$1:$I$89,3,0)*0.475*44/12</f>
        <v>0</v>
      </c>
      <c r="AX49" s="21">
        <f t="shared" si="6"/>
        <v>0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3.3603333333333336</v>
      </c>
      <c r="BD49" s="12">
        <f>IF('Données projet'!$A$88&gt;35,BD48+BC49-BL48,IF(A49&lt;'Données projet'!$A$88,$BA$205^A49,IF(A49='Données projet'!$A$88,'Données projet'!$B$88,BD48+BC49-BL48)))</f>
        <v>154.57533333333328</v>
      </c>
      <c r="BE49" s="13">
        <f>BD49*VLOOKUP('Données projet'!$B$11,Paramètres!$A$1:$I$89,3,0)*VLOOKUP('Données projet'!$B$11,Paramètres!$A$1:$I$89,5,0)</f>
        <v>156.73938799999993</v>
      </c>
      <c r="BF49" s="13">
        <f t="shared" si="37"/>
        <v>40.106196314415328</v>
      </c>
      <c r="BG49" s="20">
        <f t="shared" si="7"/>
        <v>342.83939268093991</v>
      </c>
      <c r="BH49" s="59">
        <f t="shared" si="8"/>
        <v>595.18966607966559</v>
      </c>
      <c r="BI49" s="59">
        <f ca="1">AVERAGE(OFFSET($BH$3,0,0,'Données projet'!$E$11+1,1))-AVERAGE(OFFSET($H$3,0,0,'Données projet'!$E$11+1,1))</f>
        <v>580.02848304986492</v>
      </c>
      <c r="BJ49" s="59">
        <f t="shared" si="38"/>
        <v>281.68891895586728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0</v>
      </c>
      <c r="BQ49" s="21">
        <f>EXP(-LN(2)/25)*BQ48+(1-EXP(-LN(2)/25))/(LN(2)/25)*Calculateur!BL49*Calculateur!BN49*VLOOKUP('Données projet'!$B$11,Paramètres!$A$1:$I$89,3,0)*0.475*44/12</f>
        <v>0</v>
      </c>
      <c r="BR49" s="21">
        <f>EXP(-LN(2)/2)*BR48+(1-EXP(-LN(2)/2))/(LN(2)/2)*BL49*BO49*VLOOKUP('Données projet'!$B$11,Paramètres!$A$1:$I$89,3,0)*0.475*44/12</f>
        <v>0</v>
      </c>
      <c r="BS49" s="22">
        <f t="shared" si="9"/>
        <v>0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8.6</v>
      </c>
      <c r="BY49" s="12">
        <f>IF('Données projet'!$A$114&gt;35,BY48+BX49-CG48,IF(A49&lt;'Données projet'!$A$114,$BV$205^A49,IF(A49='Données projet'!$A$114,'Données projet'!$B$114,BY48+BX49-CG48)))</f>
        <v>226.60000000000005</v>
      </c>
      <c r="BZ49" s="13">
        <f>BY49*VLOOKUP('Données projet'!$B$12,Paramètres!$A$1:$I$89,3,0)*VLOOKUP('Données projet'!$B$12,Paramètres!$A$1:$I$89,5,0)</f>
        <v>215.63256000000004</v>
      </c>
      <c r="CA49" s="13">
        <f t="shared" si="39"/>
        <v>53.164539286100229</v>
      </c>
      <c r="CB49" s="20">
        <f t="shared" si="10"/>
        <v>468.15494792329127</v>
      </c>
      <c r="CC49" s="59">
        <f t="shared" si="11"/>
        <v>720.50522132201695</v>
      </c>
      <c r="CD49" s="59">
        <f ca="1">AVERAGE(OFFSET($CC$3,0,0,'Données projet'!$E$12+1,1))-AVERAGE(OFFSET($H$3,0,0,'Données projet'!$E$12+1,1))</f>
        <v>439.15394290667945</v>
      </c>
      <c r="CE49" s="59">
        <f t="shared" si="40"/>
        <v>423.56554025351068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12.241790971542432</v>
      </c>
      <c r="CL49" s="21">
        <f>EXP(-LN(2)/25)*CL48+(1-EXP(-LN(2)/25))/(LN(2)/25)*Calculateur!CG49*Calculateur!CI49*VLOOKUP('Données projet'!$B$12,Paramètres!$A$1:$I$89,3,0)*0.475*44/12</f>
        <v>17.049503266767903</v>
      </c>
      <c r="CM49" s="21">
        <f>EXP(-LN(2)/2)*CM48+(1-EXP(-LN(2)/2))/(LN(2)/2)*CG49*CJ49*VLOOKUP('Données projet'!$B$12,Paramètres!$A$1:$I$89,3,0)*0.475*44/12</f>
        <v>5.0021613321729372</v>
      </c>
      <c r="CN49" s="22">
        <f t="shared" si="12"/>
        <v>34.293455570483275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8.6</v>
      </c>
      <c r="CT49" s="12">
        <f>IF('Données projet'!$A$140&gt;35,CT48+CS49-DB48,IF(A49&lt;'Données projet'!$A$140,$CQ$205^A49,IF(A49='Données projet'!$A$140,'Données projet'!$B$140,CT48+CS49-DB48)))</f>
        <v>226.60000000000005</v>
      </c>
      <c r="CU49" s="17">
        <f>CT49*VLOOKUP('Données projet'!$B$13,Paramètres!$A$1:$I$89,3,0)*VLOOKUP('Données projet'!$B$13,Paramètres!$A$1:$I$89,5,0)</f>
        <v>197.95776000000006</v>
      </c>
      <c r="CV49" s="13">
        <f t="shared" si="41"/>
        <v>49.295077435194649</v>
      </c>
      <c r="CW49" s="20">
        <f t="shared" si="13"/>
        <v>430.63202519963079</v>
      </c>
      <c r="CX49" s="59">
        <f t="shared" si="14"/>
        <v>682.98229859835646</v>
      </c>
      <c r="CY49" s="59">
        <f ca="1">AVERAGE(OFFSET($CX$3,0,0,'Données projet'!$E$13+1,1))-AVERAGE(OFFSET($H$3,0,0,'Données projet'!$E$13+1,1))</f>
        <v>408.246209980743</v>
      </c>
      <c r="CZ49" s="59">
        <f t="shared" si="42"/>
        <v>394.10236303013903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>
        <f>EXP(-LN(2)/35)*DF48+(1-EXP(-LN(2)/35))/(LN(2)/35)*DB49*DC49*VLOOKUP('Données projet'!$B$13,Paramètres!$A$1:$I$89,3,0)*0.475*44/12</f>
        <v>13.851938849995406</v>
      </c>
      <c r="DG49" s="21">
        <f>EXP(-LN(2)/25)*DG48+(1-EXP(-LN(2)/25))/(LN(2)/25)*Calculateur!DB49*Calculateur!DD49*VLOOKUP('Données projet'!$B$13,Paramètres!$A$1:$I$89,3,0)*0.475*44/12</f>
        <v>19.29200369644191</v>
      </c>
      <c r="DH49" s="21">
        <f>EXP(-LN(2)/2)*DH48+(1-EXP(-LN(2)/2))/(LN(2)/2)*DB49*DE49*VLOOKUP('Données projet'!$B$13,Paramètres!$A$1:$I$89,3,0)*0.475*44/12</f>
        <v>4.5921481082243369</v>
      </c>
      <c r="DI49" s="22">
        <f t="shared" si="15"/>
        <v>37.736090654661652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8.6</v>
      </c>
      <c r="DO49" s="12">
        <f>IF('Données projet'!$A$166&gt;35,DO48+DN49-DW48,IF(A49&lt;'Données projet'!$A$166,$DL$205^A49,IF(A49='Données projet'!$A$166,'Données projet'!$B$166,DO48+DN49-DW48)))</f>
        <v>226.60000000000005</v>
      </c>
      <c r="DP49" s="17">
        <f>DO49*VLOOKUP('Données projet'!$B$14,Paramètres!$A$1:$I$89,3,0)*VLOOKUP('Données projet'!$B$14,Paramètres!$A$1:$I$89,5,0)</f>
        <v>176.74800000000005</v>
      </c>
      <c r="DQ49" s="13">
        <f t="shared" si="43"/>
        <v>44.597910160550732</v>
      </c>
      <c r="DR49" s="20">
        <f t="shared" si="16"/>
        <v>385.51079352962591</v>
      </c>
      <c r="DS49" s="59">
        <f t="shared" si="17"/>
        <v>637.86106692835153</v>
      </c>
      <c r="DT49" s="59">
        <f ca="1">AVERAGE(OFFSET($DS$3,0,0,'Données projet'!$E$14+1,1))-AVERAGE(OFFSET($H$3,0,0,'Données projet'!$E$14+1,1))</f>
        <v>371.07993287480366</v>
      </c>
      <c r="DU49" s="59">
        <f t="shared" si="44"/>
        <v>358.67120540290637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>
        <f>EXP(-LN(2)/35)*EA48+(1-EXP(-LN(2)/35))/(LN(2)/35)*DW49*DX49*VLOOKUP('Données projet'!$B$14,Paramètres!$A$1:$I$89,3,0)*0.475*44/12</f>
        <v>10.034254894706908</v>
      </c>
      <c r="EB49" s="21">
        <f>EXP(-LN(2)/25)*EB48+(1-EXP(-LN(2)/25))/(LN(2)/25)*Calculateur!DW49*Calculateur!DY49*VLOOKUP('Données projet'!$B$14,Paramètres!$A$1:$I$89,3,0)*0.475*44/12</f>
        <v>13.97500267767861</v>
      </c>
      <c r="EC49" s="21">
        <f>EXP(-LN(2)/2)*EC48+(1-EXP(-LN(2)/2))/(LN(2)/2)*DW49*DZ49*VLOOKUP('Données projet'!$B$14,Paramètres!$A$1:$I$89,3,0)*0.475*44/12</f>
        <v>4.1001322394860136</v>
      </c>
      <c r="ED49" s="22">
        <f t="shared" si="18"/>
        <v>28.10938981187153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45">
      <c r="A50" s="10">
        <f t="shared" si="31"/>
        <v>47</v>
      </c>
      <c r="B50" s="73">
        <f>'Scénario référence'!$B$16*5+'Scénario référence'!$B$17*0+'Scénario référence'!$B$18*5</f>
        <v>5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1">
        <f t="shared" si="32"/>
        <v>0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18.333333333333332</v>
      </c>
      <c r="H50" s="67">
        <f t="shared" si="1"/>
        <v>183.33333333333334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10.110000000000001</v>
      </c>
      <c r="N50" s="13">
        <f>IF('Données projet'!$A$36&gt;35,N49+M50-V49,IF(A50&lt;'Données projet'!$A$36,$K$205^A50,IF(A50='Données projet'!$A$36,'Données projet'!$B$36,N49+M50-V49)))</f>
        <v>178.00000000000017</v>
      </c>
      <c r="O50" s="13">
        <f>N50*VLOOKUP('Données projet'!$B$9,Paramètres!$A$1:$I$89,3,0)*VLOOKUP('Données projet'!$B$9,Paramètres!$A$1:$I$89,5,0)</f>
        <v>161.05440000000016</v>
      </c>
      <c r="P50" s="13">
        <f t="shared" si="33"/>
        <v>41.080247278685491</v>
      </c>
      <c r="Q50" s="20">
        <f t="shared" si="53"/>
        <v>352.05117734371078</v>
      </c>
      <c r="R50" s="59">
        <f t="shared" si="0"/>
        <v>605.11241520790622</v>
      </c>
      <c r="S50" s="59">
        <f ca="1">AVERAGE(OFFSET($R$3,0,0,'Données projet'!$E$9+1,1))-AVERAGE(OFFSET($H$3,0,0,'Données projet'!$E$9+1,1))</f>
        <v>681.47578137804555</v>
      </c>
      <c r="T50" s="59">
        <f t="shared" si="34"/>
        <v>300.88511065995885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0</v>
      </c>
      <c r="AA50" s="21">
        <f>EXP(-LN(2)/25)*AA49+(1-EXP(-LN(2)/25))/(LN(2)/25)*Calculateur!V50*Calculateur!X50*VLOOKUP('Données projet'!$B$9,Paramètres!$A$1:$I$89,3,0)*0.475*44/12</f>
        <v>13.279948226485553</v>
      </c>
      <c r="AB50" s="21">
        <f>EXP(-LN(2)/2)*AB49+(1-EXP(-LN(2)/2))/(LN(2)/2)*V50*Y50*VLOOKUP('Données projet'!$B$9,Paramètres!$A$1:$I$89,3,0)*0.475*44/12</f>
        <v>1.3434437457475121</v>
      </c>
      <c r="AC50" s="22">
        <f t="shared" si="3"/>
        <v>14.623391972233065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6.4429411764705877</v>
      </c>
      <c r="AI50" s="13">
        <f>IF('Données projet'!$A$62&gt;35,AI49+AH50-AQ49,IF(A50&lt;'Données projet'!$A$62,$AF$205^A50,IF(A50='Données projet'!$A$62,'Données projet'!$B$62,AI49+AH50-AQ49)))</f>
        <v>302.81823529411747</v>
      </c>
      <c r="AJ50" s="13">
        <f>AI50*VLOOKUP('Données projet'!$B$10,Paramètres!$A$1:$I$89,3,0)*VLOOKUP('Données projet'!$B$10,Paramètres!$A$1:$I$89,5,0)</f>
        <v>141.71893411764697</v>
      </c>
      <c r="AK50" s="13">
        <f t="shared" si="35"/>
        <v>36.690509048624413</v>
      </c>
      <c r="AL50" s="20">
        <f t="shared" si="4"/>
        <v>310.72978018125599</v>
      </c>
      <c r="AM50" s="59">
        <f t="shared" si="5"/>
        <v>563.79101804545144</v>
      </c>
      <c r="AN50" s="59">
        <f ca="1">AVERAGE(OFFSET($AM$3,0,0,'Données projet'!$E$10+1,1))-AVERAGE(OFFSET($H$3,0,0,'Données projet'!$E$10+1,1))</f>
        <v>325.45940224919184</v>
      </c>
      <c r="AO50" s="59">
        <f t="shared" si="36"/>
        <v>256.30046621034876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0</v>
      </c>
      <c r="AV50" s="21">
        <f>EXP(-LN(2)/25)*AV49+(1-EXP(-LN(2)/25))/(LN(2)/25)*Calculateur!AQ50*Calculateur!AS50*VLOOKUP('Données projet'!$B$10,Paramètres!$A$1:$I$89,3,0)*0.475*44/12</f>
        <v>0</v>
      </c>
      <c r="AW50" s="21">
        <f>EXP(-LN(2)/2)*AW49+(1-EXP(-LN(2)/2))/(LN(2)/2)*AQ50*AT50*VLOOKUP('Données projet'!$B$10,Paramètres!$A$1:$I$89,3,0)*0.475*44/12</f>
        <v>0</v>
      </c>
      <c r="AX50" s="21">
        <f t="shared" si="6"/>
        <v>0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3.3603333333333336</v>
      </c>
      <c r="BD50" s="12">
        <f>IF('Données projet'!$A$88&gt;35,BD49+BC50-BL49,IF(A50&lt;'Données projet'!$A$88,$BA$205^A50,IF(A50='Données projet'!$A$88,'Données projet'!$B$88,BD49+BC50-BL49)))</f>
        <v>157.93566666666661</v>
      </c>
      <c r="BE50" s="13">
        <f>BD50*VLOOKUP('Données projet'!$B$11,Paramètres!$A$1:$I$89,3,0)*VLOOKUP('Données projet'!$B$11,Paramètres!$A$1:$I$89,5,0)</f>
        <v>160.14676599999996</v>
      </c>
      <c r="BF50" s="13">
        <f t="shared" si="37"/>
        <v>40.875617121004808</v>
      </c>
      <c r="BG50" s="20">
        <f t="shared" si="7"/>
        <v>350.11398393574996</v>
      </c>
      <c r="BH50" s="59">
        <f t="shared" si="8"/>
        <v>603.17522179994535</v>
      </c>
      <c r="BI50" s="59">
        <f ca="1">AVERAGE(OFFSET($BH$3,0,0,'Données projet'!$E$11+1,1))-AVERAGE(OFFSET($H$3,0,0,'Données projet'!$E$11+1,1))</f>
        <v>580.02848304986492</v>
      </c>
      <c r="BJ50" s="59">
        <f t="shared" si="38"/>
        <v>281.68891895586728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0</v>
      </c>
      <c r="BQ50" s="21">
        <f>EXP(-LN(2)/25)*BQ49+(1-EXP(-LN(2)/25))/(LN(2)/25)*Calculateur!BL50*Calculateur!BN50*VLOOKUP('Données projet'!$B$11,Paramètres!$A$1:$I$89,3,0)*0.475*44/12</f>
        <v>0</v>
      </c>
      <c r="BR50" s="21">
        <f>EXP(-LN(2)/2)*BR49+(1-EXP(-LN(2)/2))/(LN(2)/2)*BL50*BO50*VLOOKUP('Données projet'!$B$11,Paramètres!$A$1:$I$89,3,0)*0.475*44/12</f>
        <v>0</v>
      </c>
      <c r="BS50" s="22">
        <f t="shared" si="9"/>
        <v>0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8.6</v>
      </c>
      <c r="BY50" s="12">
        <f>IF('Données projet'!$A$114&gt;35,BY49+BX50-CG49,IF(A50&lt;'Données projet'!$A$114,$BV$205^A50,IF(A50='Données projet'!$A$114,'Données projet'!$B$114,BY49+BX50-CG49)))</f>
        <v>235.20000000000005</v>
      </c>
      <c r="BZ50" s="13">
        <f>BY50*VLOOKUP('Données projet'!$B$12,Paramètres!$A$1:$I$89,3,0)*VLOOKUP('Données projet'!$B$12,Paramètres!$A$1:$I$89,5,0)</f>
        <v>223.81632000000008</v>
      </c>
      <c r="CA50" s="13">
        <f t="shared" si="39"/>
        <v>54.94351196072666</v>
      </c>
      <c r="CB50" s="20">
        <f t="shared" si="10"/>
        <v>485.50670733159899</v>
      </c>
      <c r="CC50" s="59">
        <f t="shared" si="11"/>
        <v>738.56794519579444</v>
      </c>
      <c r="CD50" s="59">
        <f ca="1">AVERAGE(OFFSET($CC$3,0,0,'Données projet'!$E$12+1,1))-AVERAGE(OFFSET($H$3,0,0,'Données projet'!$E$12+1,1))</f>
        <v>439.15394290667945</v>
      </c>
      <c r="CE50" s="59">
        <f t="shared" si="40"/>
        <v>423.56554025351068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12.001736917345697</v>
      </c>
      <c r="CL50" s="21">
        <f>EXP(-LN(2)/25)*CL49+(1-EXP(-LN(2)/25))/(LN(2)/25)*Calculateur!CG50*Calculateur!CI50*VLOOKUP('Données projet'!$B$12,Paramètres!$A$1:$I$89,3,0)*0.475*44/12</f>
        <v>16.583283703343724</v>
      </c>
      <c r="CM50" s="21">
        <f>EXP(-LN(2)/2)*CM49+(1-EXP(-LN(2)/2))/(LN(2)/2)*CG50*CJ50*VLOOKUP('Données projet'!$B$12,Paramètres!$A$1:$I$89,3,0)*0.475*44/12</f>
        <v>3.5370621985686186</v>
      </c>
      <c r="CN50" s="22">
        <f t="shared" si="12"/>
        <v>32.12208281925804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8.6</v>
      </c>
      <c r="CT50" s="12">
        <f>IF('Données projet'!$A$140&gt;35,CT49+CS50-DB49,IF(A50&lt;'Données projet'!$A$140,$CQ$205^A50,IF(A50='Données projet'!$A$140,'Données projet'!$B$140,CT49+CS50-DB49)))</f>
        <v>235.20000000000005</v>
      </c>
      <c r="CU50" s="17">
        <f>CT50*VLOOKUP('Données projet'!$B$13,Paramètres!$A$1:$I$89,3,0)*VLOOKUP('Données projet'!$B$13,Paramètres!$A$1:$I$89,5,0)</f>
        <v>205.47072000000009</v>
      </c>
      <c r="CV50" s="13">
        <f t="shared" si="41"/>
        <v>50.944571570352757</v>
      </c>
      <c r="CW50" s="20">
        <f t="shared" si="13"/>
        <v>446.58996615169781</v>
      </c>
      <c r="CX50" s="59">
        <f t="shared" si="14"/>
        <v>699.6512040158932</v>
      </c>
      <c r="CY50" s="59">
        <f ca="1">AVERAGE(OFFSET($CX$3,0,0,'Données projet'!$E$13+1,1))-AVERAGE(OFFSET($H$3,0,0,'Données projet'!$E$13+1,1))</f>
        <v>408.246209980743</v>
      </c>
      <c r="CZ50" s="59">
        <f t="shared" si="42"/>
        <v>394.10236303013903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>
        <f>EXP(-LN(2)/35)*DF49+(1-EXP(-LN(2)/35))/(LN(2)/35)*DB50*DC50*VLOOKUP('Données projet'!$B$13,Paramètres!$A$1:$I$89,3,0)*0.475*44/12</f>
        <v>13.58031077799544</v>
      </c>
      <c r="DG50" s="21">
        <f>EXP(-LN(2)/25)*DG49+(1-EXP(-LN(2)/25))/(LN(2)/25)*Calculateur!DB50*Calculateur!DD50*VLOOKUP('Données projet'!$B$13,Paramètres!$A$1:$I$89,3,0)*0.475*44/12</f>
        <v>18.764462840840324</v>
      </c>
      <c r="DH50" s="21">
        <f>EXP(-LN(2)/2)*DH49+(1-EXP(-LN(2)/2))/(LN(2)/2)*DB50*DE50*VLOOKUP('Données projet'!$B$13,Paramètres!$A$1:$I$89,3,0)*0.475*44/12</f>
        <v>3.2471390675384044</v>
      </c>
      <c r="DI50" s="22">
        <f t="shared" si="15"/>
        <v>35.591912686374165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8.6</v>
      </c>
      <c r="DO50" s="12">
        <f>IF('Données projet'!$A$166&gt;35,DO49+DN50-DW49,IF(A50&lt;'Données projet'!$A$166,$DL$205^A50,IF(A50='Données projet'!$A$166,'Données projet'!$B$166,DO49+DN50-DW49)))</f>
        <v>235.20000000000005</v>
      </c>
      <c r="DP50" s="17">
        <f>DO50*VLOOKUP('Données projet'!$B$14,Paramètres!$A$1:$I$89,3,0)*VLOOKUP('Données projet'!$B$14,Paramètres!$A$1:$I$89,5,0)</f>
        <v>183.45600000000005</v>
      </c>
      <c r="DQ50" s="13">
        <f t="shared" si="43"/>
        <v>46.090229375321144</v>
      </c>
      <c r="DR50" s="20">
        <f t="shared" si="16"/>
        <v>399.79301616201775</v>
      </c>
      <c r="DS50" s="59">
        <f t="shared" si="17"/>
        <v>652.85425402621308</v>
      </c>
      <c r="DT50" s="59">
        <f ca="1">AVERAGE(OFFSET($DS$3,0,0,'Données projet'!$E$14+1,1))-AVERAGE(OFFSET($H$3,0,0,'Données projet'!$E$14+1,1))</f>
        <v>371.07993287480366</v>
      </c>
      <c r="DU50" s="59">
        <f t="shared" si="44"/>
        <v>358.67120540290637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>
        <f>EXP(-LN(2)/35)*EA49+(1-EXP(-LN(2)/35))/(LN(2)/35)*DW50*DX50*VLOOKUP('Données projet'!$B$14,Paramètres!$A$1:$I$89,3,0)*0.475*44/12</f>
        <v>9.8374892765128639</v>
      </c>
      <c r="EB50" s="21">
        <f>EXP(-LN(2)/25)*EB49+(1-EXP(-LN(2)/25))/(LN(2)/25)*Calculateur!DW50*Calculateur!DY50*VLOOKUP('Données projet'!$B$14,Paramètres!$A$1:$I$89,3,0)*0.475*44/12</f>
        <v>13.592855494544038</v>
      </c>
      <c r="EC50" s="21">
        <f>EXP(-LN(2)/2)*EC49+(1-EXP(-LN(2)/2))/(LN(2)/2)*DW50*DZ50*VLOOKUP('Données projet'!$B$14,Paramètres!$A$1:$I$89,3,0)*0.475*44/12</f>
        <v>2.8992313103021461</v>
      </c>
      <c r="ED50" s="22">
        <f t="shared" si="18"/>
        <v>26.329576081359047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45">
      <c r="A51" s="10">
        <f t="shared" si="31"/>
        <v>48</v>
      </c>
      <c r="B51" s="73">
        <f>'Scénario référence'!$B$16*5+'Scénario référence'!$B$17*0+'Scénario référence'!$B$18*5</f>
        <v>5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1">
        <f t="shared" si="32"/>
        <v>0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18.333333333333332</v>
      </c>
      <c r="H51" s="67">
        <f t="shared" si="1"/>
        <v>183.33333333333334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10.110000000000001</v>
      </c>
      <c r="N51" s="13">
        <f>IF('Données projet'!$A$36&gt;35,N50+M51-V50,IF(A51&lt;'Données projet'!$A$36,$K$205^A51,IF(A51='Données projet'!$A$36,'Données projet'!$B$36,N50+M51-V50)))</f>
        <v>188.11000000000018</v>
      </c>
      <c r="O51" s="13">
        <f>N51*VLOOKUP('Données projet'!$B$9,Paramètres!$A$1:$I$89,3,0)*VLOOKUP('Données projet'!$B$9,Paramètres!$A$1:$I$89,5,0)</f>
        <v>170.20192800000018</v>
      </c>
      <c r="P51" s="13">
        <f t="shared" si="33"/>
        <v>43.135245614983553</v>
      </c>
      <c r="Q51" s="20">
        <f t="shared" si="53"/>
        <v>371.56224404609662</v>
      </c>
      <c r="R51" s="59">
        <f t="shared" si="0"/>
        <v>625.32211273176426</v>
      </c>
      <c r="S51" s="59">
        <f ca="1">AVERAGE(OFFSET($R$3,0,0,'Données projet'!$E$9+1,1))-AVERAGE(OFFSET($H$3,0,0,'Données projet'!$E$9+1,1))</f>
        <v>681.47578137804555</v>
      </c>
      <c r="T51" s="59">
        <f t="shared" si="34"/>
        <v>300.88511065995885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0</v>
      </c>
      <c r="AA51" s="21">
        <f>EXP(-LN(2)/25)*AA50+(1-EXP(-LN(2)/25))/(LN(2)/25)*Calculateur!V51*Calculateur!X51*VLOOKUP('Données projet'!$B$9,Paramètres!$A$1:$I$89,3,0)*0.475*44/12</f>
        <v>12.916807343870181</v>
      </c>
      <c r="AB51" s="21">
        <f>EXP(-LN(2)/2)*AB50+(1-EXP(-LN(2)/2))/(LN(2)/2)*V51*Y51*VLOOKUP('Données projet'!$B$9,Paramètres!$A$1:$I$89,3,0)*0.475*44/12</f>
        <v>0.94995818276072186</v>
      </c>
      <c r="AC51" s="22">
        <f t="shared" si="3"/>
        <v>13.866765526630903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6.4429411764705877</v>
      </c>
      <c r="AI51" s="13">
        <f>IF('Données projet'!$A$62&gt;35,AI50+AH51-AQ50,IF(A51&lt;'Données projet'!$A$62,$AF$205^A51,IF(A51='Données projet'!$A$62,'Données projet'!$B$62,AI50+AH51-AQ50)))</f>
        <v>309.26117647058805</v>
      </c>
      <c r="AJ51" s="13">
        <f>AI51*VLOOKUP('Données projet'!$B$10,Paramètres!$A$1:$I$89,3,0)*VLOOKUP('Données projet'!$B$10,Paramètres!$A$1:$I$89,5,0)</f>
        <v>144.73423058823522</v>
      </c>
      <c r="AK51" s="13">
        <f t="shared" si="35"/>
        <v>37.379443151518736</v>
      </c>
      <c r="AL51" s="20">
        <f t="shared" si="4"/>
        <v>317.1813150967381</v>
      </c>
      <c r="AM51" s="59">
        <f t="shared" si="5"/>
        <v>570.9411837824058</v>
      </c>
      <c r="AN51" s="59">
        <f ca="1">AVERAGE(OFFSET($AM$3,0,0,'Données projet'!$E$10+1,1))-AVERAGE(OFFSET($H$3,0,0,'Données projet'!$E$10+1,1))</f>
        <v>325.45940224919184</v>
      </c>
      <c r="AO51" s="59">
        <f t="shared" si="36"/>
        <v>256.30046621034876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0</v>
      </c>
      <c r="AV51" s="21">
        <f>EXP(-LN(2)/25)*AV50+(1-EXP(-LN(2)/25))/(LN(2)/25)*Calculateur!AQ51*Calculateur!AS51*VLOOKUP('Données projet'!$B$10,Paramètres!$A$1:$I$89,3,0)*0.475*44/12</f>
        <v>0</v>
      </c>
      <c r="AW51" s="21">
        <f>EXP(-LN(2)/2)*AW50+(1-EXP(-LN(2)/2))/(LN(2)/2)*AQ51*AT51*VLOOKUP('Données projet'!$B$10,Paramètres!$A$1:$I$89,3,0)*0.475*44/12</f>
        <v>0</v>
      </c>
      <c r="AX51" s="21">
        <f t="shared" si="6"/>
        <v>0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3.3603333333333336</v>
      </c>
      <c r="BD51" s="12">
        <f>IF('Données projet'!$A$88&gt;35,BD50+BC51-BL50,IF(A51&lt;'Données projet'!$A$88,$BA$205^A51,IF(A51='Données projet'!$A$88,'Données projet'!$B$88,BD50+BC51-BL50)))</f>
        <v>161.29599999999994</v>
      </c>
      <c r="BE51" s="13">
        <f>BD51*VLOOKUP('Données projet'!$B$11,Paramètres!$A$1:$I$89,3,0)*VLOOKUP('Données projet'!$B$11,Paramètres!$A$1:$I$89,5,0)</f>
        <v>163.55414399999992</v>
      </c>
      <c r="BF51" s="13">
        <f t="shared" si="37"/>
        <v>41.64313458919235</v>
      </c>
      <c r="BG51" s="20">
        <f t="shared" si="7"/>
        <v>357.38526020950985</v>
      </c>
      <c r="BH51" s="59">
        <f t="shared" si="8"/>
        <v>611.14512889517755</v>
      </c>
      <c r="BI51" s="59">
        <f ca="1">AVERAGE(OFFSET($BH$3,0,0,'Données projet'!$E$11+1,1))-AVERAGE(OFFSET($H$3,0,0,'Données projet'!$E$11+1,1))</f>
        <v>580.02848304986492</v>
      </c>
      <c r="BJ51" s="59">
        <f t="shared" si="38"/>
        <v>281.68891895586728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0</v>
      </c>
      <c r="BQ51" s="21">
        <f>EXP(-LN(2)/25)*BQ50+(1-EXP(-LN(2)/25))/(LN(2)/25)*Calculateur!BL51*Calculateur!BN51*VLOOKUP('Données projet'!$B$11,Paramètres!$A$1:$I$89,3,0)*0.475*44/12</f>
        <v>0</v>
      </c>
      <c r="BR51" s="21">
        <f>EXP(-LN(2)/2)*BR50+(1-EXP(-LN(2)/2))/(LN(2)/2)*BL51*BO51*VLOOKUP('Données projet'!$B$11,Paramètres!$A$1:$I$89,3,0)*0.475*44/12</f>
        <v>0</v>
      </c>
      <c r="BS51" s="22">
        <f t="shared" si="9"/>
        <v>0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8.6</v>
      </c>
      <c r="BY51" s="12">
        <f>IF('Données projet'!$A$114&gt;35,BY50+BX51-CG50,IF(A51&lt;'Données projet'!$A$114,$BV$205^A51,IF(A51='Données projet'!$A$114,'Données projet'!$B$114,BY50+BX51-CG50)))</f>
        <v>243.80000000000004</v>
      </c>
      <c r="BZ51" s="13">
        <f>BY51*VLOOKUP('Données projet'!$B$12,Paramètres!$A$1:$I$89,3,0)*VLOOKUP('Données projet'!$B$12,Paramètres!$A$1:$I$89,5,0)</f>
        <v>232.00008000000003</v>
      </c>
      <c r="CA51" s="13">
        <f t="shared" si="39"/>
        <v>56.714927420893837</v>
      </c>
      <c r="CB51" s="20">
        <f t="shared" si="10"/>
        <v>502.84530459139006</v>
      </c>
      <c r="CC51" s="59">
        <f t="shared" si="11"/>
        <v>756.6051732770577</v>
      </c>
      <c r="CD51" s="59">
        <f ca="1">AVERAGE(OFFSET($CC$3,0,0,'Données projet'!$E$12+1,1))-AVERAGE(OFFSET($H$3,0,0,'Données projet'!$E$12+1,1))</f>
        <v>439.15394290667945</v>
      </c>
      <c r="CE51" s="59">
        <f t="shared" si="40"/>
        <v>423.56554025351068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11.766390176733244</v>
      </c>
      <c r="CL51" s="21">
        <f>EXP(-LN(2)/25)*CL50+(1-EXP(-LN(2)/25))/(LN(2)/25)*Calculateur!CG51*Calculateur!CI51*VLOOKUP('Données projet'!$B$12,Paramètres!$A$1:$I$89,3,0)*0.475*44/12</f>
        <v>16.129812938398803</v>
      </c>
      <c r="CM51" s="21">
        <f>EXP(-LN(2)/2)*CM50+(1-EXP(-LN(2)/2))/(LN(2)/2)*CG51*CJ51*VLOOKUP('Données projet'!$B$12,Paramètres!$A$1:$I$89,3,0)*0.475*44/12</f>
        <v>2.5010806660864691</v>
      </c>
      <c r="CN51" s="22">
        <f t="shared" si="12"/>
        <v>30.397283781218515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8.6</v>
      </c>
      <c r="CT51" s="12">
        <f>IF('Données projet'!$A$140&gt;35,CT50+CS51-DB50,IF(A51&lt;'Données projet'!$A$140,$CQ$205^A51,IF(A51='Données projet'!$A$140,'Données projet'!$B$140,CT50+CS51-DB50)))</f>
        <v>243.80000000000004</v>
      </c>
      <c r="CU51" s="17">
        <f>CT51*VLOOKUP('Données projet'!$B$13,Paramètres!$A$1:$I$89,3,0)*VLOOKUP('Données projet'!$B$13,Paramètres!$A$1:$I$89,5,0)</f>
        <v>212.98368000000008</v>
      </c>
      <c r="CV51" s="13">
        <f t="shared" si="41"/>
        <v>52.587058525970363</v>
      </c>
      <c r="CW51" s="20">
        <f t="shared" si="13"/>
        <v>462.53570293273191</v>
      </c>
      <c r="CX51" s="59">
        <f t="shared" si="14"/>
        <v>716.29557161839966</v>
      </c>
      <c r="CY51" s="59">
        <f ca="1">AVERAGE(OFFSET($CX$3,0,0,'Données projet'!$E$13+1,1))-AVERAGE(OFFSET($H$3,0,0,'Données projet'!$E$13+1,1))</f>
        <v>408.246209980743</v>
      </c>
      <c r="CZ51" s="59">
        <f t="shared" si="42"/>
        <v>394.10236303013903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>
        <f>EXP(-LN(2)/35)*DF50+(1-EXP(-LN(2)/35))/(LN(2)/35)*DB51*DC51*VLOOKUP('Données projet'!$B$13,Paramètres!$A$1:$I$89,3,0)*0.475*44/12</f>
        <v>13.314009166810628</v>
      </c>
      <c r="DG51" s="21">
        <f>EXP(-LN(2)/25)*DG50+(1-EXP(-LN(2)/25))/(LN(2)/25)*Calculateur!DB51*Calculateur!DD51*VLOOKUP('Données projet'!$B$13,Paramètres!$A$1:$I$89,3,0)*0.475*44/12</f>
        <v>18.251347617677332</v>
      </c>
      <c r="DH51" s="21">
        <f>EXP(-LN(2)/2)*DH50+(1-EXP(-LN(2)/2))/(LN(2)/2)*DB51*DE51*VLOOKUP('Données projet'!$B$13,Paramètres!$A$1:$I$89,3,0)*0.475*44/12</f>
        <v>2.2960740541121685</v>
      </c>
      <c r="DI51" s="22">
        <f t="shared" si="15"/>
        <v>33.861430838600128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8.6</v>
      </c>
      <c r="DO51" s="12">
        <f>IF('Données projet'!$A$166&gt;35,DO50+DN51-DW50,IF(A51&lt;'Données projet'!$A$166,$DL$205^A51,IF(A51='Données projet'!$A$166,'Données projet'!$B$166,DO50+DN51-DW50)))</f>
        <v>243.80000000000004</v>
      </c>
      <c r="DP51" s="17">
        <f>DO51*VLOOKUP('Données projet'!$B$14,Paramètres!$A$1:$I$89,3,0)*VLOOKUP('Données projet'!$B$14,Paramètres!$A$1:$I$89,5,0)</f>
        <v>190.16400000000004</v>
      </c>
      <c r="DQ51" s="13">
        <f t="shared" si="43"/>
        <v>47.576209101852911</v>
      </c>
      <c r="DR51" s="20">
        <f t="shared" si="16"/>
        <v>414.06419751906054</v>
      </c>
      <c r="DS51" s="59">
        <f t="shared" si="17"/>
        <v>667.8240662047283</v>
      </c>
      <c r="DT51" s="59">
        <f ca="1">AVERAGE(OFFSET($DS$3,0,0,'Données projet'!$E$14+1,1))-AVERAGE(OFFSET($H$3,0,0,'Données projet'!$E$14+1,1))</f>
        <v>371.07993287480366</v>
      </c>
      <c r="DU51" s="59">
        <f t="shared" si="44"/>
        <v>358.67120540290637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>
        <f>EXP(-LN(2)/35)*EA50+(1-EXP(-LN(2)/35))/(LN(2)/35)*DW51*DX51*VLOOKUP('Données projet'!$B$14,Paramètres!$A$1:$I$89,3,0)*0.475*44/12</f>
        <v>9.6445821120764279</v>
      </c>
      <c r="EB51" s="21">
        <f>EXP(-LN(2)/25)*EB50+(1-EXP(-LN(2)/25))/(LN(2)/25)*Calculateur!DW51*Calculateur!DY51*VLOOKUP('Données projet'!$B$14,Paramètres!$A$1:$I$89,3,0)*0.475*44/12</f>
        <v>13.221158146228527</v>
      </c>
      <c r="EC51" s="21">
        <f>EXP(-LN(2)/2)*EC50+(1-EXP(-LN(2)/2))/(LN(2)/2)*DW51*DZ51*VLOOKUP('Données projet'!$B$14,Paramètres!$A$1:$I$89,3,0)*0.475*44/12</f>
        <v>2.0500661197430072</v>
      </c>
      <c r="ED51" s="22">
        <f t="shared" si="18"/>
        <v>24.915806378047961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45">
      <c r="A52" s="10">
        <f t="shared" si="31"/>
        <v>49</v>
      </c>
      <c r="B52" s="73">
        <f>'Scénario référence'!$B$16*5+'Scénario référence'!$B$17*0+'Scénario référence'!$B$18*5</f>
        <v>5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1">
        <f t="shared" si="32"/>
        <v>0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18.333333333333332</v>
      </c>
      <c r="H52" s="67">
        <f t="shared" si="1"/>
        <v>183.33333333333334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10.110000000000001</v>
      </c>
      <c r="N52" s="13">
        <f>IF('Données projet'!$A$36&gt;35,N51+M52-V51,IF(A52&lt;'Données projet'!$A$36,$K$205^A52,IF(A52='Données projet'!$A$36,'Données projet'!$B$36,N51+M52-V51)))</f>
        <v>198.2200000000002</v>
      </c>
      <c r="O52" s="13">
        <f>N52*VLOOKUP('Données projet'!$B$9,Paramètres!$A$1:$I$89,3,0)*VLOOKUP('Données projet'!$B$9,Paramètres!$A$1:$I$89,5,0)</f>
        <v>179.34945600000017</v>
      </c>
      <c r="P52" s="13">
        <f t="shared" si="33"/>
        <v>45.177421627371096</v>
      </c>
      <c r="Q52" s="20">
        <f t="shared" si="53"/>
        <v>391.0509785343383</v>
      </c>
      <c r="R52" s="59">
        <f t="shared" si="0"/>
        <v>645.49735835863021</v>
      </c>
      <c r="S52" s="59">
        <f ca="1">AVERAGE(OFFSET($R$3,0,0,'Données projet'!$E$9+1,1))-AVERAGE(OFFSET($H$3,0,0,'Données projet'!$E$9+1,1))</f>
        <v>681.47578137804555</v>
      </c>
      <c r="T52" s="59">
        <f t="shared" si="34"/>
        <v>300.88511065995885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0</v>
      </c>
      <c r="AA52" s="21">
        <f>EXP(-LN(2)/25)*AA51+(1-EXP(-LN(2)/25))/(LN(2)/25)*Calculateur!V52*Calculateur!X52*VLOOKUP('Données projet'!$B$9,Paramètres!$A$1:$I$89,3,0)*0.475*44/12</f>
        <v>12.563596567786675</v>
      </c>
      <c r="AB52" s="21">
        <f>EXP(-LN(2)/2)*AB51+(1-EXP(-LN(2)/2))/(LN(2)/2)*V52*Y52*VLOOKUP('Données projet'!$B$9,Paramètres!$A$1:$I$89,3,0)*0.475*44/12</f>
        <v>0.67172187287375607</v>
      </c>
      <c r="AC52" s="22">
        <f t="shared" si="3"/>
        <v>13.23531844066043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6.4429411764705877</v>
      </c>
      <c r="AI52" s="13">
        <f>IF('Données projet'!$A$62&gt;35,AI51+AH52-AQ51,IF(A52&lt;'Données projet'!$A$62,$AF$205^A52,IF(A52='Données projet'!$A$62,'Données projet'!$B$62,AI51+AH52-AQ51)))</f>
        <v>315.70411764705864</v>
      </c>
      <c r="AJ52" s="13">
        <f>AI52*VLOOKUP('Données projet'!$B$10,Paramètres!$A$1:$I$89,3,0)*VLOOKUP('Données projet'!$B$10,Paramètres!$A$1:$I$89,5,0)</f>
        <v>147.74952705882345</v>
      </c>
      <c r="AK52" s="13">
        <f t="shared" si="35"/>
        <v>38.06670848565912</v>
      </c>
      <c r="AL52" s="20">
        <f t="shared" si="4"/>
        <v>323.62994357330712</v>
      </c>
      <c r="AM52" s="59">
        <f t="shared" si="5"/>
        <v>578.07632339759903</v>
      </c>
      <c r="AN52" s="59">
        <f ca="1">AVERAGE(OFFSET($AM$3,0,0,'Données projet'!$E$10+1,1))-AVERAGE(OFFSET($H$3,0,0,'Données projet'!$E$10+1,1))</f>
        <v>325.45940224919184</v>
      </c>
      <c r="AO52" s="59">
        <f t="shared" si="36"/>
        <v>256.30046621034876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0</v>
      </c>
      <c r="AV52" s="21">
        <f>EXP(-LN(2)/25)*AV51+(1-EXP(-LN(2)/25))/(LN(2)/25)*Calculateur!AQ52*Calculateur!AS52*VLOOKUP('Données projet'!$B$10,Paramètres!$A$1:$I$89,3,0)*0.475*44/12</f>
        <v>0</v>
      </c>
      <c r="AW52" s="21">
        <f>EXP(-LN(2)/2)*AW51+(1-EXP(-LN(2)/2))/(LN(2)/2)*AQ52*AT52*VLOOKUP('Données projet'!$B$10,Paramètres!$A$1:$I$89,3,0)*0.475*44/12</f>
        <v>0</v>
      </c>
      <c r="AX52" s="21">
        <f t="shared" si="6"/>
        <v>0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3.3603333333333336</v>
      </c>
      <c r="BD52" s="12">
        <f>IF('Données projet'!$A$88&gt;35,BD51+BC52-BL51,IF(A52&lt;'Données projet'!$A$88,$BA$205^A52,IF(A52='Données projet'!$A$88,'Données projet'!$B$88,BD51+BC52-BL51)))</f>
        <v>164.65633333333327</v>
      </c>
      <c r="BE52" s="13">
        <f>BD52*VLOOKUP('Données projet'!$B$11,Paramètres!$A$1:$I$89,3,0)*VLOOKUP('Données projet'!$B$11,Paramètres!$A$1:$I$89,5,0)</f>
        <v>166.96152199999995</v>
      </c>
      <c r="BF52" s="13">
        <f t="shared" si="37"/>
        <v>42.408792940283384</v>
      </c>
      <c r="BG52" s="20">
        <f t="shared" si="7"/>
        <v>364.65329852099347</v>
      </c>
      <c r="BH52" s="59">
        <f t="shared" si="8"/>
        <v>619.09967834528538</v>
      </c>
      <c r="BI52" s="59">
        <f ca="1">AVERAGE(OFFSET($BH$3,0,0,'Données projet'!$E$11+1,1))-AVERAGE(OFFSET($H$3,0,0,'Données projet'!$E$11+1,1))</f>
        <v>580.02848304986492</v>
      </c>
      <c r="BJ52" s="59">
        <f t="shared" si="38"/>
        <v>281.68891895586728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0</v>
      </c>
      <c r="BQ52" s="21">
        <f>EXP(-LN(2)/25)*BQ51+(1-EXP(-LN(2)/25))/(LN(2)/25)*Calculateur!BL52*Calculateur!BN52*VLOOKUP('Données projet'!$B$11,Paramètres!$A$1:$I$89,3,0)*0.475*44/12</f>
        <v>0</v>
      </c>
      <c r="BR52" s="21">
        <f>EXP(-LN(2)/2)*BR51+(1-EXP(-LN(2)/2))/(LN(2)/2)*BL52*BO52*VLOOKUP('Données projet'!$B$11,Paramètres!$A$1:$I$89,3,0)*0.475*44/12</f>
        <v>0</v>
      </c>
      <c r="BS52" s="22">
        <f t="shared" si="9"/>
        <v>0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8.6</v>
      </c>
      <c r="BY52" s="12">
        <f>IF('Données projet'!$A$114&gt;35,BY51+BX52-CG51,IF(A52&lt;'Données projet'!$A$114,$BV$205^A52,IF(A52='Données projet'!$A$114,'Données projet'!$B$114,BY51+BX52-CG51)))</f>
        <v>252.40000000000003</v>
      </c>
      <c r="BZ52" s="13">
        <f>BY52*VLOOKUP('Données projet'!$B$12,Paramètres!$A$1:$I$89,3,0)*VLOOKUP('Données projet'!$B$12,Paramètres!$A$1:$I$89,5,0)</f>
        <v>240.18384000000006</v>
      </c>
      <c r="CA52" s="13">
        <f t="shared" si="39"/>
        <v>58.479082790905728</v>
      </c>
      <c r="CB52" s="20">
        <f t="shared" si="10"/>
        <v>520.17125719416083</v>
      </c>
      <c r="CC52" s="59">
        <f t="shared" si="11"/>
        <v>774.6176370184528</v>
      </c>
      <c r="CD52" s="59">
        <f ca="1">AVERAGE(OFFSET($CC$3,0,0,'Données projet'!$E$12+1,1))-AVERAGE(OFFSET($H$3,0,0,'Données projet'!$E$12+1,1))</f>
        <v>439.15394290667945</v>
      </c>
      <c r="CE52" s="59">
        <f t="shared" si="40"/>
        <v>423.56554025351068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11.535658442156864</v>
      </c>
      <c r="CL52" s="21">
        <f>EXP(-LN(2)/25)*CL51+(1-EXP(-LN(2)/25))/(LN(2)/25)*Calculateur!CG52*Calculateur!CI52*VLOOKUP('Données projet'!$B$12,Paramètres!$A$1:$I$89,3,0)*0.475*44/12</f>
        <v>15.688742355368291</v>
      </c>
      <c r="CM52" s="21">
        <f>EXP(-LN(2)/2)*CM51+(1-EXP(-LN(2)/2))/(LN(2)/2)*CG52*CJ52*VLOOKUP('Données projet'!$B$12,Paramètres!$A$1:$I$89,3,0)*0.475*44/12</f>
        <v>1.7685310992843095</v>
      </c>
      <c r="CN52" s="22">
        <f t="shared" si="12"/>
        <v>28.992931896809466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8.6</v>
      </c>
      <c r="CT52" s="12">
        <f>IF('Données projet'!$A$140&gt;35,CT51+CS52-DB51,IF(A52&lt;'Données projet'!$A$140,$CQ$205^A52,IF(A52='Données projet'!$A$140,'Données projet'!$B$140,CT51+CS52-DB51)))</f>
        <v>252.40000000000003</v>
      </c>
      <c r="CU52" s="17">
        <f>CT52*VLOOKUP('Données projet'!$B$13,Paramètres!$A$1:$I$89,3,0)*VLOOKUP('Données projet'!$B$13,Paramètres!$A$1:$I$89,5,0)</f>
        <v>220.49664000000004</v>
      </c>
      <c r="CV52" s="13">
        <f t="shared" si="41"/>
        <v>54.222813800824916</v>
      </c>
      <c r="CW52" s="20">
        <f t="shared" si="13"/>
        <v>478.46971536977009</v>
      </c>
      <c r="CX52" s="59">
        <f t="shared" si="14"/>
        <v>732.91609519406211</v>
      </c>
      <c r="CY52" s="59">
        <f ca="1">AVERAGE(OFFSET($CX$3,0,0,'Données projet'!$E$13+1,1))-AVERAGE(OFFSET($H$3,0,0,'Données projet'!$E$13+1,1))</f>
        <v>408.246209980743</v>
      </c>
      <c r="CZ52" s="59">
        <f t="shared" si="42"/>
        <v>394.10236303013903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>
        <f>EXP(-LN(2)/35)*DF51+(1-EXP(-LN(2)/35))/(LN(2)/35)*DB52*DC52*VLOOKUP('Données projet'!$B$13,Paramètres!$A$1:$I$89,3,0)*0.475*44/12</f>
        <v>13.052929567793207</v>
      </c>
      <c r="DG52" s="21">
        <f>EXP(-LN(2)/25)*DG51+(1-EXP(-LN(2)/25))/(LN(2)/25)*Calculateur!DB52*Calculateur!DD52*VLOOKUP('Données projet'!$B$13,Paramètres!$A$1:$I$89,3,0)*0.475*44/12</f>
        <v>17.752263557275288</v>
      </c>
      <c r="DH52" s="21">
        <f>EXP(-LN(2)/2)*DH51+(1-EXP(-LN(2)/2))/(LN(2)/2)*DB52*DE52*VLOOKUP('Données projet'!$B$13,Paramètres!$A$1:$I$89,3,0)*0.475*44/12</f>
        <v>1.6235695337692022</v>
      </c>
      <c r="DI52" s="22">
        <f t="shared" si="15"/>
        <v>32.428762658837698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8.6</v>
      </c>
      <c r="DO52" s="12">
        <f>IF('Données projet'!$A$166&gt;35,DO51+DN52-DW51,IF(A52&lt;'Données projet'!$A$166,$DL$205^A52,IF(A52='Données projet'!$A$166,'Données projet'!$B$166,DO51+DN52-DW51)))</f>
        <v>252.40000000000003</v>
      </c>
      <c r="DP52" s="17">
        <f>DO52*VLOOKUP('Données projet'!$B$14,Paramètres!$A$1:$I$89,3,0)*VLOOKUP('Données projet'!$B$14,Paramètres!$A$1:$I$89,5,0)</f>
        <v>196.87200000000004</v>
      </c>
      <c r="DQ52" s="13">
        <f t="shared" si="43"/>
        <v>49.056098587542692</v>
      </c>
      <c r="DR52" s="20">
        <f t="shared" si="16"/>
        <v>428.32477170663691</v>
      </c>
      <c r="DS52" s="59">
        <f t="shared" si="17"/>
        <v>682.77115153092882</v>
      </c>
      <c r="DT52" s="59">
        <f ca="1">AVERAGE(OFFSET($DS$3,0,0,'Données projet'!$E$14+1,1))-AVERAGE(OFFSET($H$3,0,0,'Données projet'!$E$14+1,1))</f>
        <v>371.07993287480366</v>
      </c>
      <c r="DU52" s="59">
        <f t="shared" si="44"/>
        <v>358.67120540290637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>
        <f>EXP(-LN(2)/35)*EA51+(1-EXP(-LN(2)/35))/(LN(2)/35)*DW52*DX52*VLOOKUP('Données projet'!$B$14,Paramètres!$A$1:$I$89,3,0)*0.475*44/12</f>
        <v>9.4554577394728376</v>
      </c>
      <c r="EB52" s="21">
        <f>EXP(-LN(2)/25)*EB51+(1-EXP(-LN(2)/25))/(LN(2)/25)*Calculateur!DW52*Calculateur!DY52*VLOOKUP('Données projet'!$B$14,Paramètres!$A$1:$I$89,3,0)*0.475*44/12</f>
        <v>12.859624881449419</v>
      </c>
      <c r="EC52" s="21">
        <f>EXP(-LN(2)/2)*EC51+(1-EXP(-LN(2)/2))/(LN(2)/2)*DW52*DZ52*VLOOKUP('Données projet'!$B$14,Paramètres!$A$1:$I$89,3,0)*0.475*44/12</f>
        <v>1.4496156551510733</v>
      </c>
      <c r="ED52" s="22">
        <f t="shared" si="18"/>
        <v>23.764698276073329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45">
      <c r="A53" s="10">
        <f t="shared" si="31"/>
        <v>50</v>
      </c>
      <c r="B53" s="73">
        <f>'Scénario référence'!$B$16*5+'Scénario référence'!$B$17*0+'Scénario référence'!$B$18*5</f>
        <v>5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1">
        <f t="shared" si="32"/>
        <v>0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18.333333333333332</v>
      </c>
      <c r="H53" s="67">
        <f t="shared" si="1"/>
        <v>183.33333333333334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>
        <f>VLOOKUP(A53,'Données projet'!$A$35:$I$55,2,0)</f>
        <v>208.33</v>
      </c>
      <c r="L53" s="12">
        <f>VLOOKUP(A53,'Données projet'!$A$35:$I$55,9,0)</f>
        <v>10.110000000000001</v>
      </c>
      <c r="M53" s="12">
        <f t="array" ref="M53">INDEX(L:L,MIN(IF(ISNUMBER(L53:L249),ROW(L53:L249),"")))</f>
        <v>10.110000000000001</v>
      </c>
      <c r="N53" s="13">
        <f>IF('Données projet'!$A$36&gt;35,N52+M53-V52,IF(A53&lt;'Données projet'!$A$36,$K$205^A53,IF(A53='Données projet'!$A$36,'Données projet'!$B$36,N52+M53-V52)))</f>
        <v>208.33000000000021</v>
      </c>
      <c r="O53" s="13">
        <f>N53*VLOOKUP('Données projet'!$B$9,Paramètres!$A$1:$I$89,3,0)*VLOOKUP('Données projet'!$B$9,Paramètres!$A$1:$I$89,5,0)</f>
        <v>188.4969840000002</v>
      </c>
      <c r="P53" s="13">
        <f t="shared" si="33"/>
        <v>47.207503913482938</v>
      </c>
      <c r="Q53" s="20">
        <f t="shared" si="53"/>
        <v>410.51864978264985</v>
      </c>
      <c r="R53" s="59">
        <f t="shared" si="0"/>
        <v>665.63963131211995</v>
      </c>
      <c r="S53" s="59">
        <f ca="1">AVERAGE(OFFSET($R$3,0,0,'Données projet'!$E$9+1,1))-AVERAGE(OFFSET($H$3,0,0,'Données projet'!$E$9+1,1))</f>
        <v>681.47578137804555</v>
      </c>
      <c r="T53" s="59">
        <f t="shared" si="34"/>
        <v>300.88511065995885</v>
      </c>
      <c r="U53" s="15">
        <f>IF(ISNA(VLOOKUP(A53,'Données projet'!$A$35:$I$55,3,0)),0,VLOOKUP(A53,'Données projet'!$A$35:$I$55,3,0))</f>
        <v>2</v>
      </c>
      <c r="V53" s="15">
        <f>IF(ISNA(VLOOKUP(A53,'Données projet'!$A$35:$I$55,4,0)),0,VLOOKUP(A53,'Données projet'!$A$35:$I$55,4,0))</f>
        <v>37.54000000000002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0.34400000000000003</v>
      </c>
      <c r="Y53" s="16">
        <f>IF(ISNA(VLOOKUP(A53,'Données projet'!$A$35:$I$55,7,0)),0%,VLOOKUP(A53,'Données projet'!$A$35:$I$55,7,0))</f>
        <v>0.2</v>
      </c>
      <c r="Z53" s="21">
        <f>EXP(-LN(2)/35)*Z52+(1-EXP(-LN(2)/35))/(LN(2)/35)*V53*W53*VLOOKUP('Données projet'!$B$9,Paramètres!$A$1:$I$89,3,0)*0.475*44/12</f>
        <v>0</v>
      </c>
      <c r="AA53" s="21">
        <f>EXP(-LN(2)/25)*AA52+(1-EXP(-LN(2)/25))/(LN(2)/25)*Calculateur!V53*Calculateur!X53*VLOOKUP('Données projet'!$B$9,Paramètres!$A$1:$I$89,3,0)*0.475*44/12</f>
        <v>25.085911282565853</v>
      </c>
      <c r="AB53" s="21">
        <f>EXP(-LN(2)/2)*AB52+(1-EXP(-LN(2)/2))/(LN(2)/2)*V53*Y53*VLOOKUP('Données projet'!$B$9,Paramètres!$A$1:$I$89,3,0)*0.475*44/12</f>
        <v>6.8845823591112083</v>
      </c>
      <c r="AC53" s="22">
        <f t="shared" si="3"/>
        <v>31.970493641677059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6.4429411764705877</v>
      </c>
      <c r="AI53" s="13">
        <f>IF('Données projet'!$A$62&gt;35,AI52+AH53-AQ52,IF(A53&lt;'Données projet'!$A$62,$AF$205^A53,IF(A53='Données projet'!$A$62,'Données projet'!$B$62,AI52+AH53-AQ52)))</f>
        <v>322.14705882352922</v>
      </c>
      <c r="AJ53" s="13">
        <f>AI53*VLOOKUP('Données projet'!$B$10,Paramètres!$A$1:$I$89,3,0)*VLOOKUP('Données projet'!$B$10,Paramètres!$A$1:$I$89,5,0)</f>
        <v>150.76482352941167</v>
      </c>
      <c r="AK53" s="13">
        <f t="shared" si="35"/>
        <v>38.752343031926451</v>
      </c>
      <c r="AL53" s="20">
        <f t="shared" si="4"/>
        <v>330.0757317609972</v>
      </c>
      <c r="AM53" s="59">
        <f t="shared" si="5"/>
        <v>585.1967132904673</v>
      </c>
      <c r="AN53" s="59">
        <f ca="1">AVERAGE(OFFSET($AM$3,0,0,'Données projet'!$E$10+1,1))-AVERAGE(OFFSET($H$3,0,0,'Données projet'!$E$10+1,1))</f>
        <v>325.45940224919184</v>
      </c>
      <c r="AO53" s="59">
        <f t="shared" si="36"/>
        <v>256.30046621034876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0</v>
      </c>
      <c r="AV53" s="21">
        <f>EXP(-LN(2)/25)*AV52+(1-EXP(-LN(2)/25))/(LN(2)/25)*Calculateur!AQ53*Calculateur!AS53*VLOOKUP('Données projet'!$B$10,Paramètres!$A$1:$I$89,3,0)*0.475*44/12</f>
        <v>0</v>
      </c>
      <c r="AW53" s="21">
        <f>EXP(-LN(2)/2)*AW52+(1-EXP(-LN(2)/2))/(LN(2)/2)*AQ53*AT53*VLOOKUP('Données projet'!$B$10,Paramètres!$A$1:$I$89,3,0)*0.475*44/12</f>
        <v>0</v>
      </c>
      <c r="AX53" s="21">
        <f t="shared" si="6"/>
        <v>0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3.3603333333333336</v>
      </c>
      <c r="BD53" s="12">
        <f>IF('Données projet'!$A$88&gt;35,BD52+BC53-BL52,IF(A53&lt;'Données projet'!$A$88,$BA$205^A53,IF(A53='Données projet'!$A$88,'Données projet'!$B$88,BD52+BC53-BL52)))</f>
        <v>168.01666666666659</v>
      </c>
      <c r="BE53" s="13">
        <f>BD53*VLOOKUP('Données projet'!$B$11,Paramètres!$A$1:$I$89,3,0)*VLOOKUP('Données projet'!$B$11,Paramètres!$A$1:$I$89,5,0)</f>
        <v>170.36889999999994</v>
      </c>
      <c r="BF53" s="13">
        <f t="shared" si="37"/>
        <v>43.172634487453415</v>
      </c>
      <c r="BG53" s="20">
        <f t="shared" si="7"/>
        <v>371.91817256564792</v>
      </c>
      <c r="BH53" s="59">
        <f t="shared" si="8"/>
        <v>627.03915409511796</v>
      </c>
      <c r="BI53" s="59">
        <f ca="1">AVERAGE(OFFSET($BH$3,0,0,'Données projet'!$E$11+1,1))-AVERAGE(OFFSET($H$3,0,0,'Données projet'!$E$11+1,1))</f>
        <v>580.02848304986492</v>
      </c>
      <c r="BJ53" s="59">
        <f t="shared" si="38"/>
        <v>281.68891895586728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0</v>
      </c>
      <c r="BQ53" s="21">
        <f>EXP(-LN(2)/25)*BQ52+(1-EXP(-LN(2)/25))/(LN(2)/25)*Calculateur!BL53*Calculateur!BN53*VLOOKUP('Données projet'!$B$11,Paramètres!$A$1:$I$89,3,0)*0.475*44/12</f>
        <v>0</v>
      </c>
      <c r="BR53" s="21">
        <f>EXP(-LN(2)/2)*BR52+(1-EXP(-LN(2)/2))/(LN(2)/2)*BL53*BO53*VLOOKUP('Données projet'!$B$11,Paramètres!$A$1:$I$89,3,0)*0.475*44/12</f>
        <v>0</v>
      </c>
      <c r="BS53" s="22">
        <f t="shared" si="9"/>
        <v>0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>
        <f>VLOOKUP(A53,'Données projet'!$A$113:$I$133,2,0)</f>
        <v>261</v>
      </c>
      <c r="BW53" s="12">
        <f>VLOOKUP(A53,'Données projet'!$A$113:$I$133,9,0)</f>
        <v>8.6</v>
      </c>
      <c r="BX53" s="12">
        <f t="array" ref="BX53">INDEX(BW:BW,MIN(IF(ISNUMBER(BW53:BW249),ROW(BW53:BW249),"")))</f>
        <v>8.6</v>
      </c>
      <c r="BY53" s="12">
        <f>IF('Données projet'!$A$114&gt;35,BY52+BX53-CG52,IF(A53&lt;'Données projet'!$A$114,$BV$205^A53,IF(A53='Données projet'!$A$114,'Données projet'!$B$114,BY52+BX53-CG52)))</f>
        <v>261.00000000000006</v>
      </c>
      <c r="BZ53" s="13">
        <f>BY53*VLOOKUP('Données projet'!$B$12,Paramètres!$A$1:$I$89,3,0)*VLOOKUP('Données projet'!$B$12,Paramètres!$A$1:$I$89,5,0)</f>
        <v>248.36760000000007</v>
      </c>
      <c r="CA53" s="13">
        <f t="shared" si="39"/>
        <v>60.236253798706343</v>
      </c>
      <c r="CB53" s="20">
        <f t="shared" si="10"/>
        <v>537.48504536608027</v>
      </c>
      <c r="CC53" s="59">
        <f t="shared" si="11"/>
        <v>792.60602689555037</v>
      </c>
      <c r="CD53" s="59">
        <f ca="1">AVERAGE(OFFSET($CC$3,0,0,'Données projet'!$E$12+1,1))-AVERAGE(OFFSET($H$3,0,0,'Données projet'!$E$12+1,1))</f>
        <v>439.15394290667945</v>
      </c>
      <c r="CE53" s="59">
        <f t="shared" si="40"/>
        <v>423.56554025351068</v>
      </c>
      <c r="CF53" s="15">
        <f>IF(ISNA(VLOOKUP(A53,'Données projet'!$A$113:$I$133,3,0)),0,VLOOKUP(A53,'Données projet'!$A$113:$I$133,3,0))</f>
        <v>8</v>
      </c>
      <c r="CG53" s="15">
        <f>IF(ISNA(VLOOKUP(A53,'Données projet'!$A$113:$I$133,4,0)),0,VLOOKUP(A53,'Données projet'!$A$113:$I$133,4,0))</f>
        <v>19</v>
      </c>
      <c r="CH53" s="16">
        <f>IF(ISNA(VLOOKUP(A53,'Données projet'!$A$113:$I$133,5,0)),0%,VLOOKUP(A53,'Données projet'!$A$113:$I$133,5,0)*VLOOKUP('Données projet'!$B$12,Paramètres!$A$1:$I$89,7,0))</f>
        <v>0.1075</v>
      </c>
      <c r="CI53" s="16">
        <f>IF(ISNA(VLOOKUP(A53,'Données projet'!$A$113:$I$133,6,0)),0%,VLOOKUP(A53,'Données projet'!$A$113:$I$133,6,0)*VLOOKUP('Données projet'!$B$12,Paramètres!$A$1:$I$89,7,0))</f>
        <v>0.1075</v>
      </c>
      <c r="CJ53" s="16">
        <f>IF(ISNA(VLOOKUP(A53,'Données projet'!$A$113:$I$133,7,0)),0%,VLOOKUP(A53,'Données projet'!$A$113:$I$133,7,0))</f>
        <v>0.25</v>
      </c>
      <c r="CK53" s="21">
        <f>EXP(-LN(2)/35)*CK52+(1-EXP(-LN(2)/35))/(LN(2)/35)*CG53*CH53*VLOOKUP('Données projet'!$B$12,Paramètres!$A$1:$I$89,3,0)*0.475*44/12</f>
        <v>13.458090981049626</v>
      </c>
      <c r="CL53" s="21">
        <f>EXP(-LN(2)/25)*CL52+(1-EXP(-LN(2)/25))/(LN(2)/25)*Calculateur!CG53*Calculateur!CI53*VLOOKUP('Données projet'!$B$12,Paramètres!$A$1:$I$89,3,0)*0.475*44/12</f>
        <v>17.399912622061912</v>
      </c>
      <c r="CM53" s="21">
        <f>EXP(-LN(2)/2)*CM52+(1-EXP(-LN(2)/2))/(LN(2)/2)*CG53*CJ53*VLOOKUP('Données projet'!$B$12,Paramètres!$A$1:$I$89,3,0)*0.475*44/12</f>
        <v>5.5153763397510494</v>
      </c>
      <c r="CN53" s="22">
        <f t="shared" si="12"/>
        <v>36.373379942862584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>
        <f>VLOOKUP(A53,'Données projet'!$A$139:$I$159,2,0)</f>
        <v>261</v>
      </c>
      <c r="CR53" s="12">
        <f>VLOOKUP(A53,'Données projet'!$A$139:$I$159,9,0)</f>
        <v>8.6</v>
      </c>
      <c r="CS53" s="12">
        <f t="array" ref="CS53">INDEX(CR:CR,MIN(IF(ISNUMBER(CR53:CR249),ROW(CR53:CR249),"")))</f>
        <v>8.6</v>
      </c>
      <c r="CT53" s="12">
        <f>IF('Données projet'!$A$140&gt;35,CT52+CS53-DB52,IF(A53&lt;'Données projet'!$A$140,$CQ$205^A53,IF(A53='Données projet'!$A$140,'Données projet'!$B$140,CT52+CS53-DB52)))</f>
        <v>261.00000000000006</v>
      </c>
      <c r="CU53" s="17">
        <f>CT53*VLOOKUP('Données projet'!$B$13,Paramètres!$A$1:$I$89,3,0)*VLOOKUP('Données projet'!$B$13,Paramètres!$A$1:$I$89,5,0)</f>
        <v>228.00960000000009</v>
      </c>
      <c r="CV53" s="13">
        <f t="shared" si="41"/>
        <v>55.852093054619878</v>
      </c>
      <c r="CW53" s="20">
        <f t="shared" si="13"/>
        <v>494.3924487367965</v>
      </c>
      <c r="CX53" s="59">
        <f t="shared" si="14"/>
        <v>749.5134302662666</v>
      </c>
      <c r="CY53" s="59">
        <f ca="1">AVERAGE(OFFSET($CX$3,0,0,'Données projet'!$E$13+1,1))-AVERAGE(OFFSET($H$3,0,0,'Données projet'!$E$13+1,1))</f>
        <v>408.246209980743</v>
      </c>
      <c r="CZ53" s="59">
        <f t="shared" si="42"/>
        <v>394.10236303013903</v>
      </c>
      <c r="DA53" s="15">
        <f>IF(ISNA(VLOOKUP(A53,'Données projet'!$A$139:$I$159,3,0)),0,VLOOKUP(A53,'Données projet'!$A$139:$I$159,3,0))</f>
        <v>8</v>
      </c>
      <c r="DB53" s="15">
        <f>IF(ISNA(VLOOKUP(A53,'Données projet'!$A$139:$I$159,4,0)),0,VLOOKUP(A53,'Données projet'!$A$139:$I$159,4,0))</f>
        <v>19</v>
      </c>
      <c r="DC53" s="16">
        <f>IF(ISNA(VLOOKUP(A53,'Données projet'!$A$139:$I$159,5,0)),0%,VLOOKUP(A53,'Données projet'!$A$139:$I$159,5,0)*VLOOKUP('Données projet'!$B$13,Paramètres!$A$1:$I$89,7,0))</f>
        <v>0.13250000000000001</v>
      </c>
      <c r="DD53" s="16">
        <f>IF(ISNA(VLOOKUP(A53,'Données projet'!$A$139:$I$159,6,0)),0%,VLOOKUP(A53,'Données projet'!$A$139:$I$159,6,0)*VLOOKUP('Données projet'!$B$13,Paramètres!$A$1:$I$89,7,0))</f>
        <v>0.13250000000000001</v>
      </c>
      <c r="DE53" s="16">
        <f>IF(ISNA(VLOOKUP(A53,'Données projet'!$A$139:$I$159,7,0)),0%,VLOOKUP(A53,'Données projet'!$A$139:$I$159,7,0))</f>
        <v>0.25</v>
      </c>
      <c r="DF53" s="21">
        <f>EXP(-LN(2)/35)*DF52+(1-EXP(-LN(2)/35))/(LN(2)/35)*DB53*DC53*VLOOKUP('Données projet'!$B$13,Paramètres!$A$1:$I$89,3,0)*0.475*44/12</f>
        <v>15.228217320531948</v>
      </c>
      <c r="DG53" s="21">
        <f>EXP(-LN(2)/25)*DG52+(1-EXP(-LN(2)/25))/(LN(2)/25)*Calculateur!DB53*Calculateur!DD53*VLOOKUP('Données projet'!$B$13,Paramètres!$A$1:$I$89,3,0)*0.475*44/12</f>
        <v>19.68850196808225</v>
      </c>
      <c r="DH53" s="21">
        <f>EXP(-LN(2)/2)*DH52+(1-EXP(-LN(2)/2))/(LN(2)/2)*DB53*DE53*VLOOKUP('Données projet'!$B$13,Paramètres!$A$1:$I$89,3,0)*0.475*44/12</f>
        <v>5.0632963119026035</v>
      </c>
      <c r="DI53" s="22">
        <f t="shared" si="15"/>
        <v>39.980015600516801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>
        <f>VLOOKUP(A53,'Données projet'!$A$165:$I$185,2,0)</f>
        <v>261</v>
      </c>
      <c r="DM53" s="12">
        <f>VLOOKUP(A53,'Données projet'!$A$165:$I$185,9,0)</f>
        <v>8.6</v>
      </c>
      <c r="DN53" s="12">
        <f t="array" ref="DN53">INDEX(DM:DM,MIN(IF(ISNUMBER(DM53:DM249),ROW(DM53:DM249),"")))</f>
        <v>8.6</v>
      </c>
      <c r="DO53" s="12">
        <f>IF('Données projet'!$A$166&gt;35,DO52+DN53-DW52,IF(A53&lt;'Données projet'!$A$166,$DL$205^A53,IF(A53='Données projet'!$A$166,'Données projet'!$B$166,DO52+DN53-DW52)))</f>
        <v>261.00000000000006</v>
      </c>
      <c r="DP53" s="17">
        <f>DO53*VLOOKUP('Données projet'!$B$14,Paramètres!$A$1:$I$89,3,0)*VLOOKUP('Données projet'!$B$14,Paramètres!$A$1:$I$89,5,0)</f>
        <v>203.58000000000004</v>
      </c>
      <c r="DQ53" s="13">
        <f t="shared" si="43"/>
        <v>50.530129131114101</v>
      </c>
      <c r="DR53" s="20">
        <f t="shared" si="16"/>
        <v>442.57514157002379</v>
      </c>
      <c r="DS53" s="59">
        <f t="shared" si="17"/>
        <v>697.69612309949389</v>
      </c>
      <c r="DT53" s="59">
        <f ca="1">AVERAGE(OFFSET($DS$3,0,0,'Données projet'!$E$14+1,1))-AVERAGE(OFFSET($H$3,0,0,'Données projet'!$E$14+1,1))</f>
        <v>371.07993287480366</v>
      </c>
      <c r="DU53" s="59">
        <f t="shared" si="44"/>
        <v>358.67120540290637</v>
      </c>
      <c r="DV53" s="15">
        <f>IF(ISNA(VLOOKUP(A53,'Données projet'!$A$165:$I$185,3,0)),0,VLOOKUP(A53,'Données projet'!$A$165:$I$185,3,0))</f>
        <v>8</v>
      </c>
      <c r="DW53" s="15">
        <f>IF(ISNA(VLOOKUP(A53,'Données projet'!$A$165:$I$185,4,0)),0,VLOOKUP(A53,'Données projet'!$A$165:$I$185,4,0))</f>
        <v>19</v>
      </c>
      <c r="DX53" s="16">
        <f>IF(ISNA(VLOOKUP(A53,'Données projet'!$A$165:$I$185,5,0)),0%,VLOOKUP(A53,'Données projet'!$A$165:$I$185,5,0)*VLOOKUP('Données projet'!$B$14,Paramètres!$A$1:$I$89,7,0))</f>
        <v>0.1075</v>
      </c>
      <c r="DY53" s="16">
        <f>IF(ISNA(VLOOKUP(A53,'Données projet'!$A$165:$I$185,6,0)),0%,VLOOKUP(A53,'Données projet'!$A$165:$I$185,6,0)*VLOOKUP('Données projet'!$B$14,Paramètres!$A$1:$I$89,7,0))</f>
        <v>0.1075</v>
      </c>
      <c r="DZ53" s="16">
        <f>IF(ISNA(VLOOKUP(A53,'Données projet'!$A$165:$I$185,7,0)),0%,VLOOKUP(A53,'Données projet'!$A$165:$I$185,7,0))</f>
        <v>0.25</v>
      </c>
      <c r="EA53" s="21">
        <f>EXP(-LN(2)/35)*EA52+(1-EXP(-LN(2)/35))/(LN(2)/35)*DW53*DX53*VLOOKUP('Données projet'!$B$14,Paramètres!$A$1:$I$89,3,0)*0.475*44/12</f>
        <v>11.031222115614446</v>
      </c>
      <c r="EB53" s="21">
        <f>EXP(-LN(2)/25)*EB52+(1-EXP(-LN(2)/25))/(LN(2)/25)*Calculateur!DW53*Calculateur!DY53*VLOOKUP('Données projet'!$B$14,Paramètres!$A$1:$I$89,3,0)*0.475*44/12</f>
        <v>14.262223460706483</v>
      </c>
      <c r="EC53" s="21">
        <f>EXP(-LN(2)/2)*EC52+(1-EXP(-LN(2)/2))/(LN(2)/2)*DW53*DZ53*VLOOKUP('Données projet'!$B$14,Paramètres!$A$1:$I$89,3,0)*0.475*44/12</f>
        <v>4.520800278484467</v>
      </c>
      <c r="ED53" s="22">
        <f t="shared" si="18"/>
        <v>29.814245854805392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45">
      <c r="A54" s="10">
        <f t="shared" si="31"/>
        <v>51</v>
      </c>
      <c r="B54" s="73">
        <f>'Scénario référence'!$B$16*5+'Scénario référence'!$B$17*0+'Scénario référence'!$B$18*5</f>
        <v>5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1">
        <f t="shared" si="32"/>
        <v>0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18.333333333333332</v>
      </c>
      <c r="H54" s="67">
        <f t="shared" si="1"/>
        <v>183.33333333333334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10.36375</v>
      </c>
      <c r="N54" s="13">
        <f>IF('Données projet'!$A$36&gt;35,N53+M54-V53,IF(A54&lt;'Données projet'!$A$36,$K$205^A54,IF(A54='Données projet'!$A$36,'Données projet'!$B$36,N53+M54-V53)))</f>
        <v>181.1537500000002</v>
      </c>
      <c r="O54" s="13">
        <f>N54*VLOOKUP('Données projet'!$B$9,Paramètres!$A$1:$I$89,3,0)*VLOOKUP('Données projet'!$B$9,Paramètres!$A$1:$I$89,5,0)</f>
        <v>163.90791300000018</v>
      </c>
      <c r="P54" s="13">
        <f t="shared" si="33"/>
        <v>41.72271436472046</v>
      </c>
      <c r="Q54" s="20">
        <f t="shared" si="53"/>
        <v>358.14000932688845</v>
      </c>
      <c r="R54" s="59">
        <f t="shared" si="0"/>
        <v>613.92388973013522</v>
      </c>
      <c r="S54" s="59">
        <f ca="1">AVERAGE(OFFSET($R$3,0,0,'Données projet'!$E$9+1,1))-AVERAGE(OFFSET($H$3,0,0,'Données projet'!$E$9+1,1))</f>
        <v>681.47578137804555</v>
      </c>
      <c r="T54" s="59">
        <f t="shared" si="34"/>
        <v>300.88511065995885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0</v>
      </c>
      <c r="AA54" s="21">
        <f>EXP(-LN(2)/25)*AA53+(1-EXP(-LN(2)/25))/(LN(2)/25)*Calculateur!V54*Calculateur!X54*VLOOKUP('Données projet'!$B$9,Paramètres!$A$1:$I$89,3,0)*0.475*44/12</f>
        <v>24.399935719333349</v>
      </c>
      <c r="AB54" s="21">
        <f>EXP(-LN(2)/2)*AB53+(1-EXP(-LN(2)/2))/(LN(2)/2)*V54*Y54*VLOOKUP('Données projet'!$B$9,Paramètres!$A$1:$I$89,3,0)*0.475*44/12</f>
        <v>4.8681348717648145</v>
      </c>
      <c r="AC54" s="22">
        <f t="shared" si="3"/>
        <v>29.268070591098166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>
        <f>VLOOKUP(A54,'Données projet'!$A$61:$I$81,2,0)</f>
        <v>328.59</v>
      </c>
      <c r="AG54" s="12">
        <f>VLOOKUP(A54,'Données projet'!$A$61:$I$81,9,0)</f>
        <v>6.4429411764705877</v>
      </c>
      <c r="AH54" s="12">
        <f t="array" ref="AH54">INDEX(AG:AG,MIN(IF(ISNUMBER(AG54:AG250),ROW(AG54:AG250),"")))</f>
        <v>6.4429411764705877</v>
      </c>
      <c r="AI54" s="13">
        <f>IF('Données projet'!$A$62&gt;35,AI53+AH54-AQ53,IF(A54&lt;'Données projet'!$A$62,$AF$205^A54,IF(A54='Données projet'!$A$62,'Données projet'!$B$62,AI53+AH54-AQ53)))</f>
        <v>328.5899999999998</v>
      </c>
      <c r="AJ54" s="13">
        <f>AI54*VLOOKUP('Données projet'!$B$10,Paramètres!$A$1:$I$89,3,0)*VLOOKUP('Données projet'!$B$10,Paramètres!$A$1:$I$89,5,0)</f>
        <v>153.78011999999993</v>
      </c>
      <c r="AK54" s="13">
        <f t="shared" si="35"/>
        <v>39.436383165095613</v>
      </c>
      <c r="AL54" s="20">
        <f t="shared" si="4"/>
        <v>336.51874301254134</v>
      </c>
      <c r="AM54" s="59">
        <f t="shared" si="5"/>
        <v>592.30262341578816</v>
      </c>
      <c r="AN54" s="59">
        <f ca="1">AVERAGE(OFFSET($AM$3,0,0,'Données projet'!$E$10+1,1))-AVERAGE(OFFSET($H$3,0,0,'Données projet'!$E$10+1,1))</f>
        <v>325.45940224919184</v>
      </c>
      <c r="AO54" s="59">
        <f t="shared" si="36"/>
        <v>256.30046621034876</v>
      </c>
      <c r="AP54" s="15">
        <f>IF(ISNA(VLOOKUP(A54,'Données projet'!$A$61:$I$81,3,0)),0,VLOOKUP(A54,'Données projet'!$A$61:$I$81,3,0))</f>
        <v>1</v>
      </c>
      <c r="AQ54" s="15">
        <f>IF(ISNA(VLOOKUP(A54,'Données projet'!$A$61:$I$81,4,0)),0,VLOOKUP(A54,'Données projet'!$A$61:$I$81,4,0))</f>
        <v>101.57999999999998</v>
      </c>
      <c r="AR54" s="16">
        <f>IF(ISNA(VLOOKUP(A54,'Données projet'!$A$61:$I$81,5,0)),0%,VLOOKUP(A54,'Données projet'!$A$61:$I$81,5,0)*VLOOKUP('Données projet'!$B$10,Paramètres!$A$1:$I$89,7,0))</f>
        <v>0.13750000000000001</v>
      </c>
      <c r="AS54" s="16">
        <f>IF(ISNA(VLOOKUP(A54,'Données projet'!$A$61:$I$81,6,0)),0%,VLOOKUP(A54,'Données projet'!$A$61:$I$81,6,0)*VLOOKUP('Données projet'!$B$10,Paramètres!$A$1:$I$89,7,0))</f>
        <v>0.20350000000000001</v>
      </c>
      <c r="AT54" s="16">
        <f>IF(ISNA(VLOOKUP(A54,'Données projet'!$A$61:$I$81,7,0)),0%,VLOOKUP(A54,'Données projet'!$A$61:$I$81,7,0))</f>
        <v>0.38</v>
      </c>
      <c r="AU54" s="21">
        <f>EXP(-LN(2)/35)*AU53+(1-EXP(-LN(2)/35))/(LN(2)/35)*AQ54*AR54*VLOOKUP('Données projet'!$B$10,Paramètres!$A$1:$I$89,3,0)*0.475*44/12</f>
        <v>8.6713180586313445</v>
      </c>
      <c r="AV54" s="21">
        <f>EXP(-LN(2)/25)*AV53+(1-EXP(-LN(2)/25))/(LN(2)/25)*Calculateur!AQ54*Calculateur!AS54*VLOOKUP('Données projet'!$B$10,Paramètres!$A$1:$I$89,3,0)*0.475*44/12</f>
        <v>12.783020147596885</v>
      </c>
      <c r="AW54" s="21">
        <f>EXP(-LN(2)/2)*AW53+(1-EXP(-LN(2)/2))/(LN(2)/2)*AQ54*AT54*VLOOKUP('Données projet'!$B$10,Paramètres!$A$1:$I$89,3,0)*0.475*44/12</f>
        <v>20.453761962242197</v>
      </c>
      <c r="AX54" s="21">
        <f t="shared" si="6"/>
        <v>41.908100168470426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3.3603333333333336</v>
      </c>
      <c r="BD54" s="12">
        <f>IF('Données projet'!$A$88&gt;35,BD53+BC54-BL53,IF(A54&lt;'Données projet'!$A$88,$BA$205^A54,IF(A54='Données projet'!$A$88,'Données projet'!$B$88,BD53+BC54-BL53)))</f>
        <v>171.37699999999992</v>
      </c>
      <c r="BE54" s="13">
        <f>BD54*VLOOKUP('Données projet'!$B$11,Paramètres!$A$1:$I$89,3,0)*VLOOKUP('Données projet'!$B$11,Paramètres!$A$1:$I$89,5,0)</f>
        <v>173.77627799999993</v>
      </c>
      <c r="BF54" s="13">
        <f t="shared" si="37"/>
        <v>43.934699754571064</v>
      </c>
      <c r="BG54" s="20">
        <f t="shared" si="7"/>
        <v>379.17995292254449</v>
      </c>
      <c r="BH54" s="59">
        <f t="shared" si="8"/>
        <v>634.96383332579126</v>
      </c>
      <c r="BI54" s="59">
        <f ca="1">AVERAGE(OFFSET($BH$3,0,0,'Données projet'!$E$11+1,1))-AVERAGE(OFFSET($H$3,0,0,'Données projet'!$E$11+1,1))</f>
        <v>580.02848304986492</v>
      </c>
      <c r="BJ54" s="59">
        <f t="shared" si="38"/>
        <v>281.68891895586728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0</v>
      </c>
      <c r="BQ54" s="21">
        <f>EXP(-LN(2)/25)*BQ53+(1-EXP(-LN(2)/25))/(LN(2)/25)*Calculateur!BL54*Calculateur!BN54*VLOOKUP('Données projet'!$B$11,Paramètres!$A$1:$I$89,3,0)*0.475*44/12</f>
        <v>0</v>
      </c>
      <c r="BR54" s="21">
        <f>EXP(-LN(2)/2)*BR53+(1-EXP(-LN(2)/2))/(LN(2)/2)*BL54*BO54*VLOOKUP('Données projet'!$B$11,Paramètres!$A$1:$I$89,3,0)*0.475*44/12</f>
        <v>0</v>
      </c>
      <c r="BS54" s="22">
        <f t="shared" si="9"/>
        <v>0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7.4</v>
      </c>
      <c r="BY54" s="12">
        <f>IF('Données projet'!$A$114&gt;35,BY53+BX54-CG53,IF(A54&lt;'Données projet'!$A$114,$BV$205^A54,IF(A54='Données projet'!$A$114,'Données projet'!$B$114,BY53+BX54-CG53)))</f>
        <v>249.40000000000003</v>
      </c>
      <c r="BZ54" s="13">
        <f>BY54*VLOOKUP('Données projet'!$B$12,Paramètres!$A$1:$I$89,3,0)*VLOOKUP('Données projet'!$B$12,Paramètres!$A$1:$I$89,5,0)</f>
        <v>237.32904000000002</v>
      </c>
      <c r="CA54" s="13">
        <f t="shared" si="39"/>
        <v>57.864486657972002</v>
      </c>
      <c r="CB54" s="20">
        <f t="shared" si="10"/>
        <v>514.12872559596792</v>
      </c>
      <c r="CC54" s="59">
        <f t="shared" si="11"/>
        <v>769.91260599921475</v>
      </c>
      <c r="CD54" s="59">
        <f ca="1">AVERAGE(OFFSET($CC$3,0,0,'Données projet'!$E$12+1,1))-AVERAGE(OFFSET($H$3,0,0,'Données projet'!$E$12+1,1))</f>
        <v>439.15394290667945</v>
      </c>
      <c r="CE54" s="59">
        <f t="shared" si="40"/>
        <v>423.56554025351068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13.194186025536206</v>
      </c>
      <c r="CL54" s="21">
        <f>EXP(-LN(2)/25)*CL53+(1-EXP(-LN(2)/25))/(LN(2)/25)*Calculateur!CG54*Calculateur!CI54*VLOOKUP('Données projet'!$B$12,Paramètres!$A$1:$I$89,3,0)*0.475*44/12</f>
        <v>16.924111096389993</v>
      </c>
      <c r="CM54" s="21">
        <f>EXP(-LN(2)/2)*CM53+(1-EXP(-LN(2)/2))/(LN(2)/2)*CG54*CJ54*VLOOKUP('Données projet'!$B$12,Paramètres!$A$1:$I$89,3,0)*0.475*44/12</f>
        <v>3.8999600106338068</v>
      </c>
      <c r="CN54" s="22">
        <f t="shared" si="12"/>
        <v>34.018257132560002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7.4</v>
      </c>
      <c r="CT54" s="12">
        <f>IF('Données projet'!$A$140&gt;35,CT53+CS54-DB53,IF(A54&lt;'Données projet'!$A$140,$CQ$205^A54,IF(A54='Données projet'!$A$140,'Données projet'!$B$140,CT53+CS54-DB53)))</f>
        <v>249.40000000000003</v>
      </c>
      <c r="CU54" s="17">
        <f>CT54*VLOOKUP('Données projet'!$B$13,Paramètres!$A$1:$I$89,3,0)*VLOOKUP('Données projet'!$B$13,Paramètres!$A$1:$I$89,5,0)</f>
        <v>217.87584000000007</v>
      </c>
      <c r="CV54" s="13">
        <f t="shared" si="41"/>
        <v>53.652949670124926</v>
      </c>
      <c r="CW54" s="20">
        <f t="shared" si="13"/>
        <v>472.91264200880101</v>
      </c>
      <c r="CX54" s="59">
        <f t="shared" si="14"/>
        <v>728.6965224120479</v>
      </c>
      <c r="CY54" s="59">
        <f ca="1">AVERAGE(OFFSET($CX$3,0,0,'Données projet'!$E$13+1,1))-AVERAGE(OFFSET($H$3,0,0,'Données projet'!$E$13+1,1))</f>
        <v>408.246209980743</v>
      </c>
      <c r="CZ54" s="59">
        <f t="shared" si="42"/>
        <v>394.10236303013903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>
        <f>EXP(-LN(2)/35)*DF53+(1-EXP(-LN(2)/35))/(LN(2)/35)*DB54*DC54*VLOOKUP('Données projet'!$B$13,Paramètres!$A$1:$I$89,3,0)*0.475*44/12</f>
        <v>14.929601267171739</v>
      </c>
      <c r="DG54" s="21">
        <f>EXP(-LN(2)/25)*DG53+(1-EXP(-LN(2)/25))/(LN(2)/25)*Calculateur!DB54*Calculateur!DD54*VLOOKUP('Données projet'!$B$13,Paramètres!$A$1:$I$89,3,0)*0.475*44/12</f>
        <v>19.15011884639172</v>
      </c>
      <c r="DH54" s="21">
        <f>EXP(-LN(2)/2)*DH53+(1-EXP(-LN(2)/2))/(LN(2)/2)*DB54*DE54*VLOOKUP('Données projet'!$B$13,Paramètres!$A$1:$I$89,3,0)*0.475*44/12</f>
        <v>3.5802911573031677</v>
      </c>
      <c r="DI54" s="22">
        <f t="shared" si="15"/>
        <v>37.660011270866626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7.4</v>
      </c>
      <c r="DO54" s="12">
        <f>IF('Données projet'!$A$166&gt;35,DO53+DN54-DW53,IF(A54&lt;'Données projet'!$A$166,$DL$205^A54,IF(A54='Données projet'!$A$166,'Données projet'!$B$166,DO53+DN54-DW53)))</f>
        <v>249.40000000000003</v>
      </c>
      <c r="DP54" s="17">
        <f>DO54*VLOOKUP('Données projet'!$B$14,Paramètres!$A$1:$I$89,3,0)*VLOOKUP('Données projet'!$B$14,Paramètres!$A$1:$I$89,5,0)</f>
        <v>194.53200000000004</v>
      </c>
      <c r="DQ54" s="13">
        <f t="shared" si="43"/>
        <v>48.540534952652621</v>
      </c>
      <c r="DR54" s="20">
        <f t="shared" si="16"/>
        <v>423.35133170920335</v>
      </c>
      <c r="DS54" s="59">
        <f t="shared" si="17"/>
        <v>679.13521211245018</v>
      </c>
      <c r="DT54" s="59">
        <f ca="1">AVERAGE(OFFSET($DS$3,0,0,'Données projet'!$E$14+1,1))-AVERAGE(OFFSET($H$3,0,0,'Données projet'!$E$14+1,1))</f>
        <v>371.07993287480366</v>
      </c>
      <c r="DU54" s="59">
        <f t="shared" si="44"/>
        <v>358.67120540290637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>
        <f>EXP(-LN(2)/35)*EA53+(1-EXP(-LN(2)/35))/(LN(2)/35)*DW54*DX54*VLOOKUP('Données projet'!$B$14,Paramètres!$A$1:$I$89,3,0)*0.475*44/12</f>
        <v>10.814906578308365</v>
      </c>
      <c r="EB54" s="21">
        <f>EXP(-LN(2)/25)*EB53+(1-EXP(-LN(2)/25))/(LN(2)/25)*Calculateur!DW54*Calculateur!DY54*VLOOKUP('Données projet'!$B$14,Paramètres!$A$1:$I$89,3,0)*0.475*44/12</f>
        <v>13.87222221015573</v>
      </c>
      <c r="EC54" s="21">
        <f>EXP(-LN(2)/2)*EC53+(1-EXP(-LN(2)/2))/(LN(2)/2)*DW54*DZ54*VLOOKUP('Données projet'!$B$14,Paramètres!$A$1:$I$89,3,0)*0.475*44/12</f>
        <v>3.1966885333063995</v>
      </c>
      <c r="ED54" s="22">
        <f t="shared" si="18"/>
        <v>27.883817321770493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45">
      <c r="A55" s="10">
        <f t="shared" si="31"/>
        <v>52</v>
      </c>
      <c r="B55" s="73">
        <f>'Scénario référence'!$B$16*5+'Scénario référence'!$B$17*0+'Scénario référence'!$B$18*5</f>
        <v>5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1">
        <f t="shared" si="32"/>
        <v>0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18.333333333333332</v>
      </c>
      <c r="H55" s="67">
        <f t="shared" si="1"/>
        <v>183.33333333333334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10.36375</v>
      </c>
      <c r="N55" s="13">
        <f>IF('Données projet'!$A$36&gt;35,N54+M55-V54,IF(A55&lt;'Données projet'!$A$36,$K$205^A55,IF(A55='Données projet'!$A$36,'Données projet'!$B$36,N54+M55-V54)))</f>
        <v>191.51750000000021</v>
      </c>
      <c r="O55" s="13">
        <f>N55*VLOOKUP('Données projet'!$B$9,Paramètres!$A$1:$I$89,3,0)*VLOOKUP('Données projet'!$B$9,Paramètres!$A$1:$I$89,5,0)</f>
        <v>173.28503400000019</v>
      </c>
      <c r="P55" s="13">
        <f t="shared" si="33"/>
        <v>43.82494037101592</v>
      </c>
      <c r="Q55" s="20">
        <f t="shared" si="53"/>
        <v>378.133205362853</v>
      </c>
      <c r="R55" s="59">
        <f t="shared" si="0"/>
        <v>634.56848482643636</v>
      </c>
      <c r="S55" s="59">
        <f ca="1">AVERAGE(OFFSET($R$3,0,0,'Données projet'!$E$9+1,1))-AVERAGE(OFFSET($H$3,0,0,'Données projet'!$E$9+1,1))</f>
        <v>681.47578137804555</v>
      </c>
      <c r="T55" s="59">
        <f t="shared" si="34"/>
        <v>300.88511065995885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0</v>
      </c>
      <c r="AA55" s="21">
        <f>EXP(-LN(2)/25)*AA54+(1-EXP(-LN(2)/25))/(LN(2)/25)*Calculateur!V55*Calculateur!X55*VLOOKUP('Données projet'!$B$9,Paramètres!$A$1:$I$89,3,0)*0.475*44/12</f>
        <v>23.732718193951328</v>
      </c>
      <c r="AB55" s="21">
        <f>EXP(-LN(2)/2)*AB54+(1-EXP(-LN(2)/2))/(LN(2)/2)*V55*Y55*VLOOKUP('Données projet'!$B$9,Paramètres!$A$1:$I$89,3,0)*0.475*44/12</f>
        <v>3.4422911795556046</v>
      </c>
      <c r="AC55" s="22">
        <f t="shared" si="3"/>
        <v>27.175009373506931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12.346666666666669</v>
      </c>
      <c r="AI55" s="13">
        <f>IF('Données projet'!$A$62&gt;35,AI54+AH55-AQ54,IF(A55&lt;'Données projet'!$A$62,$AF$205^A55,IF(A55='Données projet'!$A$62,'Données projet'!$B$62,AI54+AH55-AQ54)))</f>
        <v>239.35666666666651</v>
      </c>
      <c r="AJ55" s="13">
        <f>AI55*VLOOKUP('Données projet'!$B$10,Paramètres!$A$1:$I$89,3,0)*VLOOKUP('Données projet'!$B$10,Paramètres!$A$1:$I$89,5,0)</f>
        <v>112.01891999999992</v>
      </c>
      <c r="AK55" s="13">
        <f t="shared" si="35"/>
        <v>29.806153198145591</v>
      </c>
      <c r="AL55" s="20">
        <f t="shared" si="4"/>
        <v>247.01200248677006</v>
      </c>
      <c r="AM55" s="59">
        <f t="shared" si="5"/>
        <v>503.44728195035339</v>
      </c>
      <c r="AN55" s="59">
        <f ca="1">AVERAGE(OFFSET($AM$3,0,0,'Données projet'!$E$10+1,1))-AVERAGE(OFFSET($H$3,0,0,'Données projet'!$E$10+1,1))</f>
        <v>325.45940224919184</v>
      </c>
      <c r="AO55" s="59">
        <f t="shared" si="36"/>
        <v>256.30046621034876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8.5012788004833553</v>
      </c>
      <c r="AV55" s="21">
        <f>EXP(-LN(2)/25)*AV54+(1-EXP(-LN(2)/25))/(LN(2)/25)*Calculateur!AQ55*Calculateur!AS55*VLOOKUP('Données projet'!$B$10,Paramètres!$A$1:$I$89,3,0)*0.475*44/12</f>
        <v>12.433467789431035</v>
      </c>
      <c r="AW55" s="21">
        <f>EXP(-LN(2)/2)*AW54+(1-EXP(-LN(2)/2))/(LN(2)/2)*AQ55*AT55*VLOOKUP('Données projet'!$B$10,Paramètres!$A$1:$I$89,3,0)*0.475*44/12</f>
        <v>14.462993784276923</v>
      </c>
      <c r="AX55" s="21">
        <f t="shared" si="6"/>
        <v>35.397740374191315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3.3603333333333336</v>
      </c>
      <c r="BD55" s="12">
        <f>IF('Données projet'!$A$88&gt;35,BD54+BC55-BL54,IF(A55&lt;'Données projet'!$A$88,$BA$205^A55,IF(A55='Données projet'!$A$88,'Données projet'!$B$88,BD54+BC55-BL54)))</f>
        <v>174.73733333333325</v>
      </c>
      <c r="BE55" s="13">
        <f>BD55*VLOOKUP('Données projet'!$B$11,Paramètres!$A$1:$I$89,3,0)*VLOOKUP('Données projet'!$B$11,Paramètres!$A$1:$I$89,5,0)</f>
        <v>177.18365599999993</v>
      </c>
      <c r="BF55" s="13">
        <f t="shared" si="37"/>
        <v>44.695027585438865</v>
      </c>
      <c r="BG55" s="20">
        <f t="shared" si="7"/>
        <v>386.43870724463926</v>
      </c>
      <c r="BH55" s="59">
        <f t="shared" si="8"/>
        <v>642.87398670822267</v>
      </c>
      <c r="BI55" s="59">
        <f ca="1">AVERAGE(OFFSET($BH$3,0,0,'Données projet'!$E$11+1,1))-AVERAGE(OFFSET($H$3,0,0,'Données projet'!$E$11+1,1))</f>
        <v>580.02848304986492</v>
      </c>
      <c r="BJ55" s="59">
        <f t="shared" si="38"/>
        <v>281.68891895586728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0</v>
      </c>
      <c r="BQ55" s="21">
        <f>EXP(-LN(2)/25)*BQ54+(1-EXP(-LN(2)/25))/(LN(2)/25)*Calculateur!BL55*Calculateur!BN55*VLOOKUP('Données projet'!$B$11,Paramètres!$A$1:$I$89,3,0)*0.475*44/12</f>
        <v>0</v>
      </c>
      <c r="BR55" s="21">
        <f>EXP(-LN(2)/2)*BR54+(1-EXP(-LN(2)/2))/(LN(2)/2)*BL55*BO55*VLOOKUP('Données projet'!$B$11,Paramètres!$A$1:$I$89,3,0)*0.475*44/12</f>
        <v>0</v>
      </c>
      <c r="BS55" s="22">
        <f t="shared" si="9"/>
        <v>0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7.4</v>
      </c>
      <c r="BY55" s="12">
        <f>IF('Données projet'!$A$114&gt;35,BY54+BX55-CG54,IF(A55&lt;'Données projet'!$A$114,$BV$205^A55,IF(A55='Données projet'!$A$114,'Données projet'!$B$114,BY54+BX55-CG54)))</f>
        <v>256.8</v>
      </c>
      <c r="BZ55" s="13">
        <f>BY55*VLOOKUP('Données projet'!$B$12,Paramètres!$A$1:$I$89,3,0)*VLOOKUP('Données projet'!$B$12,Paramètres!$A$1:$I$89,5,0)</f>
        <v>244.37088</v>
      </c>
      <c r="CA55" s="13">
        <f t="shared" si="39"/>
        <v>59.378956514447331</v>
      </c>
      <c r="CB55" s="20">
        <f t="shared" si="10"/>
        <v>529.03096526266245</v>
      </c>
      <c r="CC55" s="59">
        <f t="shared" si="11"/>
        <v>785.4662447262458</v>
      </c>
      <c r="CD55" s="59">
        <f ca="1">AVERAGE(OFFSET($CC$3,0,0,'Données projet'!$E$12+1,1))-AVERAGE(OFFSET($H$3,0,0,'Données projet'!$E$12+1,1))</f>
        <v>439.15394290667945</v>
      </c>
      <c r="CE55" s="59">
        <f t="shared" si="40"/>
        <v>423.56554025351068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12.935456085234277</v>
      </c>
      <c r="CL55" s="21">
        <f>EXP(-LN(2)/25)*CL54+(1-EXP(-LN(2)/25))/(LN(2)/25)*Calculateur!CG55*Calculateur!CI55*VLOOKUP('Données projet'!$B$12,Paramètres!$A$1:$I$89,3,0)*0.475*44/12</f>
        <v>16.461320388458887</v>
      </c>
      <c r="CM55" s="21">
        <f>EXP(-LN(2)/2)*CM54+(1-EXP(-LN(2)/2))/(LN(2)/2)*CG55*CJ55*VLOOKUP('Données projet'!$B$12,Paramètres!$A$1:$I$89,3,0)*0.475*44/12</f>
        <v>2.7576881698755251</v>
      </c>
      <c r="CN55" s="22">
        <f t="shared" si="12"/>
        <v>32.154464643568687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7.4</v>
      </c>
      <c r="CT55" s="12">
        <f>IF('Données projet'!$A$140&gt;35,CT54+CS55-DB54,IF(A55&lt;'Données projet'!$A$140,$CQ$205^A55,IF(A55='Données projet'!$A$140,'Données projet'!$B$140,CT54+CS55-DB54)))</f>
        <v>256.8</v>
      </c>
      <c r="CU55" s="17">
        <f>CT55*VLOOKUP('Données projet'!$B$13,Paramètres!$A$1:$I$89,3,0)*VLOOKUP('Données projet'!$B$13,Paramètres!$A$1:$I$89,5,0)</f>
        <v>224.34048000000004</v>
      </c>
      <c r="CV55" s="13">
        <f t="shared" si="41"/>
        <v>55.057192232003722</v>
      </c>
      <c r="CW55" s="20">
        <f t="shared" si="13"/>
        <v>486.61761247073986</v>
      </c>
      <c r="CX55" s="59">
        <f t="shared" si="14"/>
        <v>743.05289193432327</v>
      </c>
      <c r="CY55" s="59">
        <f ca="1">AVERAGE(OFFSET($CX$3,0,0,'Données projet'!$E$13+1,1))-AVERAGE(OFFSET($H$3,0,0,'Données projet'!$E$13+1,1))</f>
        <v>408.246209980743</v>
      </c>
      <c r="CZ55" s="59">
        <f t="shared" si="42"/>
        <v>394.10236303013903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>
        <f>EXP(-LN(2)/35)*DF54+(1-EXP(-LN(2)/35))/(LN(2)/35)*DB55*DC55*VLOOKUP('Données projet'!$B$13,Paramètres!$A$1:$I$89,3,0)*0.475*44/12</f>
        <v>14.636840892480116</v>
      </c>
      <c r="DG55" s="21">
        <f>EXP(-LN(2)/25)*DG54+(1-EXP(-LN(2)/25))/(LN(2)/25)*Calculateur!DB55*Calculateur!DD55*VLOOKUP('Données projet'!$B$13,Paramètres!$A$1:$I$89,3,0)*0.475*44/12</f>
        <v>18.626457839476156</v>
      </c>
      <c r="DH55" s="21">
        <f>EXP(-LN(2)/2)*DH54+(1-EXP(-LN(2)/2))/(LN(2)/2)*DB55*DE55*VLOOKUP('Données projet'!$B$13,Paramètres!$A$1:$I$89,3,0)*0.475*44/12</f>
        <v>2.5316481559513022</v>
      </c>
      <c r="DI55" s="22">
        <f t="shared" si="15"/>
        <v>35.794946887907571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7.4</v>
      </c>
      <c r="DO55" s="12">
        <f>IF('Données projet'!$A$166&gt;35,DO54+DN55-DW54,IF(A55&lt;'Données projet'!$A$166,$DL$205^A55,IF(A55='Données projet'!$A$166,'Données projet'!$B$166,DO54+DN55-DW54)))</f>
        <v>256.8</v>
      </c>
      <c r="DP55" s="17">
        <f>DO55*VLOOKUP('Données projet'!$B$14,Paramètres!$A$1:$I$89,3,0)*VLOOKUP('Données projet'!$B$14,Paramètres!$A$1:$I$89,5,0)</f>
        <v>200.304</v>
      </c>
      <c r="DQ55" s="13">
        <f t="shared" si="43"/>
        <v>49.810971817279139</v>
      </c>
      <c r="DR55" s="20">
        <f t="shared" si="16"/>
        <v>435.61690924842782</v>
      </c>
      <c r="DS55" s="59">
        <f t="shared" si="17"/>
        <v>692.05218871201123</v>
      </c>
      <c r="DT55" s="59">
        <f ca="1">AVERAGE(OFFSET($DS$3,0,0,'Données projet'!$E$14+1,1))-AVERAGE(OFFSET($H$3,0,0,'Données projet'!$E$14+1,1))</f>
        <v>371.07993287480366</v>
      </c>
      <c r="DU55" s="59">
        <f t="shared" si="44"/>
        <v>358.67120540290637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>
        <f>EXP(-LN(2)/35)*EA54+(1-EXP(-LN(2)/35))/(LN(2)/35)*DW55*DX55*VLOOKUP('Données projet'!$B$14,Paramètres!$A$1:$I$89,3,0)*0.475*44/12</f>
        <v>10.602832856749407</v>
      </c>
      <c r="EB55" s="21">
        <f>EXP(-LN(2)/25)*EB54+(1-EXP(-LN(2)/25))/(LN(2)/25)*Calculateur!DW55*Calculateur!DY55*VLOOKUP('Données projet'!$B$14,Paramètres!$A$1:$I$89,3,0)*0.475*44/12</f>
        <v>13.49288556431056</v>
      </c>
      <c r="EC55" s="21">
        <f>EXP(-LN(2)/2)*EC54+(1-EXP(-LN(2)/2))/(LN(2)/2)*DW55*DZ55*VLOOKUP('Données projet'!$B$14,Paramètres!$A$1:$I$89,3,0)*0.475*44/12</f>
        <v>2.2604001392422339</v>
      </c>
      <c r="ED55" s="22">
        <f t="shared" si="18"/>
        <v>26.3561185603022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45">
      <c r="A56" s="10">
        <f t="shared" si="31"/>
        <v>53</v>
      </c>
      <c r="B56" s="73">
        <f>'Scénario référence'!$B$16*5+'Scénario référence'!$B$17*0+'Scénario référence'!$B$18*5</f>
        <v>5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1">
        <f t="shared" si="32"/>
        <v>0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18.333333333333332</v>
      </c>
      <c r="H56" s="67">
        <f t="shared" si="1"/>
        <v>183.33333333333334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10.36375</v>
      </c>
      <c r="N56" s="13">
        <f>IF('Données projet'!$A$36&gt;35,N55+M56-V55,IF(A56&lt;'Données projet'!$A$36,$K$205^A56,IF(A56='Données projet'!$A$36,'Données projet'!$B$36,N55+M56-V55)))</f>
        <v>201.88125000000022</v>
      </c>
      <c r="O56" s="13">
        <f>N56*VLOOKUP('Données projet'!$B$9,Paramètres!$A$1:$I$89,3,0)*VLOOKUP('Données projet'!$B$9,Paramètres!$A$1:$I$89,5,0)</f>
        <v>182.66215500000018</v>
      </c>
      <c r="P56" s="13">
        <f t="shared" si="33"/>
        <v>45.913959577546748</v>
      </c>
      <c r="Q56" s="20">
        <f t="shared" si="53"/>
        <v>398.10339955589421</v>
      </c>
      <c r="R56" s="59">
        <f t="shared" si="0"/>
        <v>655.17877776242744</v>
      </c>
      <c r="S56" s="59">
        <f ca="1">AVERAGE(OFFSET($R$3,0,0,'Données projet'!$E$9+1,1))-AVERAGE(OFFSET($H$3,0,0,'Données projet'!$E$9+1,1))</f>
        <v>681.47578137804555</v>
      </c>
      <c r="T56" s="59">
        <f t="shared" si="34"/>
        <v>300.88511065995885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0</v>
      </c>
      <c r="AA56" s="21">
        <f>EXP(-LN(2)/25)*AA55+(1-EXP(-LN(2)/25))/(LN(2)/25)*Calculateur!V56*Calculateur!X56*VLOOKUP('Données projet'!$B$9,Paramètres!$A$1:$I$89,3,0)*0.475*44/12</f>
        <v>23.08374576688832</v>
      </c>
      <c r="AB56" s="21">
        <f>EXP(-LN(2)/2)*AB55+(1-EXP(-LN(2)/2))/(LN(2)/2)*V56*Y56*VLOOKUP('Données projet'!$B$9,Paramètres!$A$1:$I$89,3,0)*0.475*44/12</f>
        <v>2.4340674358824077</v>
      </c>
      <c r="AC56" s="22">
        <f t="shared" si="3"/>
        <v>25.517813202770729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12.346666666666669</v>
      </c>
      <c r="AI56" s="13">
        <f>IF('Données projet'!$A$62&gt;35,AI55+AH56-AQ55,IF(A56&lt;'Données projet'!$A$62,$AF$205^A56,IF(A56='Données projet'!$A$62,'Données projet'!$B$62,AI55+AH56-AQ55)))</f>
        <v>251.70333333333318</v>
      </c>
      <c r="AJ56" s="13">
        <f>AI56*VLOOKUP('Données projet'!$B$10,Paramètres!$A$1:$I$89,3,0)*VLOOKUP('Données projet'!$B$10,Paramètres!$A$1:$I$89,5,0)</f>
        <v>117.79715999999992</v>
      </c>
      <c r="AK56" s="13">
        <f t="shared" si="35"/>
        <v>31.16067034535946</v>
      </c>
      <c r="AL56" s="20">
        <f t="shared" si="4"/>
        <v>259.43488785150095</v>
      </c>
      <c r="AM56" s="59">
        <f t="shared" si="5"/>
        <v>516.51026605803418</v>
      </c>
      <c r="AN56" s="59">
        <f ca="1">AVERAGE(OFFSET($AM$3,0,0,'Données projet'!$E$10+1,1))-AVERAGE(OFFSET($H$3,0,0,'Données projet'!$E$10+1,1))</f>
        <v>325.45940224919184</v>
      </c>
      <c r="AO56" s="59">
        <f t="shared" si="36"/>
        <v>256.30046621034876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8.3345739084739421</v>
      </c>
      <c r="AV56" s="21">
        <f>EXP(-LN(2)/25)*AV55+(1-EXP(-LN(2)/25))/(LN(2)/25)*Calculateur!AQ56*Calculateur!AS56*VLOOKUP('Données projet'!$B$10,Paramètres!$A$1:$I$89,3,0)*0.475*44/12</f>
        <v>12.09347395888139</v>
      </c>
      <c r="AW56" s="21">
        <f>EXP(-LN(2)/2)*AW55+(1-EXP(-LN(2)/2))/(LN(2)/2)*AQ56*AT56*VLOOKUP('Données projet'!$B$10,Paramètres!$A$1:$I$89,3,0)*0.475*44/12</f>
        <v>10.2268809811211</v>
      </c>
      <c r="AX56" s="21">
        <f t="shared" si="6"/>
        <v>30.65492884847643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3.3603333333333336</v>
      </c>
      <c r="BD56" s="12">
        <f>IF('Données projet'!$A$88&gt;35,BD55+BC56-BL55,IF(A56&lt;'Données projet'!$A$88,$BA$205^A56,IF(A56='Données projet'!$A$88,'Données projet'!$B$88,BD55+BC56-BL55)))</f>
        <v>178.09766666666658</v>
      </c>
      <c r="BE56" s="13">
        <f>BD56*VLOOKUP('Données projet'!$B$11,Paramètres!$A$1:$I$89,3,0)*VLOOKUP('Données projet'!$B$11,Paramètres!$A$1:$I$89,5,0)</f>
        <v>180.59103399999992</v>
      </c>
      <c r="BF56" s="13">
        <f t="shared" si="37"/>
        <v>45.453655244392749</v>
      </c>
      <c r="BG56" s="20">
        <f t="shared" si="7"/>
        <v>393.69450043398388</v>
      </c>
      <c r="BH56" s="59">
        <f t="shared" si="8"/>
        <v>650.76987864051716</v>
      </c>
      <c r="BI56" s="59">
        <f ca="1">AVERAGE(OFFSET($BH$3,0,0,'Données projet'!$E$11+1,1))-AVERAGE(OFFSET($H$3,0,0,'Données projet'!$E$11+1,1))</f>
        <v>580.02848304986492</v>
      </c>
      <c r="BJ56" s="59">
        <f t="shared" si="38"/>
        <v>281.68891895586728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0</v>
      </c>
      <c r="BQ56" s="21">
        <f>EXP(-LN(2)/25)*BQ55+(1-EXP(-LN(2)/25))/(LN(2)/25)*Calculateur!BL56*Calculateur!BN56*VLOOKUP('Données projet'!$B$11,Paramètres!$A$1:$I$89,3,0)*0.475*44/12</f>
        <v>0</v>
      </c>
      <c r="BR56" s="21">
        <f>EXP(-LN(2)/2)*BR55+(1-EXP(-LN(2)/2))/(LN(2)/2)*BL56*BO56*VLOOKUP('Données projet'!$B$11,Paramètres!$A$1:$I$89,3,0)*0.475*44/12</f>
        <v>0</v>
      </c>
      <c r="BS56" s="22">
        <f t="shared" si="9"/>
        <v>0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7.4</v>
      </c>
      <c r="BY56" s="12">
        <f>IF('Données projet'!$A$114&gt;35,BY55+BX56-CG55,IF(A56&lt;'Données projet'!$A$114,$BV$205^A56,IF(A56='Données projet'!$A$114,'Données projet'!$B$114,BY55+BX56-CG55)))</f>
        <v>264.2</v>
      </c>
      <c r="BZ56" s="13">
        <f>BY56*VLOOKUP('Données projet'!$B$12,Paramètres!$A$1:$I$89,3,0)*VLOOKUP('Données projet'!$B$12,Paramètres!$A$1:$I$89,5,0)</f>
        <v>251.41271999999998</v>
      </c>
      <c r="CA56" s="13">
        <f t="shared" si="39"/>
        <v>60.888354295829195</v>
      </c>
      <c r="CB56" s="20">
        <f t="shared" si="10"/>
        <v>543.92437106523573</v>
      </c>
      <c r="CC56" s="59">
        <f t="shared" si="11"/>
        <v>800.99974927176891</v>
      </c>
      <c r="CD56" s="59">
        <f ca="1">AVERAGE(OFFSET($CC$3,0,0,'Données projet'!$E$12+1,1))-AVERAGE(OFFSET($H$3,0,0,'Données projet'!$E$12+1,1))</f>
        <v>439.15394290667945</v>
      </c>
      <c r="CE56" s="59">
        <f t="shared" si="40"/>
        <v>423.56554025351068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12.681799681251986</v>
      </c>
      <c r="CL56" s="21">
        <f>EXP(-LN(2)/25)*CL55+(1-EXP(-LN(2)/25))/(LN(2)/25)*Calculateur!CG56*Calculateur!CI56*VLOOKUP('Données projet'!$B$12,Paramètres!$A$1:$I$89,3,0)*0.475*44/12</f>
        <v>16.011184716773261</v>
      </c>
      <c r="CM56" s="21">
        <f>EXP(-LN(2)/2)*CM55+(1-EXP(-LN(2)/2))/(LN(2)/2)*CG56*CJ56*VLOOKUP('Données projet'!$B$12,Paramètres!$A$1:$I$89,3,0)*0.475*44/12</f>
        <v>1.9499800053169039</v>
      </c>
      <c r="CN56" s="22">
        <f t="shared" si="12"/>
        <v>30.642964403342148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7.4</v>
      </c>
      <c r="CT56" s="12">
        <f>IF('Données projet'!$A$140&gt;35,CT55+CS56-DB55,IF(A56&lt;'Données projet'!$A$140,$CQ$205^A56,IF(A56='Données projet'!$A$140,'Données projet'!$B$140,CT55+CS56-DB55)))</f>
        <v>264.2</v>
      </c>
      <c r="CU56" s="17">
        <f>CT56*VLOOKUP('Données projet'!$B$13,Paramètres!$A$1:$I$89,3,0)*VLOOKUP('Données projet'!$B$13,Paramètres!$A$1:$I$89,5,0)</f>
        <v>230.80512000000002</v>
      </c>
      <c r="CV56" s="13">
        <f t="shared" si="41"/>
        <v>56.456731878408327</v>
      </c>
      <c r="CW56" s="20">
        <f t="shared" si="13"/>
        <v>500.3143920215611</v>
      </c>
      <c r="CX56" s="59">
        <f t="shared" si="14"/>
        <v>757.38977022809433</v>
      </c>
      <c r="CY56" s="59">
        <f ca="1">AVERAGE(OFFSET($CX$3,0,0,'Données projet'!$E$13+1,1))-AVERAGE(OFFSET($H$3,0,0,'Données projet'!$E$13+1,1))</f>
        <v>408.246209980743</v>
      </c>
      <c r="CZ56" s="59">
        <f t="shared" si="42"/>
        <v>394.10236303013903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>
        <f>EXP(-LN(2)/35)*DF55+(1-EXP(-LN(2)/35))/(LN(2)/35)*DB56*DC56*VLOOKUP('Données projet'!$B$13,Paramètres!$A$1:$I$89,3,0)*0.475*44/12</f>
        <v>14.349821370169998</v>
      </c>
      <c r="DG56" s="21">
        <f>EXP(-LN(2)/25)*DG55+(1-EXP(-LN(2)/25))/(LN(2)/25)*Calculateur!DB56*Calculateur!DD56*VLOOKUP('Données projet'!$B$13,Paramètres!$A$1:$I$89,3,0)*0.475*44/12</f>
        <v>18.117116370332834</v>
      </c>
      <c r="DH56" s="21">
        <f>EXP(-LN(2)/2)*DH55+(1-EXP(-LN(2)/2))/(LN(2)/2)*DB56*DE56*VLOOKUP('Données projet'!$B$13,Paramètres!$A$1:$I$89,3,0)*0.475*44/12</f>
        <v>1.7901455786515841</v>
      </c>
      <c r="DI56" s="22">
        <f t="shared" si="15"/>
        <v>34.257083319154411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7.4</v>
      </c>
      <c r="DO56" s="12">
        <f>IF('Données projet'!$A$166&gt;35,DO55+DN56-DW55,IF(A56&lt;'Données projet'!$A$166,$DL$205^A56,IF(A56='Données projet'!$A$166,'Données projet'!$B$166,DO55+DN56-DW55)))</f>
        <v>264.2</v>
      </c>
      <c r="DP56" s="17">
        <f>DO56*VLOOKUP('Données projet'!$B$14,Paramètres!$A$1:$I$89,3,0)*VLOOKUP('Données projet'!$B$14,Paramètres!$A$1:$I$89,5,0)</f>
        <v>206.07599999999999</v>
      </c>
      <c r="DQ56" s="13">
        <f t="shared" si="43"/>
        <v>51.077153891920105</v>
      </c>
      <c r="DR56" s="20">
        <f t="shared" si="16"/>
        <v>447.87507636176088</v>
      </c>
      <c r="DS56" s="59">
        <f t="shared" si="17"/>
        <v>704.95045456829416</v>
      </c>
      <c r="DT56" s="59">
        <f ca="1">AVERAGE(OFFSET($DS$3,0,0,'Données projet'!$E$14+1,1))-AVERAGE(OFFSET($H$3,0,0,'Données projet'!$E$14+1,1))</f>
        <v>371.07993287480366</v>
      </c>
      <c r="DU56" s="59">
        <f t="shared" si="44"/>
        <v>358.67120540290637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>
        <f>EXP(-LN(2)/35)*EA55+(1-EXP(-LN(2)/35))/(LN(2)/35)*DW56*DX56*VLOOKUP('Données projet'!$B$14,Paramètres!$A$1:$I$89,3,0)*0.475*44/12</f>
        <v>10.394917771518022</v>
      </c>
      <c r="EB56" s="21">
        <f>EXP(-LN(2)/25)*EB55+(1-EXP(-LN(2)/25))/(LN(2)/25)*Calculateur!DW56*Calculateur!DY56*VLOOKUP('Données projet'!$B$14,Paramètres!$A$1:$I$89,3,0)*0.475*44/12</f>
        <v>13.123921898994475</v>
      </c>
      <c r="EC56" s="21">
        <f>EXP(-LN(2)/2)*EC55+(1-EXP(-LN(2)/2))/(LN(2)/2)*DW56*DZ56*VLOOKUP('Données projet'!$B$14,Paramètres!$A$1:$I$89,3,0)*0.475*44/12</f>
        <v>1.5983442666532</v>
      </c>
      <c r="ED56" s="22">
        <f t="shared" si="18"/>
        <v>25.117183937165699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45">
      <c r="A57" s="10">
        <f t="shared" si="31"/>
        <v>54</v>
      </c>
      <c r="B57" s="73">
        <f>'Scénario référence'!$B$16*5+'Scénario référence'!$B$17*0+'Scénario référence'!$B$18*5</f>
        <v>5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1">
        <f t="shared" si="32"/>
        <v>0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18.333333333333332</v>
      </c>
      <c r="H57" s="67">
        <f t="shared" si="1"/>
        <v>183.33333333333334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10.36375</v>
      </c>
      <c r="N57" s="13">
        <f>IF('Données projet'!$A$36&gt;35,N56+M57-V56,IF(A57&lt;'Données projet'!$A$36,$K$205^A57,IF(A57='Données projet'!$A$36,'Données projet'!$B$36,N56+M57-V56)))</f>
        <v>212.24500000000023</v>
      </c>
      <c r="O57" s="13">
        <f>N57*VLOOKUP('Données projet'!$B$9,Paramètres!$A$1:$I$89,3,0)*VLOOKUP('Données projet'!$B$9,Paramètres!$A$1:$I$89,5,0)</f>
        <v>192.0392760000002</v>
      </c>
      <c r="P57" s="13">
        <f t="shared" si="33"/>
        <v>47.990527307113453</v>
      </c>
      <c r="Q57" s="20">
        <f t="shared" si="53"/>
        <v>418.05190742655623</v>
      </c>
      <c r="R57" s="59">
        <f t="shared" si="0"/>
        <v>675.75628009389561</v>
      </c>
      <c r="S57" s="59">
        <f ca="1">AVERAGE(OFFSET($R$3,0,0,'Données projet'!$E$9+1,1))-AVERAGE(OFFSET($H$3,0,0,'Données projet'!$E$9+1,1))</f>
        <v>681.47578137804555</v>
      </c>
      <c r="T57" s="59">
        <f t="shared" si="34"/>
        <v>300.88511065995885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0</v>
      </c>
      <c r="AA57" s="21">
        <f>EXP(-LN(2)/25)*AA56+(1-EXP(-LN(2)/25))/(LN(2)/25)*Calculateur!V57*Calculateur!X57*VLOOKUP('Données projet'!$B$9,Paramètres!$A$1:$I$89,3,0)*0.475*44/12</f>
        <v>22.452519524971329</v>
      </c>
      <c r="AB57" s="21">
        <f>EXP(-LN(2)/2)*AB56+(1-EXP(-LN(2)/2))/(LN(2)/2)*V57*Y57*VLOOKUP('Données projet'!$B$9,Paramètres!$A$1:$I$89,3,0)*0.475*44/12</f>
        <v>1.7211455897778025</v>
      </c>
      <c r="AC57" s="22">
        <f t="shared" si="3"/>
        <v>24.173665114749131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12.346666666666669</v>
      </c>
      <c r="AI57" s="13">
        <f>IF('Données projet'!$A$62&gt;35,AI56+AH57-AQ56,IF(A57&lt;'Données projet'!$A$62,$AF$205^A57,IF(A57='Données projet'!$A$62,'Données projet'!$B$62,AI56+AH57-AQ56)))</f>
        <v>264.04999999999984</v>
      </c>
      <c r="AJ57" s="13">
        <f>AI57*VLOOKUP('Données projet'!$B$10,Paramètres!$A$1:$I$89,3,0)*VLOOKUP('Données projet'!$B$10,Paramètres!$A$1:$I$89,5,0)</f>
        <v>123.57539999999992</v>
      </c>
      <c r="AK57" s="13">
        <f t="shared" si="35"/>
        <v>32.507472368650312</v>
      </c>
      <c r="AL57" s="20">
        <f t="shared" si="4"/>
        <v>271.84433604206578</v>
      </c>
      <c r="AM57" s="59">
        <f t="shared" si="5"/>
        <v>529.5487087094051</v>
      </c>
      <c r="AN57" s="59">
        <f ca="1">AVERAGE(OFFSET($AM$3,0,0,'Données projet'!$E$10+1,1))-AVERAGE(OFFSET($H$3,0,0,'Données projet'!$E$10+1,1))</f>
        <v>325.45940224919184</v>
      </c>
      <c r="AO57" s="59">
        <f t="shared" si="36"/>
        <v>256.30046621034876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8.1711379977168903</v>
      </c>
      <c r="AV57" s="21">
        <f>EXP(-LN(2)/25)*AV56+(1-EXP(-LN(2)/25))/(LN(2)/25)*Calculateur!AQ57*Calculateur!AS57*VLOOKUP('Données projet'!$B$10,Paramètres!$A$1:$I$89,3,0)*0.475*44/12</f>
        <v>11.762777277507622</v>
      </c>
      <c r="AW57" s="21">
        <f>EXP(-LN(2)/2)*AW56+(1-EXP(-LN(2)/2))/(LN(2)/2)*AQ57*AT57*VLOOKUP('Données projet'!$B$10,Paramètres!$A$1:$I$89,3,0)*0.475*44/12</f>
        <v>7.2314968921384626</v>
      </c>
      <c r="AX57" s="21">
        <f t="shared" si="6"/>
        <v>27.165412167362977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3.3603333333333336</v>
      </c>
      <c r="BD57" s="12">
        <f>IF('Données projet'!$A$88&gt;35,BD56+BC57-BL56,IF(A57&lt;'Données projet'!$A$88,$BA$205^A57,IF(A57='Données projet'!$A$88,'Données projet'!$B$88,BD56+BC57-BL56)))</f>
        <v>181.45799999999991</v>
      </c>
      <c r="BE57" s="13">
        <f>BD57*VLOOKUP('Données projet'!$B$11,Paramètres!$A$1:$I$89,3,0)*VLOOKUP('Données projet'!$B$11,Paramètres!$A$1:$I$89,5,0)</f>
        <v>183.99841199999992</v>
      </c>
      <c r="BF57" s="13">
        <f t="shared" si="37"/>
        <v>46.210618509095013</v>
      </c>
      <c r="BG57" s="20">
        <f t="shared" si="7"/>
        <v>400.94739480334033</v>
      </c>
      <c r="BH57" s="59">
        <f t="shared" si="8"/>
        <v>658.65176747067972</v>
      </c>
      <c r="BI57" s="59">
        <f ca="1">AVERAGE(OFFSET($BH$3,0,0,'Données projet'!$E$11+1,1))-AVERAGE(OFFSET($H$3,0,0,'Données projet'!$E$11+1,1))</f>
        <v>580.02848304986492</v>
      </c>
      <c r="BJ57" s="59">
        <f t="shared" si="38"/>
        <v>281.68891895586728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0</v>
      </c>
      <c r="BQ57" s="21">
        <f>EXP(-LN(2)/25)*BQ56+(1-EXP(-LN(2)/25))/(LN(2)/25)*Calculateur!BL57*Calculateur!BN57*VLOOKUP('Données projet'!$B$11,Paramètres!$A$1:$I$89,3,0)*0.475*44/12</f>
        <v>0</v>
      </c>
      <c r="BR57" s="21">
        <f>EXP(-LN(2)/2)*BR56+(1-EXP(-LN(2)/2))/(LN(2)/2)*BL57*BO57*VLOOKUP('Données projet'!$B$11,Paramètres!$A$1:$I$89,3,0)*0.475*44/12</f>
        <v>0</v>
      </c>
      <c r="BS57" s="22">
        <f t="shared" si="9"/>
        <v>0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7.4</v>
      </c>
      <c r="BY57" s="12">
        <f>IF('Données projet'!$A$114&gt;35,BY56+BX57-CG56,IF(A57&lt;'Données projet'!$A$114,$BV$205^A57,IF(A57='Données projet'!$A$114,'Données projet'!$B$114,BY56+BX57-CG56)))</f>
        <v>271.59999999999997</v>
      </c>
      <c r="BZ57" s="13">
        <f>BY57*VLOOKUP('Données projet'!$B$12,Paramètres!$A$1:$I$89,3,0)*VLOOKUP('Données projet'!$B$12,Paramètres!$A$1:$I$89,5,0)</f>
        <v>258.45456000000001</v>
      </c>
      <c r="CA57" s="13">
        <f t="shared" si="39"/>
        <v>62.392838386261957</v>
      </c>
      <c r="CB57" s="20">
        <f t="shared" si="10"/>
        <v>558.8092188560729</v>
      </c>
      <c r="CC57" s="59">
        <f t="shared" si="11"/>
        <v>816.51359152341229</v>
      </c>
      <c r="CD57" s="59">
        <f ca="1">AVERAGE(OFFSET($CC$3,0,0,'Données projet'!$E$12+1,1))-AVERAGE(OFFSET($H$3,0,0,'Données projet'!$E$12+1,1))</f>
        <v>439.15394290667945</v>
      </c>
      <c r="CE57" s="59">
        <f t="shared" si="40"/>
        <v>423.56554025351068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12.43311732463666</v>
      </c>
      <c r="CL57" s="21">
        <f>EXP(-LN(2)/25)*CL56+(1-EXP(-LN(2)/25))/(LN(2)/25)*Calculateur!CG57*Calculateur!CI57*VLOOKUP('Données projet'!$B$12,Paramètres!$A$1:$I$89,3,0)*0.475*44/12</f>
        <v>15.573358028701486</v>
      </c>
      <c r="CM57" s="21">
        <f>EXP(-LN(2)/2)*CM56+(1-EXP(-LN(2)/2))/(LN(2)/2)*CG57*CJ57*VLOOKUP('Données projet'!$B$12,Paramètres!$A$1:$I$89,3,0)*0.475*44/12</f>
        <v>1.3788440849377628</v>
      </c>
      <c r="CN57" s="22">
        <f t="shared" si="12"/>
        <v>29.385319438275911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7.4</v>
      </c>
      <c r="CT57" s="12">
        <f>IF('Données projet'!$A$140&gt;35,CT56+CS57-DB56,IF(A57&lt;'Données projet'!$A$140,$CQ$205^A57,IF(A57='Données projet'!$A$140,'Données projet'!$B$140,CT56+CS57-DB56)))</f>
        <v>271.59999999999997</v>
      </c>
      <c r="CU57" s="17">
        <f>CT57*VLOOKUP('Données projet'!$B$13,Paramètres!$A$1:$I$89,3,0)*VLOOKUP('Données projet'!$B$13,Paramètres!$A$1:$I$89,5,0)</f>
        <v>237.26976000000002</v>
      </c>
      <c r="CV57" s="13">
        <f t="shared" si="41"/>
        <v>57.851715465847946</v>
      </c>
      <c r="CW57" s="20">
        <f t="shared" si="13"/>
        <v>514.00323643635181</v>
      </c>
      <c r="CX57" s="59">
        <f t="shared" si="14"/>
        <v>771.70760910369108</v>
      </c>
      <c r="CY57" s="59">
        <f ca="1">AVERAGE(OFFSET($CX$3,0,0,'Données projet'!$E$13+1,1))-AVERAGE(OFFSET($H$3,0,0,'Données projet'!$E$13+1,1))</f>
        <v>408.246209980743</v>
      </c>
      <c r="CZ57" s="59">
        <f t="shared" si="42"/>
        <v>394.10236303013903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>
        <f>EXP(-LN(2)/35)*DF56+(1-EXP(-LN(2)/35))/(LN(2)/35)*DB57*DC57*VLOOKUP('Données projet'!$B$13,Paramètres!$A$1:$I$89,3,0)*0.475*44/12</f>
        <v>14.06843012562776</v>
      </c>
      <c r="DG57" s="21">
        <f>EXP(-LN(2)/25)*DG56+(1-EXP(-LN(2)/25))/(LN(2)/25)*Calculateur!DB57*Calculateur!DD57*VLOOKUP('Données projet'!$B$13,Paramètres!$A$1:$I$89,3,0)*0.475*44/12</f>
        <v>17.621702870448338</v>
      </c>
      <c r="DH57" s="21">
        <f>EXP(-LN(2)/2)*DH56+(1-EXP(-LN(2)/2))/(LN(2)/2)*DB57*DE57*VLOOKUP('Données projet'!$B$13,Paramètres!$A$1:$I$89,3,0)*0.475*44/12</f>
        <v>1.2658240779756513</v>
      </c>
      <c r="DI57" s="22">
        <f t="shared" si="15"/>
        <v>32.955957074051753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7.4</v>
      </c>
      <c r="DO57" s="12">
        <f>IF('Données projet'!$A$166&gt;35,DO56+DN57-DW56,IF(A57&lt;'Données projet'!$A$166,$DL$205^A57,IF(A57='Données projet'!$A$166,'Données projet'!$B$166,DO56+DN57-DW56)))</f>
        <v>271.59999999999997</v>
      </c>
      <c r="DP57" s="17">
        <f>DO57*VLOOKUP('Données projet'!$B$14,Paramètres!$A$1:$I$89,3,0)*VLOOKUP('Données projet'!$B$14,Paramètres!$A$1:$I$89,5,0)</f>
        <v>211.84799999999998</v>
      </c>
      <c r="DQ57" s="13">
        <f t="shared" si="43"/>
        <v>52.339214039606517</v>
      </c>
      <c r="DR57" s="20">
        <f t="shared" si="16"/>
        <v>460.12606445231467</v>
      </c>
      <c r="DS57" s="59">
        <f t="shared" si="17"/>
        <v>717.83043711965399</v>
      </c>
      <c r="DT57" s="59">
        <f ca="1">AVERAGE(OFFSET($DS$3,0,0,'Données projet'!$E$14+1,1))-AVERAGE(OFFSET($H$3,0,0,'Données projet'!$E$14+1,1))</f>
        <v>371.07993287480366</v>
      </c>
      <c r="DU57" s="59">
        <f t="shared" si="44"/>
        <v>358.67120540290637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>
        <f>EXP(-LN(2)/35)*EA56+(1-EXP(-LN(2)/35))/(LN(2)/35)*DW57*DX57*VLOOKUP('Données projet'!$B$14,Paramètres!$A$1:$I$89,3,0)*0.475*44/12</f>
        <v>10.191079774292344</v>
      </c>
      <c r="EB57" s="21">
        <f>EXP(-LN(2)/25)*EB56+(1-EXP(-LN(2)/25))/(LN(2)/25)*Calculateur!DW57*Calculateur!DY57*VLOOKUP('Données projet'!$B$14,Paramètres!$A$1:$I$89,3,0)*0.475*44/12</f>
        <v>12.765047564509413</v>
      </c>
      <c r="EC57" s="21">
        <f>EXP(-LN(2)/2)*EC56+(1-EXP(-LN(2)/2))/(LN(2)/2)*DW57*DZ57*VLOOKUP('Données projet'!$B$14,Paramètres!$A$1:$I$89,3,0)*0.475*44/12</f>
        <v>1.1302000696211172</v>
      </c>
      <c r="ED57" s="22">
        <f t="shared" si="18"/>
        <v>24.086327408422875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45">
      <c r="A58" s="10">
        <f t="shared" si="31"/>
        <v>55</v>
      </c>
      <c r="B58" s="73">
        <f>'Scénario référence'!$B$16*5+'Scénario référence'!$B$17*0+'Scénario référence'!$B$18*5</f>
        <v>5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1">
        <f t="shared" si="32"/>
        <v>0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18.333333333333332</v>
      </c>
      <c r="H58" s="67">
        <f t="shared" si="1"/>
        <v>183.33333333333334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10.36375</v>
      </c>
      <c r="N58" s="13">
        <f>IF('Données projet'!$A$36&gt;35,N57+M58-V57,IF(A58&lt;'Données projet'!$A$36,$K$205^A58,IF(A58='Données projet'!$A$36,'Données projet'!$B$36,N57+M58-V57)))</f>
        <v>222.60875000000024</v>
      </c>
      <c r="O58" s="13">
        <f>N58*VLOOKUP('Données projet'!$B$9,Paramètres!$A$1:$I$89,3,0)*VLOOKUP('Données projet'!$B$9,Paramètres!$A$1:$I$89,5,0)</f>
        <v>201.41639700000019</v>
      </c>
      <c r="P58" s="13">
        <f t="shared" si="33"/>
        <v>50.055320951535919</v>
      </c>
      <c r="Q58" s="20">
        <f t="shared" si="53"/>
        <v>437.97990876559203</v>
      </c>
      <c r="R58" s="59">
        <f t="shared" si="0"/>
        <v>696.30236424606346</v>
      </c>
      <c r="S58" s="59">
        <f ca="1">AVERAGE(OFFSET($R$3,0,0,'Données projet'!$E$9+1,1))-AVERAGE(OFFSET($H$3,0,0,'Données projet'!$E$9+1,1))</f>
        <v>681.47578137804555</v>
      </c>
      <c r="T58" s="59">
        <f t="shared" si="34"/>
        <v>300.88511065995885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0</v>
      </c>
      <c r="AA58" s="21">
        <f>EXP(-LN(2)/25)*AA57+(1-EXP(-LN(2)/25))/(LN(2)/25)*Calculateur!V58*Calculateur!X58*VLOOKUP('Données projet'!$B$9,Paramètres!$A$1:$I$89,3,0)*0.475*44/12</f>
        <v>21.838554197834302</v>
      </c>
      <c r="AB58" s="21">
        <f>EXP(-LN(2)/2)*AB57+(1-EXP(-LN(2)/2))/(LN(2)/2)*V58*Y58*VLOOKUP('Données projet'!$B$9,Paramètres!$A$1:$I$89,3,0)*0.475*44/12</f>
        <v>1.2170337179412041</v>
      </c>
      <c r="AC58" s="22">
        <f t="shared" si="3"/>
        <v>23.055587915775504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12.346666666666669</v>
      </c>
      <c r="AI58" s="13">
        <f>IF('Données projet'!$A$62&gt;35,AI57+AH58-AQ57,IF(A58&lt;'Données projet'!$A$62,$AF$205^A58,IF(A58='Données projet'!$A$62,'Données projet'!$B$62,AI57+AH58-AQ57)))</f>
        <v>276.39666666666653</v>
      </c>
      <c r="AJ58" s="13">
        <f>AI58*VLOOKUP('Données projet'!$B$10,Paramètres!$A$1:$I$89,3,0)*VLOOKUP('Données projet'!$B$10,Paramètres!$A$1:$I$89,5,0)</f>
        <v>129.35363999999993</v>
      </c>
      <c r="AK58" s="13">
        <f t="shared" si="35"/>
        <v>33.846961214906273</v>
      </c>
      <c r="AL58" s="20">
        <f t="shared" si="4"/>
        <v>284.24104711596163</v>
      </c>
      <c r="AM58" s="59">
        <f t="shared" si="5"/>
        <v>542.56350259643295</v>
      </c>
      <c r="AN58" s="59">
        <f ca="1">AVERAGE(OFFSET($AM$3,0,0,'Données projet'!$E$10+1,1))-AVERAGE(OFFSET($H$3,0,0,'Données projet'!$E$10+1,1))</f>
        <v>325.45940224919184</v>
      </c>
      <c r="AO58" s="59">
        <f t="shared" si="36"/>
        <v>256.30046621034876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8.0109069654837217</v>
      </c>
      <c r="AV58" s="21">
        <f>EXP(-LN(2)/25)*AV57+(1-EXP(-LN(2)/25))/(LN(2)/25)*Calculateur!AQ58*Calculateur!AS58*VLOOKUP('Données projet'!$B$10,Paramètres!$A$1:$I$89,3,0)*0.475*44/12</f>
        <v>11.441123514276603</v>
      </c>
      <c r="AW58" s="21">
        <f>EXP(-LN(2)/2)*AW57+(1-EXP(-LN(2)/2))/(LN(2)/2)*AQ58*AT58*VLOOKUP('Données projet'!$B$10,Paramètres!$A$1:$I$89,3,0)*0.475*44/12</f>
        <v>5.1134404905605511</v>
      </c>
      <c r="AX58" s="21">
        <f t="shared" si="6"/>
        <v>24.565470970320874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3.3603333333333336</v>
      </c>
      <c r="BD58" s="12">
        <f>IF('Données projet'!$A$88&gt;35,BD57+BC58-BL57,IF(A58&lt;'Données projet'!$A$88,$BA$205^A58,IF(A58='Données projet'!$A$88,'Données projet'!$B$88,BD57+BC58-BL57)))</f>
        <v>184.81833333333324</v>
      </c>
      <c r="BE58" s="13">
        <f>BD58*VLOOKUP('Données projet'!$B$11,Paramètres!$A$1:$I$89,3,0)*VLOOKUP('Données projet'!$B$11,Paramètres!$A$1:$I$89,5,0)</f>
        <v>187.40578999999991</v>
      </c>
      <c r="BF58" s="13">
        <f t="shared" si="37"/>
        <v>46.96595175625901</v>
      </c>
      <c r="BG58" s="20">
        <f t="shared" si="7"/>
        <v>408.19745022548432</v>
      </c>
      <c r="BH58" s="59">
        <f t="shared" si="8"/>
        <v>666.51990570595569</v>
      </c>
      <c r="BI58" s="59">
        <f ca="1">AVERAGE(OFFSET($BH$3,0,0,'Données projet'!$E$11+1,1))-AVERAGE(OFFSET($H$3,0,0,'Données projet'!$E$11+1,1))</f>
        <v>580.02848304986492</v>
      </c>
      <c r="BJ58" s="59">
        <f t="shared" si="38"/>
        <v>281.68891895586728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0</v>
      </c>
      <c r="BQ58" s="21">
        <f>EXP(-LN(2)/25)*BQ57+(1-EXP(-LN(2)/25))/(LN(2)/25)*Calculateur!BL58*Calculateur!BN58*VLOOKUP('Données projet'!$B$11,Paramètres!$A$1:$I$89,3,0)*0.475*44/12</f>
        <v>0</v>
      </c>
      <c r="BR58" s="21">
        <f>EXP(-LN(2)/2)*BR57+(1-EXP(-LN(2)/2))/(LN(2)/2)*BL58*BO58*VLOOKUP('Données projet'!$B$11,Paramètres!$A$1:$I$89,3,0)*0.475*44/12</f>
        <v>0</v>
      </c>
      <c r="BS58" s="22">
        <f t="shared" si="9"/>
        <v>0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>
        <f>VLOOKUP(A58,'Données projet'!$A$113:$I$133,2,0)</f>
        <v>279</v>
      </c>
      <c r="BW58" s="12">
        <f>VLOOKUP(A58,'Données projet'!$A$113:$I$133,9,0)</f>
        <v>7.4</v>
      </c>
      <c r="BX58" s="12">
        <f t="array" ref="BX58">INDEX(BW:BW,MIN(IF(ISNUMBER(BW58:BW254),ROW(BW58:BW254),"")))</f>
        <v>7.4</v>
      </c>
      <c r="BY58" s="12">
        <f>IF('Données projet'!$A$114&gt;35,BY57+BX58-CG57,IF(A58&lt;'Données projet'!$A$114,$BV$205^A58,IF(A58='Données projet'!$A$114,'Données projet'!$B$114,BY57+BX58-CG57)))</f>
        <v>278.99999999999994</v>
      </c>
      <c r="BZ58" s="13">
        <f>BY58*VLOOKUP('Données projet'!$B$12,Paramètres!$A$1:$I$89,3,0)*VLOOKUP('Données projet'!$B$12,Paramètres!$A$1:$I$89,5,0)</f>
        <v>265.49639999999994</v>
      </c>
      <c r="CA58" s="13">
        <f t="shared" si="39"/>
        <v>63.892558047989588</v>
      </c>
      <c r="CB58" s="20">
        <f t="shared" si="10"/>
        <v>573.68576860024848</v>
      </c>
      <c r="CC58" s="59">
        <f t="shared" si="11"/>
        <v>832.00822408071986</v>
      </c>
      <c r="CD58" s="59">
        <f ca="1">AVERAGE(OFFSET($CC$3,0,0,'Données projet'!$E$12+1,1))-AVERAGE(OFFSET($H$3,0,0,'Données projet'!$E$12+1,1))</f>
        <v>439.15394290667945</v>
      </c>
      <c r="CE58" s="59">
        <f t="shared" si="40"/>
        <v>423.56554025351068</v>
      </c>
      <c r="CF58" s="15">
        <f>IF(ISNA(VLOOKUP(A58,'Données projet'!$A$113:$I$133,3,0)),0,VLOOKUP(A58,'Données projet'!$A$113:$I$133,3,0))</f>
        <v>9</v>
      </c>
      <c r="CG58" s="15">
        <f>IF(ISNA(VLOOKUP(A58,'Données projet'!$A$113:$I$133,4,0)),0,VLOOKUP(A58,'Données projet'!$A$113:$I$133,4,0))</f>
        <v>16</v>
      </c>
      <c r="CH58" s="16">
        <f>IF(ISNA(VLOOKUP(A58,'Données projet'!$A$113:$I$133,5,0)),0%,VLOOKUP(A58,'Données projet'!$A$113:$I$133,5,0)*VLOOKUP('Données projet'!$B$12,Paramètres!$A$1:$I$89,7,0))</f>
        <v>0.1075</v>
      </c>
      <c r="CI58" s="16">
        <f>IF(ISNA(VLOOKUP(A58,'Données projet'!$A$113:$I$133,6,0)),0%,VLOOKUP(A58,'Données projet'!$A$113:$I$133,6,0)*VLOOKUP('Données projet'!$B$12,Paramètres!$A$1:$I$89,7,0))</f>
        <v>0.1075</v>
      </c>
      <c r="CJ58" s="16">
        <f>IF(ISNA(VLOOKUP(A58,'Données projet'!$A$113:$I$133,7,0)),0%,VLOOKUP(A58,'Données projet'!$A$113:$I$133,7,0))</f>
        <v>0.25</v>
      </c>
      <c r="CK58" s="21">
        <f>EXP(-LN(2)/35)*CK57+(1-EXP(-LN(2)/35))/(LN(2)/35)*CG58*CH58*VLOOKUP('Données projet'!$B$12,Paramètres!$A$1:$I$89,3,0)*0.475*44/12</f>
        <v>13.998692331994615</v>
      </c>
      <c r="CL58" s="21">
        <f>EXP(-LN(2)/25)*CL57+(1-EXP(-LN(2)/25))/(LN(2)/25)*Calculateur!CG58*Calculateur!CI58*VLOOKUP('Données projet'!$B$12,Paramètres!$A$1:$I$89,3,0)*0.475*44/12</f>
        <v>16.949760367227775</v>
      </c>
      <c r="CM58" s="21">
        <f>EXP(-LN(2)/2)*CM57+(1-EXP(-LN(2)/2))/(LN(2)/2)*CG58*CJ58*VLOOKUP('Données projet'!$B$12,Paramètres!$A$1:$I$89,3,0)*0.475*44/12</f>
        <v>4.5664308504124014</v>
      </c>
      <c r="CN58" s="22">
        <f t="shared" si="12"/>
        <v>35.514883549634789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>
        <f>VLOOKUP(A58,'Données projet'!$A$139:$I$159,2,0)</f>
        <v>279</v>
      </c>
      <c r="CR58" s="12">
        <f>VLOOKUP(A58,'Données projet'!$A$139:$I$159,9,0)</f>
        <v>7.4</v>
      </c>
      <c r="CS58" s="12">
        <f t="array" ref="CS58">INDEX(CR:CR,MIN(IF(ISNUMBER(CR58:CR254),ROW(CR58:CR254),"")))</f>
        <v>7.4</v>
      </c>
      <c r="CT58" s="12">
        <f>IF('Données projet'!$A$140&gt;35,CT57+CS58-DB57,IF(A58&lt;'Données projet'!$A$140,$CQ$205^A58,IF(A58='Données projet'!$A$140,'Données projet'!$B$140,CT57+CS58-DB57)))</f>
        <v>278.99999999999994</v>
      </c>
      <c r="CU58" s="17">
        <f>CT58*VLOOKUP('Données projet'!$B$13,Paramètres!$A$1:$I$89,3,0)*VLOOKUP('Données projet'!$B$13,Paramètres!$A$1:$I$89,5,0)</f>
        <v>243.73439999999997</v>
      </c>
      <c r="CV58" s="13">
        <f t="shared" si="41"/>
        <v>59.242281392848817</v>
      </c>
      <c r="CW58" s="20">
        <f t="shared" si="13"/>
        <v>527.68438675921152</v>
      </c>
      <c r="CX58" s="59">
        <f t="shared" si="14"/>
        <v>786.0068422396829</v>
      </c>
      <c r="CY58" s="59">
        <f ca="1">AVERAGE(OFFSET($CX$3,0,0,'Données projet'!$E$13+1,1))-AVERAGE(OFFSET($H$3,0,0,'Données projet'!$E$13+1,1))</f>
        <v>408.246209980743</v>
      </c>
      <c r="CZ58" s="59">
        <f t="shared" si="42"/>
        <v>394.10236303013903</v>
      </c>
      <c r="DA58" s="15">
        <f>IF(ISNA(VLOOKUP(A58,'Données projet'!$A$139:$I$159,3,0)),0,VLOOKUP(A58,'Données projet'!$A$139:$I$159,3,0))</f>
        <v>9</v>
      </c>
      <c r="DB58" s="15">
        <f>IF(ISNA(VLOOKUP(A58,'Données projet'!$A$139:$I$159,4,0)),0,VLOOKUP(A58,'Données projet'!$A$139:$I$159,4,0))</f>
        <v>16</v>
      </c>
      <c r="DC58" s="16">
        <f>IF(ISNA(VLOOKUP(A58,'Données projet'!$A$139:$I$159,5,0)),0%,VLOOKUP(A58,'Données projet'!$A$139:$I$159,5,0)*VLOOKUP('Données projet'!$B$13,Paramètres!$A$1:$I$89,7,0))</f>
        <v>0.13250000000000001</v>
      </c>
      <c r="DD58" s="16">
        <f>IF(ISNA(VLOOKUP(A58,'Données projet'!$A$139:$I$159,6,0)),0%,VLOOKUP(A58,'Données projet'!$A$139:$I$159,6,0)*VLOOKUP('Données projet'!$B$13,Paramètres!$A$1:$I$89,7,0))</f>
        <v>0.13250000000000001</v>
      </c>
      <c r="DE58" s="16">
        <f>IF(ISNA(VLOOKUP(A58,'Données projet'!$A$139:$I$159,7,0)),0%,VLOOKUP(A58,'Données projet'!$A$139:$I$159,7,0))</f>
        <v>0.25</v>
      </c>
      <c r="DF58" s="21">
        <f>EXP(-LN(2)/35)*DF57+(1-EXP(-LN(2)/35))/(LN(2)/35)*DB58*DC58*VLOOKUP('Données projet'!$B$13,Paramètres!$A$1:$I$89,3,0)*0.475*44/12</f>
        <v>15.839923309706451</v>
      </c>
      <c r="DG58" s="21">
        <f>EXP(-LN(2)/25)*DG57+(1-EXP(-LN(2)/25))/(LN(2)/25)*Calculateur!DB58*Calculateur!DD58*VLOOKUP('Données projet'!$B$13,Paramètres!$A$1:$I$89,3,0)*0.475*44/12</f>
        <v>19.179141734629059</v>
      </c>
      <c r="DH58" s="21">
        <f>EXP(-LN(2)/2)*DH57+(1-EXP(-LN(2)/2))/(LN(2)/2)*DB58*DE58*VLOOKUP('Données projet'!$B$13,Paramètres!$A$1:$I$89,3,0)*0.475*44/12</f>
        <v>4.1921332397228612</v>
      </c>
      <c r="DI58" s="22">
        <f t="shared" si="15"/>
        <v>39.211198284058376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>
        <f>VLOOKUP(A58,'Données projet'!$A$165:$I$185,2,0)</f>
        <v>279</v>
      </c>
      <c r="DM58" s="12">
        <f>VLOOKUP(A58,'Données projet'!$A$165:$I$185,9,0)</f>
        <v>7.4</v>
      </c>
      <c r="DN58" s="12">
        <f t="array" ref="DN58">INDEX(DM:DM,MIN(IF(ISNUMBER(DM58:DM254),ROW(DM58:DM254),"")))</f>
        <v>7.4</v>
      </c>
      <c r="DO58" s="12">
        <f>IF('Données projet'!$A$166&gt;35,DO57+DN58-DW57,IF(A58&lt;'Données projet'!$A$166,$DL$205^A58,IF(A58='Données projet'!$A$166,'Données projet'!$B$166,DO57+DN58-DW57)))</f>
        <v>278.99999999999994</v>
      </c>
      <c r="DP58" s="17">
        <f>DO58*VLOOKUP('Données projet'!$B$14,Paramètres!$A$1:$I$89,3,0)*VLOOKUP('Données projet'!$B$14,Paramètres!$A$1:$I$89,5,0)</f>
        <v>217.61999999999998</v>
      </c>
      <c r="DQ58" s="13">
        <f t="shared" si="43"/>
        <v>53.597277471320098</v>
      </c>
      <c r="DR58" s="20">
        <f t="shared" si="16"/>
        <v>472.37009159588246</v>
      </c>
      <c r="DS58" s="59">
        <f t="shared" si="17"/>
        <v>730.69254707635378</v>
      </c>
      <c r="DT58" s="59">
        <f ca="1">AVERAGE(OFFSET($DS$3,0,0,'Données projet'!$E$14+1,1))-AVERAGE(OFFSET($H$3,0,0,'Données projet'!$E$14+1,1))</f>
        <v>371.07993287480366</v>
      </c>
      <c r="DU58" s="59">
        <f t="shared" si="44"/>
        <v>358.67120540290637</v>
      </c>
      <c r="DV58" s="15">
        <f>IF(ISNA(VLOOKUP(A58,'Données projet'!$A$165:$I$185,3,0)),0,VLOOKUP(A58,'Données projet'!$A$165:$I$185,3,0))</f>
        <v>9</v>
      </c>
      <c r="DW58" s="15">
        <f>IF(ISNA(VLOOKUP(A58,'Données projet'!$A$165:$I$185,4,0)),0,VLOOKUP(A58,'Données projet'!$A$165:$I$185,4,0))</f>
        <v>16</v>
      </c>
      <c r="DX58" s="16">
        <f>IF(ISNA(VLOOKUP(A58,'Données projet'!$A$165:$I$185,5,0)),0%,VLOOKUP(A58,'Données projet'!$A$165:$I$185,5,0)*VLOOKUP('Données projet'!$B$14,Paramètres!$A$1:$I$89,7,0))</f>
        <v>0.1075</v>
      </c>
      <c r="DY58" s="16">
        <f>IF(ISNA(VLOOKUP(A58,'Données projet'!$A$165:$I$185,6,0)),0%,VLOOKUP(A58,'Données projet'!$A$165:$I$185,6,0)*VLOOKUP('Données projet'!$B$14,Paramètres!$A$1:$I$89,7,0))</f>
        <v>0.1075</v>
      </c>
      <c r="DZ58" s="16">
        <f>IF(ISNA(VLOOKUP(A58,'Données projet'!$A$165:$I$185,7,0)),0%,VLOOKUP(A58,'Données projet'!$A$165:$I$185,7,0))</f>
        <v>0.25</v>
      </c>
      <c r="EA58" s="21">
        <f>EXP(-LN(2)/35)*EA57+(1-EXP(-LN(2)/35))/(LN(2)/35)*DW58*DX58*VLOOKUP('Données projet'!$B$14,Paramètres!$A$1:$I$89,3,0)*0.475*44/12</f>
        <v>11.474337977044765</v>
      </c>
      <c r="EB58" s="21">
        <f>EXP(-LN(2)/25)*EB57+(1-EXP(-LN(2)/25))/(LN(2)/25)*Calculateur!DW58*Calculateur!DY58*VLOOKUP('Données projet'!$B$14,Paramètres!$A$1:$I$89,3,0)*0.475*44/12</f>
        <v>13.893246202645715</v>
      </c>
      <c r="EC58" s="21">
        <f>EXP(-LN(2)/2)*EC57+(1-EXP(-LN(2)/2))/(LN(2)/2)*DW58*DZ58*VLOOKUP('Données projet'!$B$14,Paramètres!$A$1:$I$89,3,0)*0.475*44/12</f>
        <v>3.7429761068954113</v>
      </c>
      <c r="ED58" s="22">
        <f t="shared" si="18"/>
        <v>29.110560286585894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45">
      <c r="A59" s="10">
        <f t="shared" si="31"/>
        <v>56</v>
      </c>
      <c r="B59" s="73">
        <f>'Scénario référence'!$B$16*5+'Scénario référence'!$B$17*0+'Scénario référence'!$B$18*5</f>
        <v>5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1">
        <f t="shared" si="32"/>
        <v>0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18.333333333333332</v>
      </c>
      <c r="H59" s="67">
        <f t="shared" si="1"/>
        <v>183.33333333333334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10.36375</v>
      </c>
      <c r="N59" s="13">
        <f>IF('Données projet'!$A$36&gt;35,N58+M59-V58,IF(A59&lt;'Données projet'!$A$36,$K$205^A59,IF(A59='Données projet'!$A$36,'Données projet'!$B$36,N58+M59-V58)))</f>
        <v>232.97250000000025</v>
      </c>
      <c r="O59" s="13">
        <f>N59*VLOOKUP('Données projet'!$B$9,Paramètres!$A$1:$I$89,3,0)*VLOOKUP('Données projet'!$B$9,Paramètres!$A$1:$I$89,5,0)</f>
        <v>210.7935180000002</v>
      </c>
      <c r="P59" s="13">
        <f t="shared" si="33"/>
        <v>52.108951264882847</v>
      </c>
      <c r="Q59" s="20">
        <f t="shared" si="53"/>
        <v>457.88846730300457</v>
      </c>
      <c r="R59" s="59">
        <f t="shared" si="0"/>
        <v>716.81828324162632</v>
      </c>
      <c r="S59" s="59">
        <f ca="1">AVERAGE(OFFSET($R$3,0,0,'Données projet'!$E$9+1,1))-AVERAGE(OFFSET($H$3,0,0,'Données projet'!$E$9+1,1))</f>
        <v>681.47578137804555</v>
      </c>
      <c r="T59" s="59">
        <f t="shared" si="34"/>
        <v>300.88511065995885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0</v>
      </c>
      <c r="AA59" s="21">
        <f>EXP(-LN(2)/25)*AA58+(1-EXP(-LN(2)/25))/(LN(2)/25)*Calculateur!V59*Calculateur!X59*VLOOKUP('Données projet'!$B$9,Paramètres!$A$1:$I$89,3,0)*0.475*44/12</f>
        <v>21.241377784854869</v>
      </c>
      <c r="AB59" s="21">
        <f>EXP(-LN(2)/2)*AB58+(1-EXP(-LN(2)/2))/(LN(2)/2)*V59*Y59*VLOOKUP('Données projet'!$B$9,Paramètres!$A$1:$I$89,3,0)*0.475*44/12</f>
        <v>0.86057279488890148</v>
      </c>
      <c r="AC59" s="22">
        <f t="shared" si="3"/>
        <v>22.101950579743772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12.346666666666669</v>
      </c>
      <c r="AI59" s="13">
        <f>IF('Données projet'!$A$62&gt;35,AI58+AH59-AQ58,IF(A59&lt;'Données projet'!$A$62,$AF$205^A59,IF(A59='Données projet'!$A$62,'Données projet'!$B$62,AI58+AH59-AQ58)))</f>
        <v>288.74333333333323</v>
      </c>
      <c r="AJ59" s="13">
        <f>AI59*VLOOKUP('Données projet'!$B$10,Paramètres!$A$1:$I$89,3,0)*VLOOKUP('Données projet'!$B$10,Paramètres!$A$1:$I$89,5,0)</f>
        <v>135.13187999999994</v>
      </c>
      <c r="AK59" s="13">
        <f t="shared" si="35"/>
        <v>35.179500890822183</v>
      </c>
      <c r="AL59" s="20">
        <f t="shared" si="4"/>
        <v>296.6256550515152</v>
      </c>
      <c r="AM59" s="59">
        <f t="shared" si="5"/>
        <v>555.55547099013688</v>
      </c>
      <c r="AN59" s="59">
        <f ca="1">AVERAGE(OFFSET($AM$3,0,0,'Données projet'!$E$10+1,1))-AVERAGE(OFFSET($H$3,0,0,'Données projet'!$E$10+1,1))</f>
        <v>325.45940224919184</v>
      </c>
      <c r="AO59" s="59">
        <f t="shared" si="36"/>
        <v>256.30046621034876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7.8538179660613654</v>
      </c>
      <c r="AV59" s="21">
        <f>EXP(-LN(2)/25)*AV58+(1-EXP(-LN(2)/25))/(LN(2)/25)*Calculateur!AQ59*Calculateur!AS59*VLOOKUP('Données projet'!$B$10,Paramètres!$A$1:$I$89,3,0)*0.475*44/12</f>
        <v>11.128265390116173</v>
      </c>
      <c r="AW59" s="21">
        <f>EXP(-LN(2)/2)*AW58+(1-EXP(-LN(2)/2))/(LN(2)/2)*AQ59*AT59*VLOOKUP('Données projet'!$B$10,Paramètres!$A$1:$I$89,3,0)*0.475*44/12</f>
        <v>3.6157484460692322</v>
      </c>
      <c r="AX59" s="21">
        <f t="shared" si="6"/>
        <v>22.597831802246773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3.3603333333333336</v>
      </c>
      <c r="BD59" s="12">
        <f>IF('Données projet'!$A$88&gt;35,BD58+BC59-BL58,IF(A59&lt;'Données projet'!$A$88,$BA$205^A59,IF(A59='Données projet'!$A$88,'Données projet'!$B$88,BD58+BC59-BL58)))</f>
        <v>188.17866666666657</v>
      </c>
      <c r="BE59" s="13">
        <f>BD59*VLOOKUP('Données projet'!$B$11,Paramètres!$A$1:$I$89,3,0)*VLOOKUP('Données projet'!$B$11,Paramètres!$A$1:$I$89,5,0)</f>
        <v>190.81316799999991</v>
      </c>
      <c r="BF59" s="13">
        <f t="shared" si="37"/>
        <v>47.719688040962872</v>
      </c>
      <c r="BG59" s="20">
        <f t="shared" si="7"/>
        <v>415.44472427134343</v>
      </c>
      <c r="BH59" s="59">
        <f t="shared" si="8"/>
        <v>674.37454020996518</v>
      </c>
      <c r="BI59" s="59">
        <f ca="1">AVERAGE(OFFSET($BH$3,0,0,'Données projet'!$E$11+1,1))-AVERAGE(OFFSET($H$3,0,0,'Données projet'!$E$11+1,1))</f>
        <v>580.02848304986492</v>
      </c>
      <c r="BJ59" s="59">
        <f t="shared" si="38"/>
        <v>281.68891895586728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0</v>
      </c>
      <c r="BQ59" s="21">
        <f>EXP(-LN(2)/25)*BQ58+(1-EXP(-LN(2)/25))/(LN(2)/25)*Calculateur!BL59*Calculateur!BN59*VLOOKUP('Données projet'!$B$11,Paramètres!$A$1:$I$89,3,0)*0.475*44/12</f>
        <v>0</v>
      </c>
      <c r="BR59" s="21">
        <f>EXP(-LN(2)/2)*BR58+(1-EXP(-LN(2)/2))/(LN(2)/2)*BL59*BO59*VLOOKUP('Données projet'!$B$11,Paramètres!$A$1:$I$89,3,0)*0.475*44/12</f>
        <v>0</v>
      </c>
      <c r="BS59" s="22">
        <f t="shared" si="9"/>
        <v>0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6.2</v>
      </c>
      <c r="BY59" s="12">
        <f>IF('Données projet'!$A$114&gt;35,BY58+BX59-CG58,IF(A59&lt;'Données projet'!$A$114,$BV$205^A59,IF(A59='Données projet'!$A$114,'Données projet'!$B$114,BY58+BX59-CG58)))</f>
        <v>269.19999999999993</v>
      </c>
      <c r="BZ59" s="13">
        <f>BY59*VLOOKUP('Données projet'!$B$12,Paramètres!$A$1:$I$89,3,0)*VLOOKUP('Données projet'!$B$12,Paramètres!$A$1:$I$89,5,0)</f>
        <v>256.17071999999996</v>
      </c>
      <c r="CA59" s="13">
        <f t="shared" si="39"/>
        <v>61.905426677256543</v>
      </c>
      <c r="CB59" s="20">
        <f t="shared" si="10"/>
        <v>553.9826221295549</v>
      </c>
      <c r="CC59" s="59">
        <f t="shared" si="11"/>
        <v>812.9124380681767</v>
      </c>
      <c r="CD59" s="59">
        <f ca="1">AVERAGE(OFFSET($CC$3,0,0,'Données projet'!$E$12+1,1))-AVERAGE(OFFSET($H$3,0,0,'Données projet'!$E$12+1,1))</f>
        <v>439.15394290667945</v>
      </c>
      <c r="CE59" s="59">
        <f t="shared" si="40"/>
        <v>423.56554025351068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13.72418651372343</v>
      </c>
      <c r="CL59" s="21">
        <f>EXP(-LN(2)/25)*CL58+(1-EXP(-LN(2)/25))/(LN(2)/25)*Calculateur!CG59*Calculateur!CI59*VLOOKUP('Données projet'!$B$12,Paramètres!$A$1:$I$89,3,0)*0.475*44/12</f>
        <v>16.486268278636771</v>
      </c>
      <c r="CM59" s="21">
        <f>EXP(-LN(2)/2)*CM58+(1-EXP(-LN(2)/2))/(LN(2)/2)*CG59*CJ59*VLOOKUP('Données projet'!$B$12,Paramètres!$A$1:$I$89,3,0)*0.475*44/12</f>
        <v>3.2289542201460621</v>
      </c>
      <c r="CN59" s="22">
        <f t="shared" si="12"/>
        <v>33.439409012506268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6.2</v>
      </c>
      <c r="CT59" s="12">
        <f>IF('Données projet'!$A$140&gt;35,CT58+CS59-DB58,IF(A59&lt;'Données projet'!$A$140,$CQ$205^A59,IF(A59='Données projet'!$A$140,'Données projet'!$B$140,CT58+CS59-DB58)))</f>
        <v>269.19999999999993</v>
      </c>
      <c r="CU59" s="17">
        <f>CT59*VLOOKUP('Données projet'!$B$13,Paramètres!$A$1:$I$89,3,0)*VLOOKUP('Données projet'!$B$13,Paramètres!$A$1:$I$89,5,0)</f>
        <v>235.17311999999998</v>
      </c>
      <c r="CV59" s="13">
        <f t="shared" si="41"/>
        <v>57.399778925799218</v>
      </c>
      <c r="CW59" s="20">
        <f t="shared" si="13"/>
        <v>509.56446562910031</v>
      </c>
      <c r="CX59" s="59">
        <f t="shared" si="14"/>
        <v>768.49428156772206</v>
      </c>
      <c r="CY59" s="59">
        <f ca="1">AVERAGE(OFFSET($CX$3,0,0,'Données projet'!$E$13+1,1))-AVERAGE(OFFSET($H$3,0,0,'Données projet'!$E$13+1,1))</f>
        <v>408.246209980743</v>
      </c>
      <c r="CZ59" s="59">
        <f t="shared" si="42"/>
        <v>394.10236303013903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>
        <f>EXP(-LN(2)/35)*DF58+(1-EXP(-LN(2)/35))/(LN(2)/35)*DB59*DC59*VLOOKUP('Données projet'!$B$13,Paramètres!$A$1:$I$89,3,0)*0.475*44/12</f>
        <v>15.529312075002343</v>
      </c>
      <c r="DG59" s="21">
        <f>EXP(-LN(2)/25)*DG58+(1-EXP(-LN(2)/25))/(LN(2)/25)*Calculateur!DB59*Calculateur!DD59*VLOOKUP('Données projet'!$B$13,Paramètres!$A$1:$I$89,3,0)*0.475*44/12</f>
        <v>18.654687095308397</v>
      </c>
      <c r="DH59" s="21">
        <f>EXP(-LN(2)/2)*DH58+(1-EXP(-LN(2)/2))/(LN(2)/2)*DB59*DE59*VLOOKUP('Données projet'!$B$13,Paramètres!$A$1:$I$89,3,0)*0.475*44/12</f>
        <v>2.9642858414455659</v>
      </c>
      <c r="DI59" s="22">
        <f t="shared" si="15"/>
        <v>37.148285011756307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6.2</v>
      </c>
      <c r="DO59" s="12">
        <f>IF('Données projet'!$A$166&gt;35,DO58+DN59-DW58,IF(A59&lt;'Données projet'!$A$166,$DL$205^A59,IF(A59='Données projet'!$A$166,'Données projet'!$B$166,DO58+DN59-DW58)))</f>
        <v>269.19999999999993</v>
      </c>
      <c r="DP59" s="17">
        <f>DO59*VLOOKUP('Données projet'!$B$14,Paramètres!$A$1:$I$89,3,0)*VLOOKUP('Données projet'!$B$14,Paramètres!$A$1:$I$89,5,0)</f>
        <v>209.97599999999994</v>
      </c>
      <c r="DQ59" s="13">
        <f t="shared" si="43"/>
        <v>51.930341059584151</v>
      </c>
      <c r="DR59" s="20">
        <f t="shared" si="16"/>
        <v>456.15354401210885</v>
      </c>
      <c r="DS59" s="59">
        <f t="shared" si="17"/>
        <v>715.0833599507306</v>
      </c>
      <c r="DT59" s="59">
        <f ca="1">AVERAGE(OFFSET($DS$3,0,0,'Données projet'!$E$14+1,1))-AVERAGE(OFFSET($H$3,0,0,'Données projet'!$E$14+1,1))</f>
        <v>371.07993287480366</v>
      </c>
      <c r="DU59" s="59">
        <f t="shared" si="44"/>
        <v>358.67120540290637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>
        <f>EXP(-LN(2)/35)*EA58+(1-EXP(-LN(2)/35))/(LN(2)/35)*DW59*DX59*VLOOKUP('Données projet'!$B$14,Paramètres!$A$1:$I$89,3,0)*0.475*44/12</f>
        <v>11.249333207970023</v>
      </c>
      <c r="EB59" s="21">
        <f>EXP(-LN(2)/25)*EB58+(1-EXP(-LN(2)/25))/(LN(2)/25)*Calculateur!DW59*Calculateur!DY59*VLOOKUP('Données projet'!$B$14,Paramètres!$A$1:$I$89,3,0)*0.475*44/12</f>
        <v>13.513334654620303</v>
      </c>
      <c r="EC59" s="21">
        <f>EXP(-LN(2)/2)*EC58+(1-EXP(-LN(2)/2))/(LN(2)/2)*DW59*DZ59*VLOOKUP('Données projet'!$B$14,Paramètres!$A$1:$I$89,3,0)*0.475*44/12</f>
        <v>2.6466837870049691</v>
      </c>
      <c r="ED59" s="22">
        <f t="shared" si="18"/>
        <v>27.409351649595294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45">
      <c r="A60" s="10">
        <f t="shared" si="31"/>
        <v>57</v>
      </c>
      <c r="B60" s="73">
        <f>'Scénario référence'!$B$16*5+'Scénario référence'!$B$17*0+'Scénario référence'!$B$18*5</f>
        <v>5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1">
        <f t="shared" si="32"/>
        <v>0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18.333333333333332</v>
      </c>
      <c r="H60" s="67">
        <f t="shared" si="1"/>
        <v>183.33333333333334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10.36375</v>
      </c>
      <c r="N60" s="13">
        <f>IF('Données projet'!$A$36&gt;35,N59+M60-V59,IF(A60&lt;'Données projet'!$A$36,$K$205^A60,IF(A60='Données projet'!$A$36,'Données projet'!$B$36,N59+M60-V59)))</f>
        <v>243.33625000000026</v>
      </c>
      <c r="O60" s="13">
        <f>N60*VLOOKUP('Données projet'!$B$9,Paramètres!$A$1:$I$89,3,0)*VLOOKUP('Données projet'!$B$9,Paramètres!$A$1:$I$89,5,0)</f>
        <v>220.17063900000025</v>
      </c>
      <c r="P60" s="13">
        <f t="shared" si="33"/>
        <v>54.151971590437505</v>
      </c>
      <c r="Q60" s="20">
        <f t="shared" si="53"/>
        <v>477.7785467783458</v>
      </c>
      <c r="R60" s="59">
        <f t="shared" si="0"/>
        <v>737.30518682902357</v>
      </c>
      <c r="S60" s="59">
        <f ca="1">AVERAGE(OFFSET($R$3,0,0,'Données projet'!$E$9+1,1))-AVERAGE(OFFSET($H$3,0,0,'Données projet'!$E$9+1,1))</f>
        <v>681.47578137804555</v>
      </c>
      <c r="T60" s="59">
        <f t="shared" si="34"/>
        <v>300.88511065995885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0</v>
      </c>
      <c r="AA60" s="21">
        <f>EXP(-LN(2)/25)*AA59+(1-EXP(-LN(2)/25))/(LN(2)/25)*Calculateur!V60*Calculateur!X60*VLOOKUP('Données projet'!$B$9,Paramètres!$A$1:$I$89,3,0)*0.475*44/12</f>
        <v>20.660531192292503</v>
      </c>
      <c r="AB60" s="21">
        <f>EXP(-LN(2)/2)*AB59+(1-EXP(-LN(2)/2))/(LN(2)/2)*V60*Y60*VLOOKUP('Données projet'!$B$9,Paramètres!$A$1:$I$89,3,0)*0.475*44/12</f>
        <v>0.60851685897060215</v>
      </c>
      <c r="AC60" s="22">
        <f t="shared" si="3"/>
        <v>21.269048051263105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12.346666666666669</v>
      </c>
      <c r="AI60" s="13">
        <f>IF('Données projet'!$A$62&gt;35,AI59+AH60-AQ59,IF(A60&lt;'Données projet'!$A$62,$AF$205^A60,IF(A60='Données projet'!$A$62,'Données projet'!$B$62,AI59+AH60-AQ59)))</f>
        <v>301.08999999999992</v>
      </c>
      <c r="AJ60" s="13">
        <f>AI60*VLOOKUP('Données projet'!$B$10,Paramètres!$A$1:$I$89,3,0)*VLOOKUP('Données projet'!$B$10,Paramètres!$A$1:$I$89,5,0)</f>
        <v>140.91011999999995</v>
      </c>
      <c r="AK60" s="13">
        <f t="shared" si="35"/>
        <v>36.505422512536292</v>
      </c>
      <c r="AL60" s="20">
        <f t="shared" si="4"/>
        <v>308.99873654266725</v>
      </c>
      <c r="AM60" s="59">
        <f t="shared" si="5"/>
        <v>568.52537659334496</v>
      </c>
      <c r="AN60" s="59">
        <f ca="1">AVERAGE(OFFSET($AM$3,0,0,'Données projet'!$E$10+1,1))-AVERAGE(OFFSET($H$3,0,0,'Données projet'!$E$10+1,1))</f>
        <v>325.45940224919184</v>
      </c>
      <c r="AO60" s="59">
        <f t="shared" si="36"/>
        <v>256.30046621034876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7.6998093861028529</v>
      </c>
      <c r="AV60" s="21">
        <f>EXP(-LN(2)/25)*AV59+(1-EXP(-LN(2)/25))/(LN(2)/25)*Calculateur!AQ60*Calculateur!AS60*VLOOKUP('Données projet'!$B$10,Paramètres!$A$1:$I$89,3,0)*0.475*44/12</f>
        <v>10.823962387813403</v>
      </c>
      <c r="AW60" s="21">
        <f>EXP(-LN(2)/2)*AW59+(1-EXP(-LN(2)/2))/(LN(2)/2)*AQ60*AT60*VLOOKUP('Données projet'!$B$10,Paramètres!$A$1:$I$89,3,0)*0.475*44/12</f>
        <v>2.556720245280276</v>
      </c>
      <c r="AX60" s="21">
        <f t="shared" si="6"/>
        <v>21.08049201919653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3.3603333333333336</v>
      </c>
      <c r="BD60" s="12">
        <f>IF('Données projet'!$A$88&gt;35,BD59+BC60-BL59,IF(A60&lt;'Données projet'!$A$88,$BA$205^A60,IF(A60='Données projet'!$A$88,'Données projet'!$B$88,BD59+BC60-BL59)))</f>
        <v>191.5389999999999</v>
      </c>
      <c r="BE60" s="13">
        <f>BD60*VLOOKUP('Données projet'!$B$11,Paramètres!$A$1:$I$89,3,0)*VLOOKUP('Données projet'!$B$11,Paramètres!$A$1:$I$89,5,0)</f>
        <v>194.22054599999993</v>
      </c>
      <c r="BF60" s="13">
        <f t="shared" si="37"/>
        <v>48.471859170137883</v>
      </c>
      <c r="BG60" s="20">
        <f t="shared" si="7"/>
        <v>422.68927233798996</v>
      </c>
      <c r="BH60" s="59">
        <f t="shared" si="8"/>
        <v>682.21591238866768</v>
      </c>
      <c r="BI60" s="59">
        <f ca="1">AVERAGE(OFFSET($BH$3,0,0,'Données projet'!$E$11+1,1))-AVERAGE(OFFSET($H$3,0,0,'Données projet'!$E$11+1,1))</f>
        <v>580.02848304986492</v>
      </c>
      <c r="BJ60" s="59">
        <f t="shared" si="38"/>
        <v>281.68891895586728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0</v>
      </c>
      <c r="BQ60" s="21">
        <f>EXP(-LN(2)/25)*BQ59+(1-EXP(-LN(2)/25))/(LN(2)/25)*Calculateur!BL60*Calculateur!BN60*VLOOKUP('Données projet'!$B$11,Paramètres!$A$1:$I$89,3,0)*0.475*44/12</f>
        <v>0</v>
      </c>
      <c r="BR60" s="21">
        <f>EXP(-LN(2)/2)*BR59+(1-EXP(-LN(2)/2))/(LN(2)/2)*BL60*BO60*VLOOKUP('Données projet'!$B$11,Paramètres!$A$1:$I$89,3,0)*0.475*44/12</f>
        <v>0</v>
      </c>
      <c r="BS60" s="22">
        <f t="shared" si="9"/>
        <v>0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6.2</v>
      </c>
      <c r="BY60" s="12">
        <f>IF('Données projet'!$A$114&gt;35,BY59+BX60-CG59,IF(A60&lt;'Données projet'!$A$114,$BV$205^A60,IF(A60='Données projet'!$A$114,'Données projet'!$B$114,BY59+BX60-CG59)))</f>
        <v>275.39999999999992</v>
      </c>
      <c r="BZ60" s="13">
        <f>BY60*VLOOKUP('Données projet'!$B$12,Paramètres!$A$1:$I$89,3,0)*VLOOKUP('Données projet'!$B$12,Paramètres!$A$1:$I$89,5,0)</f>
        <v>262.07063999999991</v>
      </c>
      <c r="CA60" s="13">
        <f t="shared" si="39"/>
        <v>63.163550751219262</v>
      </c>
      <c r="CB60" s="20">
        <f t="shared" si="10"/>
        <v>566.44954889170663</v>
      </c>
      <c r="CC60" s="59">
        <f t="shared" si="11"/>
        <v>825.9761889423844</v>
      </c>
      <c r="CD60" s="59">
        <f ca="1">AVERAGE(OFFSET($CC$3,0,0,'Données projet'!$E$12+1,1))-AVERAGE(OFFSET($H$3,0,0,'Données projet'!$E$12+1,1))</f>
        <v>439.15394290667945</v>
      </c>
      <c r="CE60" s="59">
        <f t="shared" si="40"/>
        <v>423.56554025351068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13.455063587116527</v>
      </c>
      <c r="CL60" s="21">
        <f>EXP(-LN(2)/25)*CL59+(1-EXP(-LN(2)/25))/(LN(2)/25)*Calculateur!CG60*Calculateur!CI60*VLOOKUP('Données projet'!$B$12,Paramètres!$A$1:$I$89,3,0)*0.475*44/12</f>
        <v>16.035450405582282</v>
      </c>
      <c r="CM60" s="21">
        <f>EXP(-LN(2)/2)*CM59+(1-EXP(-LN(2)/2))/(LN(2)/2)*CG60*CJ60*VLOOKUP('Données projet'!$B$12,Paramètres!$A$1:$I$89,3,0)*0.475*44/12</f>
        <v>2.2832154252062011</v>
      </c>
      <c r="CN60" s="22">
        <f t="shared" si="12"/>
        <v>31.77372941790501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6.2</v>
      </c>
      <c r="CT60" s="12">
        <f>IF('Données projet'!$A$140&gt;35,CT59+CS60-DB59,IF(A60&lt;'Données projet'!$A$140,$CQ$205^A60,IF(A60='Données projet'!$A$140,'Données projet'!$B$140,CT59+CS60-DB59)))</f>
        <v>275.39999999999992</v>
      </c>
      <c r="CU60" s="17">
        <f>CT60*VLOOKUP('Données projet'!$B$13,Paramètres!$A$1:$I$89,3,0)*VLOOKUP('Données projet'!$B$13,Paramètres!$A$1:$I$89,5,0)</f>
        <v>240.58943999999994</v>
      </c>
      <c r="CV60" s="13">
        <f t="shared" si="41"/>
        <v>58.56633325847811</v>
      </c>
      <c r="CW60" s="20">
        <f t="shared" si="13"/>
        <v>521.02963842518261</v>
      </c>
      <c r="CX60" s="59">
        <f t="shared" si="14"/>
        <v>780.55627847586038</v>
      </c>
      <c r="CY60" s="59">
        <f ca="1">AVERAGE(OFFSET($CX$3,0,0,'Données projet'!$E$13+1,1))-AVERAGE(OFFSET($H$3,0,0,'Données projet'!$E$13+1,1))</f>
        <v>408.246209980743</v>
      </c>
      <c r="CZ60" s="59">
        <f t="shared" si="42"/>
        <v>394.10236303013903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>
        <f>EXP(-LN(2)/35)*DF59+(1-EXP(-LN(2)/35))/(LN(2)/35)*DB60*DC60*VLOOKUP('Données projet'!$B$13,Paramètres!$A$1:$I$89,3,0)*0.475*44/12</f>
        <v>15.224791737156636</v>
      </c>
      <c r="DG60" s="21">
        <f>EXP(-LN(2)/25)*DG59+(1-EXP(-LN(2)/25))/(LN(2)/25)*Calculateur!DB60*Calculateur!DD60*VLOOKUP('Données projet'!$B$13,Paramètres!$A$1:$I$89,3,0)*0.475*44/12</f>
        <v>18.144573695679831</v>
      </c>
      <c r="DH60" s="21">
        <f>EXP(-LN(2)/2)*DH59+(1-EXP(-LN(2)/2))/(LN(2)/2)*DB60*DE60*VLOOKUP('Données projet'!$B$13,Paramètres!$A$1:$I$89,3,0)*0.475*44/12</f>
        <v>2.0960666198614311</v>
      </c>
      <c r="DI60" s="22">
        <f t="shared" si="15"/>
        <v>35.465432052697899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6.2</v>
      </c>
      <c r="DO60" s="12">
        <f>IF('Données projet'!$A$166&gt;35,DO59+DN60-DW59,IF(A60&lt;'Données projet'!$A$166,$DL$205^A60,IF(A60='Données projet'!$A$166,'Données projet'!$B$166,DO59+DN60-DW59)))</f>
        <v>275.39999999999992</v>
      </c>
      <c r="DP60" s="17">
        <f>DO60*VLOOKUP('Données projet'!$B$14,Paramètres!$A$1:$I$89,3,0)*VLOOKUP('Données projet'!$B$14,Paramètres!$A$1:$I$89,5,0)</f>
        <v>214.81199999999995</v>
      </c>
      <c r="DQ60" s="13">
        <f t="shared" si="43"/>
        <v>52.985738231738054</v>
      </c>
      <c r="DR60" s="20">
        <f t="shared" si="16"/>
        <v>466.41439408694367</v>
      </c>
      <c r="DS60" s="59">
        <f t="shared" si="17"/>
        <v>725.94103413762139</v>
      </c>
      <c r="DT60" s="59">
        <f ca="1">AVERAGE(OFFSET($DS$3,0,0,'Données projet'!$E$14+1,1))-AVERAGE(OFFSET($H$3,0,0,'Données projet'!$E$14+1,1))</f>
        <v>371.07993287480366</v>
      </c>
      <c r="DU60" s="59">
        <f t="shared" si="44"/>
        <v>358.67120540290637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>
        <f>EXP(-LN(2)/35)*EA59+(1-EXP(-LN(2)/35))/(LN(2)/35)*DW60*DX60*VLOOKUP('Données projet'!$B$14,Paramètres!$A$1:$I$89,3,0)*0.475*44/12</f>
        <v>11.02874064517748</v>
      </c>
      <c r="EB60" s="21">
        <f>EXP(-LN(2)/25)*EB59+(1-EXP(-LN(2)/25))/(LN(2)/25)*Calculateur!DW60*Calculateur!DY60*VLOOKUP('Données projet'!$B$14,Paramètres!$A$1:$I$89,3,0)*0.475*44/12</f>
        <v>13.143811807854327</v>
      </c>
      <c r="EC60" s="21">
        <f>EXP(-LN(2)/2)*EC59+(1-EXP(-LN(2)/2))/(LN(2)/2)*DW60*DZ60*VLOOKUP('Données projet'!$B$14,Paramètres!$A$1:$I$89,3,0)*0.475*44/12</f>
        <v>1.8714880534477059</v>
      </c>
      <c r="ED60" s="22">
        <f t="shared" si="18"/>
        <v>26.044040506479512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45">
      <c r="A61" s="10">
        <f t="shared" si="31"/>
        <v>58</v>
      </c>
      <c r="B61" s="73">
        <f>'Scénario référence'!$B$16*5+'Scénario référence'!$B$17*0+'Scénario référence'!$B$18*5</f>
        <v>5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1">
        <f t="shared" si="32"/>
        <v>0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18.333333333333332</v>
      </c>
      <c r="H61" s="67">
        <f t="shared" si="1"/>
        <v>183.33333333333334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>
        <f>VLOOKUP(A61,'Données projet'!$A$35:$I$55,2,0)</f>
        <v>253.7</v>
      </c>
      <c r="L61" s="12">
        <f>VLOOKUP(A61,'Données projet'!$A$35:$I$55,9,0)</f>
        <v>10.36375</v>
      </c>
      <c r="M61" s="12">
        <f t="array" ref="M61">INDEX(L:L,MIN(IF(ISNUMBER(L61:L257),ROW(L61:L257),"")))</f>
        <v>10.36375</v>
      </c>
      <c r="N61" s="13">
        <f>IF('Données projet'!$A$36&gt;35,N60+M61-V60,IF(A61&lt;'Données projet'!$A$36,$K$205^A61,IF(A61='Données projet'!$A$36,'Données projet'!$B$36,N60+M61-V60)))</f>
        <v>253.70000000000027</v>
      </c>
      <c r="O61" s="13">
        <f>N61*VLOOKUP('Données projet'!$B$9,Paramètres!$A$1:$I$89,3,0)*VLOOKUP('Données projet'!$B$9,Paramètres!$A$1:$I$89,5,0)</f>
        <v>229.54776000000027</v>
      </c>
      <c r="P61" s="13">
        <f t="shared" si="33"/>
        <v>56.184885471425758</v>
      </c>
      <c r="Q61" s="20">
        <f t="shared" si="53"/>
        <v>497.651024196067</v>
      </c>
      <c r="R61" s="59">
        <f t="shared" si="0"/>
        <v>757.76413479475536</v>
      </c>
      <c r="S61" s="59">
        <f ca="1">AVERAGE(OFFSET($R$3,0,0,'Données projet'!$E$9+1,1))-AVERAGE(OFFSET($H$3,0,0,'Données projet'!$E$9+1,1))</f>
        <v>681.47578137804555</v>
      </c>
      <c r="T61" s="59">
        <f t="shared" si="34"/>
        <v>300.88511065995885</v>
      </c>
      <c r="U61" s="15">
        <f>IF(ISNA(VLOOKUP(A61,'Données projet'!$A$35:$I$55,3,0)),0,VLOOKUP(A61,'Données projet'!$A$35:$I$55,3,0))</f>
        <v>3</v>
      </c>
      <c r="V61" s="15">
        <f>IF(ISNA(VLOOKUP(A61,'Données projet'!$A$35:$I$55,4,0)),0,VLOOKUP(A61,'Données projet'!$A$35:$I$55,4,0))</f>
        <v>47.789999999999992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0.34400000000000003</v>
      </c>
      <c r="Y61" s="16">
        <f>IF(ISNA(VLOOKUP(A61,'Données projet'!$A$35:$I$55,7,0)),0%,VLOOKUP(A61,'Données projet'!$A$35:$I$55,7,0))</f>
        <v>0.2</v>
      </c>
      <c r="Z61" s="21">
        <f>EXP(-LN(2)/35)*Z60+(1-EXP(-LN(2)/35))/(LN(2)/35)*V61*W61*VLOOKUP('Données projet'!$B$9,Paramètres!$A$1:$I$89,3,0)*0.475*44/12</f>
        <v>0</v>
      </c>
      <c r="AA61" s="21">
        <f>EXP(-LN(2)/25)*AA60+(1-EXP(-LN(2)/25))/(LN(2)/25)*Calculateur!V61*Calculateur!X61*VLOOKUP('Données projet'!$B$9,Paramètres!$A$1:$I$89,3,0)*0.475*44/12</f>
        <v>36.474357978367649</v>
      </c>
      <c r="AB61" s="21">
        <f>EXP(-LN(2)/2)*AB60+(1-EXP(-LN(2)/2))/(LN(2)/2)*V61*Y61*VLOOKUP('Données projet'!$B$9,Paramètres!$A$1:$I$89,3,0)*0.475*44/12</f>
        <v>8.589981127461952</v>
      </c>
      <c r="AC61" s="22">
        <f t="shared" si="3"/>
        <v>45.064339105829603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12.346666666666669</v>
      </c>
      <c r="AI61" s="13">
        <f>IF('Données projet'!$A$62&gt;35,AI60+AH61-AQ60,IF(A61&lt;'Données projet'!$A$62,$AF$205^A61,IF(A61='Données projet'!$A$62,'Données projet'!$B$62,AI60+AH61-AQ60)))</f>
        <v>313.43666666666661</v>
      </c>
      <c r="AJ61" s="13">
        <f>AI61*VLOOKUP('Données projet'!$B$10,Paramètres!$A$1:$I$89,3,0)*VLOOKUP('Données projet'!$B$10,Paramètres!$A$1:$I$89,5,0)</f>
        <v>146.68835999999999</v>
      </c>
      <c r="AK61" s="13">
        <f t="shared" si="35"/>
        <v>37.82502850366479</v>
      </c>
      <c r="AL61" s="20">
        <f t="shared" si="4"/>
        <v>321.36081831054946</v>
      </c>
      <c r="AM61" s="59">
        <f t="shared" si="5"/>
        <v>581.47392890923788</v>
      </c>
      <c r="AN61" s="59">
        <f ca="1">AVERAGE(OFFSET($AM$3,0,0,'Données projet'!$E$10+1,1))-AVERAGE(OFFSET($H$3,0,0,'Données projet'!$E$10+1,1))</f>
        <v>325.45940224919184</v>
      </c>
      <c r="AO61" s="59">
        <f t="shared" si="36"/>
        <v>256.30046621034876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7.5488208204613683</v>
      </c>
      <c r="AV61" s="21">
        <f>EXP(-LN(2)/25)*AV60+(1-EXP(-LN(2)/25))/(LN(2)/25)*Calculateur!AQ61*Calculateur!AS61*VLOOKUP('Données projet'!$B$10,Paramètres!$A$1:$I$89,3,0)*0.475*44/12</f>
        <v>10.527980567111202</v>
      </c>
      <c r="AW61" s="21">
        <f>EXP(-LN(2)/2)*AW60+(1-EXP(-LN(2)/2))/(LN(2)/2)*AQ61*AT61*VLOOKUP('Données projet'!$B$10,Paramètres!$A$1:$I$89,3,0)*0.475*44/12</f>
        <v>1.8078742230346163</v>
      </c>
      <c r="AX61" s="21">
        <f t="shared" si="6"/>
        <v>19.884675610607186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3.3603333333333336</v>
      </c>
      <c r="BD61" s="12">
        <f>IF('Données projet'!$A$88&gt;35,BD60+BC61-BL60,IF(A61&lt;'Données projet'!$A$88,$BA$205^A61,IF(A61='Données projet'!$A$88,'Données projet'!$B$88,BD60+BC61-BL60)))</f>
        <v>194.89933333333323</v>
      </c>
      <c r="BE61" s="13">
        <f>BD61*VLOOKUP('Données projet'!$B$11,Paramètres!$A$1:$I$89,3,0)*VLOOKUP('Données projet'!$B$11,Paramètres!$A$1:$I$89,5,0)</f>
        <v>197.62792399999992</v>
      </c>
      <c r="BF61" s="13">
        <f t="shared" si="37"/>
        <v>49.222495770753348</v>
      </c>
      <c r="BG61" s="20">
        <f t="shared" si="7"/>
        <v>429.93114776739526</v>
      </c>
      <c r="BH61" s="59">
        <f t="shared" si="8"/>
        <v>690.04425836608368</v>
      </c>
      <c r="BI61" s="59">
        <f ca="1">AVERAGE(OFFSET($BH$3,0,0,'Données projet'!$E$11+1,1))-AVERAGE(OFFSET($H$3,0,0,'Données projet'!$E$11+1,1))</f>
        <v>580.02848304986492</v>
      </c>
      <c r="BJ61" s="59">
        <f t="shared" si="38"/>
        <v>281.68891895586728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0</v>
      </c>
      <c r="BQ61" s="21">
        <f>EXP(-LN(2)/25)*BQ60+(1-EXP(-LN(2)/25))/(LN(2)/25)*Calculateur!BL61*Calculateur!BN61*VLOOKUP('Données projet'!$B$11,Paramètres!$A$1:$I$89,3,0)*0.475*44/12</f>
        <v>0</v>
      </c>
      <c r="BR61" s="21">
        <f>EXP(-LN(2)/2)*BR60+(1-EXP(-LN(2)/2))/(LN(2)/2)*BL61*BO61*VLOOKUP('Données projet'!$B$11,Paramètres!$A$1:$I$89,3,0)*0.475*44/12</f>
        <v>0</v>
      </c>
      <c r="BS61" s="22">
        <f t="shared" si="9"/>
        <v>0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6.2</v>
      </c>
      <c r="BY61" s="12">
        <f>IF('Données projet'!$A$114&gt;35,BY60+BX61-CG60,IF(A61&lt;'Données projet'!$A$114,$BV$205^A61,IF(A61='Données projet'!$A$114,'Données projet'!$B$114,BY60+BX61-CG60)))</f>
        <v>281.59999999999991</v>
      </c>
      <c r="BZ61" s="13">
        <f>BY61*VLOOKUP('Données projet'!$B$12,Paramètres!$A$1:$I$89,3,0)*VLOOKUP('Données projet'!$B$12,Paramètres!$A$1:$I$89,5,0)</f>
        <v>267.97055999999992</v>
      </c>
      <c r="CA61" s="13">
        <f t="shared" si="39"/>
        <v>64.418381959040033</v>
      </c>
      <c r="CB61" s="20">
        <f t="shared" si="10"/>
        <v>578.91074057866115</v>
      </c>
      <c r="CC61" s="59">
        <f t="shared" si="11"/>
        <v>839.02385117734957</v>
      </c>
      <c r="CD61" s="59">
        <f ca="1">AVERAGE(OFFSET($CC$3,0,0,'Données projet'!$E$12+1,1))-AVERAGE(OFFSET($H$3,0,0,'Données projet'!$E$12+1,1))</f>
        <v>439.15394290667945</v>
      </c>
      <c r="CE61" s="59">
        <f t="shared" si="40"/>
        <v>423.56554025351068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13.191217996951607</v>
      </c>
      <c r="CL61" s="21">
        <f>EXP(-LN(2)/25)*CL60+(1-EXP(-LN(2)/25))/(LN(2)/25)*Calculateur!CG61*Calculateur!CI61*VLOOKUP('Données projet'!$B$12,Paramètres!$A$1:$I$89,3,0)*0.475*44/12</f>
        <v>15.596960170973947</v>
      </c>
      <c r="CM61" s="21">
        <f>EXP(-LN(2)/2)*CM60+(1-EXP(-LN(2)/2))/(LN(2)/2)*CG61*CJ61*VLOOKUP('Données projet'!$B$12,Paramètres!$A$1:$I$89,3,0)*0.475*44/12</f>
        <v>1.6144771100730315</v>
      </c>
      <c r="CN61" s="22">
        <f t="shared" si="12"/>
        <v>30.402655277998587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6.2</v>
      </c>
      <c r="CT61" s="12">
        <f>IF('Données projet'!$A$140&gt;35,CT60+CS61-DB60,IF(A61&lt;'Données projet'!$A$140,$CQ$205^A61,IF(A61='Données projet'!$A$140,'Données projet'!$B$140,CT60+CS61-DB60)))</f>
        <v>281.59999999999991</v>
      </c>
      <c r="CU61" s="17">
        <f>CT61*VLOOKUP('Données projet'!$B$13,Paramètres!$A$1:$I$89,3,0)*VLOOKUP('Données projet'!$B$13,Paramètres!$A$1:$I$89,5,0)</f>
        <v>246.00575999999995</v>
      </c>
      <c r="CV61" s="13">
        <f t="shared" si="41"/>
        <v>59.729834388897928</v>
      </c>
      <c r="CW61" s="20">
        <f t="shared" si="13"/>
        <v>532.48949356066385</v>
      </c>
      <c r="CX61" s="59">
        <f t="shared" si="14"/>
        <v>792.60260415935227</v>
      </c>
      <c r="CY61" s="59">
        <f ca="1">AVERAGE(OFFSET($CX$3,0,0,'Données projet'!$E$13+1,1))-AVERAGE(OFFSET($H$3,0,0,'Données projet'!$E$13+1,1))</f>
        <v>408.246209980743</v>
      </c>
      <c r="CZ61" s="59">
        <f t="shared" si="42"/>
        <v>394.10236303013903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>
        <f>EXP(-LN(2)/35)*DF60+(1-EXP(-LN(2)/35))/(LN(2)/35)*DB61*DC61*VLOOKUP('Données projet'!$B$13,Paramètres!$A$1:$I$89,3,0)*0.475*44/12</f>
        <v>14.926242857397018</v>
      </c>
      <c r="DG61" s="21">
        <f>EXP(-LN(2)/25)*DG60+(1-EXP(-LN(2)/25))/(LN(2)/25)*Calculateur!DB61*Calculateur!DD61*VLOOKUP('Données projet'!$B$13,Paramètres!$A$1:$I$89,3,0)*0.475*44/12</f>
        <v>17.648409373789807</v>
      </c>
      <c r="DH61" s="21">
        <f>EXP(-LN(2)/2)*DH60+(1-EXP(-LN(2)/2))/(LN(2)/2)*DB61*DE61*VLOOKUP('Données projet'!$B$13,Paramètres!$A$1:$I$89,3,0)*0.475*44/12</f>
        <v>1.4821429207227834</v>
      </c>
      <c r="DI61" s="22">
        <f t="shared" si="15"/>
        <v>34.056795151909611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6.2</v>
      </c>
      <c r="DO61" s="12">
        <f>IF('Données projet'!$A$166&gt;35,DO60+DN61-DW60,IF(A61&lt;'Données projet'!$A$166,$DL$205^A61,IF(A61='Données projet'!$A$166,'Données projet'!$B$166,DO60+DN61-DW60)))</f>
        <v>281.59999999999991</v>
      </c>
      <c r="DP61" s="17">
        <f>DO61*VLOOKUP('Données projet'!$B$14,Paramètres!$A$1:$I$89,3,0)*VLOOKUP('Données projet'!$B$14,Paramètres!$A$1:$I$89,5,0)</f>
        <v>219.64799999999994</v>
      </c>
      <c r="DQ61" s="13">
        <f t="shared" si="43"/>
        <v>54.03837313132572</v>
      </c>
      <c r="DR61" s="20">
        <f t="shared" si="16"/>
        <v>476.67043320372545</v>
      </c>
      <c r="DS61" s="59">
        <f t="shared" si="17"/>
        <v>736.78354380241387</v>
      </c>
      <c r="DT61" s="59">
        <f ca="1">AVERAGE(OFFSET($DS$3,0,0,'Données projet'!$E$14+1,1))-AVERAGE(OFFSET($H$3,0,0,'Données projet'!$E$14+1,1))</f>
        <v>371.07993287480366</v>
      </c>
      <c r="DU61" s="59">
        <f t="shared" si="44"/>
        <v>358.67120540290637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>
        <f>EXP(-LN(2)/35)*EA60+(1-EXP(-LN(2)/35))/(LN(2)/35)*DW61*DX61*VLOOKUP('Données projet'!$B$14,Paramètres!$A$1:$I$89,3,0)*0.475*44/12</f>
        <v>10.81247376799312</v>
      </c>
      <c r="EB61" s="21">
        <f>EXP(-LN(2)/25)*EB60+(1-EXP(-LN(2)/25))/(LN(2)/25)*Calculateur!DW61*Calculateur!DY61*VLOOKUP('Données projet'!$B$14,Paramètres!$A$1:$I$89,3,0)*0.475*44/12</f>
        <v>12.784393582765528</v>
      </c>
      <c r="EC61" s="21">
        <f>EXP(-LN(2)/2)*EC60+(1-EXP(-LN(2)/2))/(LN(2)/2)*DW61*DZ61*VLOOKUP('Données projet'!$B$14,Paramètres!$A$1:$I$89,3,0)*0.475*44/12</f>
        <v>1.3233418935024848</v>
      </c>
      <c r="ED61" s="22">
        <f t="shared" si="18"/>
        <v>24.920209244261134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45">
      <c r="A62" s="10">
        <f t="shared" si="31"/>
        <v>59</v>
      </c>
      <c r="B62" s="73">
        <f>'Scénario référence'!$B$16*5+'Scénario référence'!$B$17*0+'Scénario référence'!$B$18*5</f>
        <v>5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1">
        <f t="shared" si="32"/>
        <v>0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18.333333333333332</v>
      </c>
      <c r="H62" s="67">
        <f t="shared" si="1"/>
        <v>183.33333333333334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10.107499999999998</v>
      </c>
      <c r="N62" s="13">
        <f>IF('Données projet'!$A$36&gt;35,N61+M62-V61,IF(A62&lt;'Données projet'!$A$36,$K$205^A62,IF(A62='Données projet'!$A$36,'Données projet'!$B$36,N61+M62-V61)))</f>
        <v>216.0175000000003</v>
      </c>
      <c r="O62" s="13">
        <f>N62*VLOOKUP('Données projet'!$B$9,Paramètres!$A$1:$I$89,3,0)*VLOOKUP('Données projet'!$B$9,Paramètres!$A$1:$I$89,5,0)</f>
        <v>195.45263400000027</v>
      </c>
      <c r="P62" s="13">
        <f t="shared" si="33"/>
        <v>48.743460533300031</v>
      </c>
      <c r="Q62" s="20">
        <f t="shared" si="53"/>
        <v>425.3081979788314</v>
      </c>
      <c r="R62" s="59">
        <f t="shared" si="0"/>
        <v>685.99760517267418</v>
      </c>
      <c r="S62" s="59">
        <f ca="1">AVERAGE(OFFSET($R$3,0,0,'Données projet'!$E$9+1,1))-AVERAGE(OFFSET($H$3,0,0,'Données projet'!$E$9+1,1))</f>
        <v>681.47578137804555</v>
      </c>
      <c r="T62" s="59">
        <f t="shared" si="34"/>
        <v>300.88511065995885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0</v>
      </c>
      <c r="AA62" s="21">
        <f>EXP(-LN(2)/25)*AA61+(1-EXP(-LN(2)/25))/(LN(2)/25)*Calculateur!V62*Calculateur!X62*VLOOKUP('Données projet'!$B$9,Paramètres!$A$1:$I$89,3,0)*0.475*44/12</f>
        <v>35.476964741346066</v>
      </c>
      <c r="AB62" s="21">
        <f>EXP(-LN(2)/2)*AB61+(1-EXP(-LN(2)/2))/(LN(2)/2)*V62*Y62*VLOOKUP('Données projet'!$B$9,Paramètres!$A$1:$I$89,3,0)*0.475*44/12</f>
        <v>6.0740339054928114</v>
      </c>
      <c r="AC62" s="22">
        <f t="shared" si="3"/>
        <v>41.550998646838877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12.346666666666669</v>
      </c>
      <c r="AI62" s="13">
        <f>IF('Données projet'!$A$62&gt;35,AI61+AH62-AQ61,IF(A62&lt;'Données projet'!$A$62,$AF$205^A62,IF(A62='Données projet'!$A$62,'Données projet'!$B$62,AI61+AH62-AQ61)))</f>
        <v>325.7833333333333</v>
      </c>
      <c r="AJ62" s="13">
        <f>AI62*VLOOKUP('Données projet'!$B$10,Paramètres!$A$1:$I$89,3,0)*VLOOKUP('Données projet'!$B$10,Paramètres!$A$1:$I$89,5,0)</f>
        <v>152.46659999999997</v>
      </c>
      <c r="AK62" s="13">
        <f t="shared" si="35"/>
        <v>39.138596113258984</v>
      </c>
      <c r="AL62" s="20">
        <f t="shared" si="4"/>
        <v>333.71238323059265</v>
      </c>
      <c r="AM62" s="59">
        <f t="shared" si="5"/>
        <v>594.40179042443538</v>
      </c>
      <c r="AN62" s="59">
        <f ca="1">AVERAGE(OFFSET($AM$3,0,0,'Données projet'!$E$10+1,1))-AVERAGE(OFFSET($H$3,0,0,'Données projet'!$E$10+1,1))</f>
        <v>325.45940224919184</v>
      </c>
      <c r="AO62" s="59">
        <f t="shared" si="36"/>
        <v>256.30046621034876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7.4007930484981816</v>
      </c>
      <c r="AV62" s="21">
        <f>EXP(-LN(2)/25)*AV61+(1-EXP(-LN(2)/25))/(LN(2)/25)*Calculateur!AQ62*Calculateur!AS62*VLOOKUP('Données projet'!$B$10,Paramètres!$A$1:$I$89,3,0)*0.475*44/12</f>
        <v>10.240092384861111</v>
      </c>
      <c r="AW62" s="21">
        <f>EXP(-LN(2)/2)*AW61+(1-EXP(-LN(2)/2))/(LN(2)/2)*AQ62*AT62*VLOOKUP('Données projet'!$B$10,Paramètres!$A$1:$I$89,3,0)*0.475*44/12</f>
        <v>1.2783601226401382</v>
      </c>
      <c r="AX62" s="21">
        <f t="shared" si="6"/>
        <v>18.919245555999431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3.3603333333333336</v>
      </c>
      <c r="BD62" s="12">
        <f>IF('Données projet'!$A$88&gt;35,BD61+BC62-BL61,IF(A62&lt;'Données projet'!$A$88,$BA$205^A62,IF(A62='Données projet'!$A$88,'Données projet'!$B$88,BD61+BC62-BL61)))</f>
        <v>198.25966666666656</v>
      </c>
      <c r="BE62" s="13">
        <f>BD62*VLOOKUP('Données projet'!$B$11,Paramètres!$A$1:$I$89,3,0)*VLOOKUP('Données projet'!$B$11,Paramètres!$A$1:$I$89,5,0)</f>
        <v>201.03530199999992</v>
      </c>
      <c r="BF62" s="13">
        <f t="shared" si="37"/>
        <v>49.971627353166163</v>
      </c>
      <c r="BG62" s="20">
        <f t="shared" si="7"/>
        <v>437.17040195676424</v>
      </c>
      <c r="BH62" s="59">
        <f t="shared" si="8"/>
        <v>697.85980915060702</v>
      </c>
      <c r="BI62" s="59">
        <f ca="1">AVERAGE(OFFSET($BH$3,0,0,'Données projet'!$E$11+1,1))-AVERAGE(OFFSET($H$3,0,0,'Données projet'!$E$11+1,1))</f>
        <v>580.02848304986492</v>
      </c>
      <c r="BJ62" s="59">
        <f t="shared" si="38"/>
        <v>281.68891895586728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0</v>
      </c>
      <c r="BQ62" s="21">
        <f>EXP(-LN(2)/25)*BQ61+(1-EXP(-LN(2)/25))/(LN(2)/25)*Calculateur!BL62*Calculateur!BN62*VLOOKUP('Données projet'!$B$11,Paramètres!$A$1:$I$89,3,0)*0.475*44/12</f>
        <v>0</v>
      </c>
      <c r="BR62" s="21">
        <f>EXP(-LN(2)/2)*BR61+(1-EXP(-LN(2)/2))/(LN(2)/2)*BL62*BO62*VLOOKUP('Données projet'!$B$11,Paramètres!$A$1:$I$89,3,0)*0.475*44/12</f>
        <v>0</v>
      </c>
      <c r="BS62" s="22">
        <f t="shared" si="9"/>
        <v>0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6.2</v>
      </c>
      <c r="BY62" s="12">
        <f>IF('Données projet'!$A$114&gt;35,BY61+BX62-CG61,IF(A62&lt;'Données projet'!$A$114,$BV$205^A62,IF(A62='Données projet'!$A$114,'Données projet'!$B$114,BY61+BX62-CG61)))</f>
        <v>287.7999999999999</v>
      </c>
      <c r="BZ62" s="13">
        <f>BY62*VLOOKUP('Données projet'!$B$12,Paramètres!$A$1:$I$89,3,0)*VLOOKUP('Données projet'!$B$12,Paramètres!$A$1:$I$89,5,0)</f>
        <v>273.87047999999993</v>
      </c>
      <c r="CA62" s="13">
        <f t="shared" si="39"/>
        <v>65.67000114837785</v>
      </c>
      <c r="CB62" s="20">
        <f t="shared" si="10"/>
        <v>591.36633800009133</v>
      </c>
      <c r="CC62" s="59">
        <f t="shared" si="11"/>
        <v>852.05574519393417</v>
      </c>
      <c r="CD62" s="59">
        <f ca="1">AVERAGE(OFFSET($CC$3,0,0,'Données projet'!$E$12+1,1))-AVERAGE(OFFSET($H$3,0,0,'Données projet'!$E$12+1,1))</f>
        <v>439.15394290667945</v>
      </c>
      <c r="CE62" s="59">
        <f t="shared" si="40"/>
        <v>423.56554025351068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12.932546257879903</v>
      </c>
      <c r="CL62" s="21">
        <f>EXP(-LN(2)/25)*CL61+(1-EXP(-LN(2)/25))/(LN(2)/25)*Calculateur!CG62*Calculateur!CI62*VLOOKUP('Données projet'!$B$12,Paramètres!$A$1:$I$89,3,0)*0.475*44/12</f>
        <v>15.170460474890177</v>
      </c>
      <c r="CM62" s="21">
        <f>EXP(-LN(2)/2)*CM61+(1-EXP(-LN(2)/2))/(LN(2)/2)*CG62*CJ62*VLOOKUP('Données projet'!$B$12,Paramètres!$A$1:$I$89,3,0)*0.475*44/12</f>
        <v>1.1416077126031008</v>
      </c>
      <c r="CN62" s="22">
        <f t="shared" si="12"/>
        <v>29.24461444537318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6.2</v>
      </c>
      <c r="CT62" s="12">
        <f>IF('Données projet'!$A$140&gt;35,CT61+CS62-DB61,IF(A62&lt;'Données projet'!$A$140,$CQ$205^A62,IF(A62='Données projet'!$A$140,'Données projet'!$B$140,CT61+CS62-DB61)))</f>
        <v>287.7999999999999</v>
      </c>
      <c r="CU62" s="17">
        <f>CT62*VLOOKUP('Données projet'!$B$13,Paramètres!$A$1:$I$89,3,0)*VLOOKUP('Données projet'!$B$13,Paramètres!$A$1:$I$89,5,0)</f>
        <v>251.42207999999994</v>
      </c>
      <c r="CV62" s="13">
        <f t="shared" si="41"/>
        <v>60.890357280401872</v>
      </c>
      <c r="CW62" s="20">
        <f t="shared" si="13"/>
        <v>543.94416159669981</v>
      </c>
      <c r="CX62" s="59">
        <f t="shared" si="14"/>
        <v>804.63356879054254</v>
      </c>
      <c r="CY62" s="59">
        <f ca="1">AVERAGE(OFFSET($CX$3,0,0,'Données projet'!$E$13+1,1))-AVERAGE(OFFSET($H$3,0,0,'Données projet'!$E$13+1,1))</f>
        <v>408.246209980743</v>
      </c>
      <c r="CZ62" s="59">
        <f t="shared" si="42"/>
        <v>394.10236303013903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>
        <f>EXP(-LN(2)/35)*DF61+(1-EXP(-LN(2)/35))/(LN(2)/35)*DB62*DC62*VLOOKUP('Données projet'!$B$13,Paramètres!$A$1:$I$89,3,0)*0.475*44/12</f>
        <v>14.633548339072648</v>
      </c>
      <c r="DG62" s="21">
        <f>EXP(-LN(2)/25)*DG61+(1-EXP(-LN(2)/25))/(LN(2)/25)*Calculateur!DB62*Calculateur!DD62*VLOOKUP('Données projet'!$B$13,Paramètres!$A$1:$I$89,3,0)*0.475*44/12</f>
        <v>17.165812691374011</v>
      </c>
      <c r="DH62" s="21">
        <f>EXP(-LN(2)/2)*DH61+(1-EXP(-LN(2)/2))/(LN(2)/2)*DB62*DE62*VLOOKUP('Données projet'!$B$13,Paramètres!$A$1:$I$89,3,0)*0.475*44/12</f>
        <v>1.0480333099307158</v>
      </c>
      <c r="DI62" s="22">
        <f t="shared" si="15"/>
        <v>32.847394340377377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6.2</v>
      </c>
      <c r="DO62" s="12">
        <f>IF('Données projet'!$A$166&gt;35,DO61+DN62-DW61,IF(A62&lt;'Données projet'!$A$166,$DL$205^A62,IF(A62='Données projet'!$A$166,'Données projet'!$B$166,DO61+DN62-DW61)))</f>
        <v>287.7999999999999</v>
      </c>
      <c r="DP62" s="17">
        <f>DO62*VLOOKUP('Données projet'!$B$14,Paramètres!$A$1:$I$89,3,0)*VLOOKUP('Données projet'!$B$14,Paramètres!$A$1:$I$89,5,0)</f>
        <v>224.48399999999992</v>
      </c>
      <c r="DQ62" s="13">
        <f t="shared" si="43"/>
        <v>55.088313578677635</v>
      </c>
      <c r="DR62" s="20">
        <f t="shared" si="16"/>
        <v>486.92177948286343</v>
      </c>
      <c r="DS62" s="59">
        <f t="shared" si="17"/>
        <v>747.61118667670621</v>
      </c>
      <c r="DT62" s="59">
        <f ca="1">AVERAGE(OFFSET($DS$3,0,0,'Données projet'!$E$14+1,1))-AVERAGE(OFFSET($H$3,0,0,'Données projet'!$E$14+1,1))</f>
        <v>371.07993287480366</v>
      </c>
      <c r="DU62" s="59">
        <f t="shared" si="44"/>
        <v>358.67120540290637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>
        <f>EXP(-LN(2)/35)*EA61+(1-EXP(-LN(2)/35))/(LN(2)/35)*DW62*DX62*VLOOKUP('Données projet'!$B$14,Paramètres!$A$1:$I$89,3,0)*0.475*44/12</f>
        <v>10.600447752360576</v>
      </c>
      <c r="EB62" s="21">
        <f>EXP(-LN(2)/25)*EB61+(1-EXP(-LN(2)/25))/(LN(2)/25)*Calculateur!DW62*Calculateur!DY62*VLOOKUP('Données projet'!$B$14,Paramètres!$A$1:$I$89,3,0)*0.475*44/12</f>
        <v>12.434803667942765</v>
      </c>
      <c r="EC62" s="21">
        <f>EXP(-LN(2)/2)*EC61+(1-EXP(-LN(2)/2))/(LN(2)/2)*DW62*DZ62*VLOOKUP('Données projet'!$B$14,Paramètres!$A$1:$I$89,3,0)*0.475*44/12</f>
        <v>0.93574402672385304</v>
      </c>
      <c r="ED62" s="22">
        <f t="shared" si="18"/>
        <v>23.970995447027192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45">
      <c r="A63" s="10">
        <f t="shared" si="31"/>
        <v>60</v>
      </c>
      <c r="B63" s="73">
        <f>'Scénario référence'!$B$16*5+'Scénario référence'!$B$17*0+'Scénario référence'!$B$18*5</f>
        <v>5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1">
        <f t="shared" si="32"/>
        <v>0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18.333333333333332</v>
      </c>
      <c r="H63" s="67">
        <f t="shared" si="1"/>
        <v>183.33333333333334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10.107499999999998</v>
      </c>
      <c r="N63" s="13">
        <f>IF('Données projet'!$A$36&gt;35,N62+M63-V62,IF(A63&lt;'Données projet'!$A$36,$K$205^A63,IF(A63='Données projet'!$A$36,'Données projet'!$B$36,N62+M63-V62)))</f>
        <v>226.12500000000028</v>
      </c>
      <c r="O63" s="13">
        <f>N63*VLOOKUP('Données projet'!$B$9,Paramètres!$A$1:$I$89,3,0)*VLOOKUP('Données projet'!$B$9,Paramètres!$A$1:$I$89,5,0)</f>
        <v>204.59790000000024</v>
      </c>
      <c r="P63" s="13">
        <f t="shared" si="33"/>
        <v>50.753306398717811</v>
      </c>
      <c r="Q63" s="20">
        <f t="shared" si="53"/>
        <v>444.73668447776726</v>
      </c>
      <c r="R63" s="59">
        <f t="shared" si="0"/>
        <v>705.99239080924474</v>
      </c>
      <c r="S63" s="59">
        <f ca="1">AVERAGE(OFFSET($R$3,0,0,'Données projet'!$E$9+1,1))-AVERAGE(OFFSET($H$3,0,0,'Données projet'!$E$9+1,1))</f>
        <v>681.47578137804555</v>
      </c>
      <c r="T63" s="59">
        <f t="shared" si="34"/>
        <v>300.88511065995885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0</v>
      </c>
      <c r="AA63" s="21">
        <f>EXP(-LN(2)/25)*AA62+(1-EXP(-LN(2)/25))/(LN(2)/25)*Calculateur!V63*Calculateur!X63*VLOOKUP('Données projet'!$B$9,Paramètres!$A$1:$I$89,3,0)*0.475*44/12</f>
        <v>34.506845274841467</v>
      </c>
      <c r="AB63" s="21">
        <f>EXP(-LN(2)/2)*AB62+(1-EXP(-LN(2)/2))/(LN(2)/2)*V63*Y63*VLOOKUP('Données projet'!$B$9,Paramètres!$A$1:$I$89,3,0)*0.475*44/12</f>
        <v>4.294990563730976</v>
      </c>
      <c r="AC63" s="22">
        <f t="shared" si="3"/>
        <v>38.801835838572444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12.346666666666669</v>
      </c>
      <c r="AI63" s="13">
        <f>IF('Données projet'!$A$62&gt;35,AI62+AH63-AQ62,IF(A63&lt;'Données projet'!$A$62,$AF$205^A63,IF(A63='Données projet'!$A$62,'Données projet'!$B$62,AI62+AH63-AQ62)))</f>
        <v>338.13</v>
      </c>
      <c r="AJ63" s="13">
        <f>AI63*VLOOKUP('Données projet'!$B$10,Paramètres!$A$1:$I$89,3,0)*VLOOKUP('Données projet'!$B$10,Paramètres!$A$1:$I$89,5,0)</f>
        <v>158.24484000000001</v>
      </c>
      <c r="AK63" s="13">
        <f t="shared" si="35"/>
        <v>40.446380385466902</v>
      </c>
      <c r="AL63" s="20">
        <f t="shared" si="4"/>
        <v>346.05387550468822</v>
      </c>
      <c r="AM63" s="59">
        <f t="shared" si="5"/>
        <v>607.30958183616576</v>
      </c>
      <c r="AN63" s="59">
        <f ca="1">AVERAGE(OFFSET($AM$3,0,0,'Données projet'!$E$10+1,1))-AVERAGE(OFFSET($H$3,0,0,'Données projet'!$E$10+1,1))</f>
        <v>325.45940224919184</v>
      </c>
      <c r="AO63" s="59">
        <f t="shared" si="36"/>
        <v>256.30046621034876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7.2556680108551674</v>
      </c>
      <c r="AV63" s="21">
        <f>EXP(-LN(2)/25)*AV62+(1-EXP(-LN(2)/25))/(LN(2)/25)*Calculateur!AQ63*Calculateur!AS63*VLOOKUP('Données projet'!$B$10,Paramètres!$A$1:$I$89,3,0)*0.475*44/12</f>
        <v>9.9600765200940291</v>
      </c>
      <c r="AW63" s="21">
        <f>EXP(-LN(2)/2)*AW62+(1-EXP(-LN(2)/2))/(LN(2)/2)*AQ63*AT63*VLOOKUP('Données projet'!$B$10,Paramètres!$A$1:$I$89,3,0)*0.475*44/12</f>
        <v>0.90393711151730838</v>
      </c>
      <c r="AX63" s="21">
        <f t="shared" si="6"/>
        <v>18.119681642466503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>
        <f>VLOOKUP(A63,'Données projet'!$A$87:$I$107,2,0)</f>
        <v>201.62</v>
      </c>
      <c r="BB63" s="12">
        <f>VLOOKUP(A63,'Données projet'!$A$87:$I$107,9,0)</f>
        <v>3.3603333333333336</v>
      </c>
      <c r="BC63" s="12">
        <f t="array" ref="BC63">INDEX(BB:BB,MIN(IF(ISNUMBER(BB63:BB259),ROW(BB63:BB259),"")))</f>
        <v>3.3603333333333336</v>
      </c>
      <c r="BD63" s="12">
        <f>IF('Données projet'!$A$88&gt;35,BD62+BC63-BL62,IF(A63&lt;'Données projet'!$A$88,$BA$205^A63,IF(A63='Données projet'!$A$88,'Données projet'!$B$88,BD62+BC63-BL62)))</f>
        <v>201.61999999999989</v>
      </c>
      <c r="BE63" s="13">
        <f>BD63*VLOOKUP('Données projet'!$B$11,Paramètres!$A$1:$I$89,3,0)*VLOOKUP('Données projet'!$B$11,Paramètres!$A$1:$I$89,5,0)</f>
        <v>204.44267999999991</v>
      </c>
      <c r="BF63" s="13">
        <f t="shared" si="37"/>
        <v>50.719282370054088</v>
      </c>
      <c r="BG63" s="20">
        <f t="shared" si="7"/>
        <v>444.40708446117736</v>
      </c>
      <c r="BH63" s="59">
        <f t="shared" si="8"/>
        <v>705.66279079265485</v>
      </c>
      <c r="BI63" s="59">
        <f ca="1">AVERAGE(OFFSET($BH$3,0,0,'Données projet'!$E$11+1,1))-AVERAGE(OFFSET($H$3,0,0,'Données projet'!$E$11+1,1))</f>
        <v>580.02848304986492</v>
      </c>
      <c r="BJ63" s="59">
        <f t="shared" si="38"/>
        <v>281.68891895586728</v>
      </c>
      <c r="BK63" s="15">
        <f>IF(ISNA(VLOOKUP(A63,'Données projet'!$A$87:$I$107,3,0)),0,VLOOKUP(A63,'Données projet'!$A$87:$I$107,3,0))</f>
        <v>1</v>
      </c>
      <c r="BL63" s="15">
        <f>IF(ISNA(VLOOKUP(A63,'Données projet'!$A$87:$I$107,4,0)),0,VLOOKUP(A63,'Données projet'!$A$87:$I$107,4,0))</f>
        <v>72.87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0.34400000000000003</v>
      </c>
      <c r="BO63" s="16">
        <f>IF(ISNA(VLOOKUP(A63,'Données projet'!$A$87:$I$107,7,0)),0%,VLOOKUP(A63,'Données projet'!$A$87:$I$107,7,0))</f>
        <v>0.2</v>
      </c>
      <c r="BP63" s="21">
        <f>EXP(-LN(2)/35)*BP62+(1-EXP(-LN(2)/35))/(LN(2)/35)*BL63*BM63*VLOOKUP('Données projet'!$B$11,Paramètres!$A$1:$I$89,3,0)*0.475*44/12</f>
        <v>0</v>
      </c>
      <c r="BQ63" s="21">
        <f>EXP(-LN(2)/25)*BQ62+(1-EXP(-LN(2)/25))/(LN(2)/25)*Calculateur!BL63*Calculateur!BN63*VLOOKUP('Données projet'!$B$11,Paramètres!$A$1:$I$89,3,0)*0.475*44/12</f>
        <v>27.988454603390398</v>
      </c>
      <c r="BR63" s="21">
        <f>EXP(-LN(2)/2)*BR62+(1-EXP(-LN(2)/2))/(LN(2)/2)*BL63*BO63*VLOOKUP('Données projet'!$B$11,Paramètres!$A$1:$I$89,3,0)*0.475*44/12</f>
        <v>13.943474711007354</v>
      </c>
      <c r="BS63" s="22">
        <f t="shared" si="9"/>
        <v>41.931929314397749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>
        <f>VLOOKUP(A63,'Données projet'!$A$113:$I$133,2,0)</f>
        <v>294</v>
      </c>
      <c r="BW63" s="12">
        <f>VLOOKUP(A63,'Données projet'!$A$113:$I$133,9,0)</f>
        <v>6.2</v>
      </c>
      <c r="BX63" s="12">
        <f t="array" ref="BX63">INDEX(BW:BW,MIN(IF(ISNUMBER(BW63:BW259),ROW(BW63:BW259),"")))</f>
        <v>6.2</v>
      </c>
      <c r="BY63" s="12">
        <f>IF('Données projet'!$A$114&gt;35,BY62+BX63-CG62,IF(A63&lt;'Données projet'!$A$114,$BV$205^A63,IF(A63='Données projet'!$A$114,'Données projet'!$B$114,BY62+BX63-CG62)))</f>
        <v>293.99999999999989</v>
      </c>
      <c r="BZ63" s="13">
        <f>BY63*VLOOKUP('Données projet'!$B$12,Paramètres!$A$1:$I$89,3,0)*VLOOKUP('Données projet'!$B$12,Paramètres!$A$1:$I$89,5,0)</f>
        <v>279.77039999999988</v>
      </c>
      <c r="CA63" s="13">
        <f t="shared" si="39"/>
        <v>66.918485484562225</v>
      </c>
      <c r="CB63" s="20">
        <f t="shared" si="10"/>
        <v>603.81647555227892</v>
      </c>
      <c r="CC63" s="59">
        <f t="shared" si="11"/>
        <v>865.07218188375646</v>
      </c>
      <c r="CD63" s="59">
        <f ca="1">AVERAGE(OFFSET($CC$3,0,0,'Données projet'!$E$12+1,1))-AVERAGE(OFFSET($H$3,0,0,'Données projet'!$E$12+1,1))</f>
        <v>439.15394290667945</v>
      </c>
      <c r="CE63" s="59">
        <f t="shared" si="40"/>
        <v>423.56554025351068</v>
      </c>
      <c r="CF63" s="15">
        <f>IF(ISNA(VLOOKUP(A63,'Données projet'!$A$113:$I$133,3,0)),0,VLOOKUP(A63,'Données projet'!$A$113:$I$133,3,0))</f>
        <v>10</v>
      </c>
      <c r="CG63" s="15">
        <f>IF(ISNA(VLOOKUP(A63,'Données projet'!$A$113:$I$133,4,0)),0,VLOOKUP(A63,'Données projet'!$A$113:$I$133,4,0))</f>
        <v>14</v>
      </c>
      <c r="CH63" s="16">
        <f>IF(ISNA(VLOOKUP(A63,'Données projet'!$A$113:$I$133,5,0)),0%,VLOOKUP(A63,'Données projet'!$A$113:$I$133,5,0)*VLOOKUP('Données projet'!$B$12,Paramètres!$A$1:$I$89,7,0))</f>
        <v>0.1075</v>
      </c>
      <c r="CI63" s="16">
        <f>IF(ISNA(VLOOKUP(A63,'Données projet'!$A$113:$I$133,6,0)),0%,VLOOKUP(A63,'Données projet'!$A$113:$I$133,6,0)*VLOOKUP('Données projet'!$B$12,Paramètres!$A$1:$I$89,7,0))</f>
        <v>0.1075</v>
      </c>
      <c r="CJ63" s="16">
        <f>IF(ISNA(VLOOKUP(A63,'Données projet'!$A$113:$I$133,7,0)),0%,VLOOKUP(A63,'Données projet'!$A$113:$I$133,7,0))</f>
        <v>0.25</v>
      </c>
      <c r="CK63" s="21">
        <f>EXP(-LN(2)/35)*CK62+(1-EXP(-LN(2)/35))/(LN(2)/35)*CG63*CH63*VLOOKUP('Données projet'!$B$12,Paramètres!$A$1:$I$89,3,0)*0.475*44/12</f>
        <v>14.262155161648362</v>
      </c>
      <c r="CL63" s="21">
        <f>EXP(-LN(2)/25)*CL62+(1-EXP(-LN(2)/25))/(LN(2)/25)*Calculateur!CG63*Calculateur!CI63*VLOOKUP('Données projet'!$B$12,Paramètres!$A$1:$I$89,3,0)*0.475*44/12</f>
        <v>16.332597989114344</v>
      </c>
      <c r="CM63" s="21">
        <f>EXP(-LN(2)/2)*CM62+(1-EXP(-LN(2)/2))/(LN(2)/2)*CG63*CJ63*VLOOKUP('Données projet'!$B$12,Paramètres!$A$1:$I$89,3,0)*0.475*44/12</f>
        <v>3.949749296821222</v>
      </c>
      <c r="CN63" s="22">
        <f t="shared" si="12"/>
        <v>34.54450244758393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>
        <f>VLOOKUP(A63,'Données projet'!$A$139:$I$159,2,0)</f>
        <v>294</v>
      </c>
      <c r="CR63" s="12">
        <f>VLOOKUP(A63,'Données projet'!$A$139:$I$159,9,0)</f>
        <v>6.2</v>
      </c>
      <c r="CS63" s="12">
        <f t="array" ref="CS63">INDEX(CR:CR,MIN(IF(ISNUMBER(CR63:CR259),ROW(CR63:CR259),"")))</f>
        <v>6.2</v>
      </c>
      <c r="CT63" s="12">
        <f>IF('Données projet'!$A$140&gt;35,CT62+CS63-DB62,IF(A63&lt;'Données projet'!$A$140,$CQ$205^A63,IF(A63='Données projet'!$A$140,'Données projet'!$B$140,CT62+CS63-DB62)))</f>
        <v>293.99999999999989</v>
      </c>
      <c r="CU63" s="17">
        <f>CT63*VLOOKUP('Données projet'!$B$13,Paramètres!$A$1:$I$89,3,0)*VLOOKUP('Données projet'!$B$13,Paramètres!$A$1:$I$89,5,0)</f>
        <v>256.83839999999992</v>
      </c>
      <c r="CV63" s="13">
        <f t="shared" si="41"/>
        <v>62.047973482014044</v>
      </c>
      <c r="CW63" s="20">
        <f t="shared" si="13"/>
        <v>555.39376714784089</v>
      </c>
      <c r="CX63" s="59">
        <f t="shared" si="14"/>
        <v>816.64947347931843</v>
      </c>
      <c r="CY63" s="59">
        <f ca="1">AVERAGE(OFFSET($CX$3,0,0,'Données projet'!$E$13+1,1))-AVERAGE(OFFSET($H$3,0,0,'Données projet'!$E$13+1,1))</f>
        <v>408.246209980743</v>
      </c>
      <c r="CZ63" s="59">
        <f t="shared" si="42"/>
        <v>394.10236303013903</v>
      </c>
      <c r="DA63" s="15">
        <f>IF(ISNA(VLOOKUP(A63,'Données projet'!$A$139:$I$159,3,0)),0,VLOOKUP(A63,'Données projet'!$A$139:$I$159,3,0))</f>
        <v>10</v>
      </c>
      <c r="DB63" s="15">
        <f>IF(ISNA(VLOOKUP(A63,'Données projet'!$A$139:$I$159,4,0)),0,VLOOKUP(A63,'Données projet'!$A$139:$I$159,4,0))</f>
        <v>14</v>
      </c>
      <c r="DC63" s="16">
        <f>IF(ISNA(VLOOKUP(A63,'Données projet'!$A$139:$I$159,5,0)),0%,VLOOKUP(A63,'Données projet'!$A$139:$I$159,5,0)*VLOOKUP('Données projet'!$B$13,Paramètres!$A$1:$I$89,7,0))</f>
        <v>0.13250000000000001</v>
      </c>
      <c r="DD63" s="16">
        <f>IF(ISNA(VLOOKUP(A63,'Données projet'!$A$139:$I$159,6,0)),0%,VLOOKUP(A63,'Données projet'!$A$139:$I$159,6,0)*VLOOKUP('Données projet'!$B$13,Paramètres!$A$1:$I$89,7,0))</f>
        <v>0.13250000000000001</v>
      </c>
      <c r="DE63" s="16">
        <f>IF(ISNA(VLOOKUP(A63,'Données projet'!$A$139:$I$159,7,0)),0%,VLOOKUP(A63,'Données projet'!$A$139:$I$159,7,0))</f>
        <v>0.25</v>
      </c>
      <c r="DF63" s="21">
        <f>EXP(-LN(2)/35)*DF62+(1-EXP(-LN(2)/35))/(LN(2)/35)*DB63*DC63*VLOOKUP('Données projet'!$B$13,Paramètres!$A$1:$I$89,3,0)*0.475*44/12</f>
        <v>16.138039084930366</v>
      </c>
      <c r="DG63" s="21">
        <f>EXP(-LN(2)/25)*DG62+(1-EXP(-LN(2)/25))/(LN(2)/25)*Calculateur!DB63*Calculateur!DD63*VLOOKUP('Données projet'!$B$13,Paramètres!$A$1:$I$89,3,0)*0.475*44/12</f>
        <v>18.480804739493465</v>
      </c>
      <c r="DH63" s="21">
        <f>EXP(-LN(2)/2)*DH62+(1-EXP(-LN(2)/2))/(LN(2)/2)*DB63*DE63*VLOOKUP('Données projet'!$B$13,Paramètres!$A$1:$I$89,3,0)*0.475*44/12</f>
        <v>3.6259993544588274</v>
      </c>
      <c r="DI63" s="22">
        <f t="shared" si="15"/>
        <v>38.244843178882661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>
        <f>VLOOKUP(A63,'Données projet'!$A$165:$I$185,2,0)</f>
        <v>294</v>
      </c>
      <c r="DM63" s="12">
        <f>VLOOKUP(A63,'Données projet'!$A$165:$I$185,9,0)</f>
        <v>6.2</v>
      </c>
      <c r="DN63" s="12">
        <f t="array" ref="DN63">INDEX(DM:DM,MIN(IF(ISNUMBER(DM63:DM259),ROW(DM63:DM259),"")))</f>
        <v>6.2</v>
      </c>
      <c r="DO63" s="12">
        <f>IF('Données projet'!$A$166&gt;35,DO62+DN63-DW62,IF(A63&lt;'Données projet'!$A$166,$DL$205^A63,IF(A63='Données projet'!$A$166,'Données projet'!$B$166,DO62+DN63-DW62)))</f>
        <v>293.99999999999989</v>
      </c>
      <c r="DP63" s="17">
        <f>DO63*VLOOKUP('Données projet'!$B$14,Paramètres!$A$1:$I$89,3,0)*VLOOKUP('Données projet'!$B$14,Paramètres!$A$1:$I$89,5,0)</f>
        <v>229.31999999999991</v>
      </c>
      <c r="DQ63" s="13">
        <f t="shared" si="43"/>
        <v>56.135624305144574</v>
      </c>
      <c r="DR63" s="20">
        <f t="shared" si="16"/>
        <v>497.16854566479333</v>
      </c>
      <c r="DS63" s="59">
        <f t="shared" si="17"/>
        <v>758.42425199627087</v>
      </c>
      <c r="DT63" s="59">
        <f ca="1">AVERAGE(OFFSET($DS$3,0,0,'Données projet'!$E$14+1,1))-AVERAGE(OFFSET($H$3,0,0,'Données projet'!$E$14+1,1))</f>
        <v>371.07993287480366</v>
      </c>
      <c r="DU63" s="59">
        <f t="shared" si="44"/>
        <v>358.67120540290637</v>
      </c>
      <c r="DV63" s="15">
        <f>IF(ISNA(VLOOKUP(A63,'Données projet'!$A$165:$I$185,3,0)),0,VLOOKUP(A63,'Données projet'!$A$165:$I$185,3,0))</f>
        <v>10</v>
      </c>
      <c r="DW63" s="15">
        <f>IF(ISNA(VLOOKUP(A63,'Données projet'!$A$165:$I$185,4,0)),0,VLOOKUP(A63,'Données projet'!$A$165:$I$185,4,0))</f>
        <v>14</v>
      </c>
      <c r="DX63" s="16">
        <f>IF(ISNA(VLOOKUP(A63,'Données projet'!$A$165:$I$185,5,0)),0%,VLOOKUP(A63,'Données projet'!$A$165:$I$185,5,0)*VLOOKUP('Données projet'!$B$14,Paramètres!$A$1:$I$89,7,0))</f>
        <v>0.1075</v>
      </c>
      <c r="DY63" s="16">
        <f>IF(ISNA(VLOOKUP(A63,'Données projet'!$A$165:$I$185,6,0)),0%,VLOOKUP(A63,'Données projet'!$A$165:$I$185,6,0)*VLOOKUP('Données projet'!$B$14,Paramètres!$A$1:$I$89,7,0))</f>
        <v>0.1075</v>
      </c>
      <c r="DZ63" s="16">
        <f>IF(ISNA(VLOOKUP(A63,'Données projet'!$A$165:$I$185,7,0)),0%,VLOOKUP(A63,'Données projet'!$A$165:$I$185,7,0))</f>
        <v>0.25</v>
      </c>
      <c r="EA63" s="21">
        <f>EXP(-LN(2)/35)*EA62+(1-EXP(-LN(2)/35))/(LN(2)/35)*DW63*DX63*VLOOKUP('Données projet'!$B$14,Paramètres!$A$1:$I$89,3,0)*0.475*44/12</f>
        <v>11.690291116105216</v>
      </c>
      <c r="EB63" s="21">
        <f>EXP(-LN(2)/25)*EB62+(1-EXP(-LN(2)/25))/(LN(2)/25)*Calculateur!DW63*Calculateur!DY63*VLOOKUP('Données projet'!$B$14,Paramètres!$A$1:$I$89,3,0)*0.475*44/12</f>
        <v>13.387375400913394</v>
      </c>
      <c r="EC63" s="21">
        <f>EXP(-LN(2)/2)*EC62+(1-EXP(-LN(2)/2))/(LN(2)/2)*DW63*DZ63*VLOOKUP('Données projet'!$B$14,Paramètres!$A$1:$I$89,3,0)*0.475*44/12</f>
        <v>3.2374994236239525</v>
      </c>
      <c r="ED63" s="22">
        <f t="shared" si="18"/>
        <v>28.315165940642562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45">
      <c r="A64" s="10">
        <f t="shared" si="31"/>
        <v>61</v>
      </c>
      <c r="B64" s="73">
        <f>'Scénario référence'!$B$16*5+'Scénario référence'!$B$17*0+'Scénario référence'!$B$18*5</f>
        <v>5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1">
        <f t="shared" si="32"/>
        <v>0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18.333333333333332</v>
      </c>
      <c r="H64" s="67">
        <f t="shared" si="1"/>
        <v>183.33333333333334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10.107499999999998</v>
      </c>
      <c r="N64" s="13">
        <f>IF('Données projet'!$A$36&gt;35,N63+M64-V63,IF(A64&lt;'Données projet'!$A$36,$K$205^A64,IF(A64='Données projet'!$A$36,'Données projet'!$B$36,N63+M64-V63)))</f>
        <v>236.23250000000027</v>
      </c>
      <c r="O64" s="13">
        <f>N64*VLOOKUP('Données projet'!$B$9,Paramètres!$A$1:$I$89,3,0)*VLOOKUP('Données projet'!$B$9,Paramètres!$A$1:$I$89,5,0)</f>
        <v>213.74316600000023</v>
      </c>
      <c r="P64" s="13">
        <f t="shared" si="33"/>
        <v>52.752718660626023</v>
      </c>
      <c r="Q64" s="20">
        <f t="shared" si="53"/>
        <v>464.14699911725734</v>
      </c>
      <c r="R64" s="59">
        <f t="shared" si="0"/>
        <v>725.95918056238668</v>
      </c>
      <c r="S64" s="59">
        <f ca="1">AVERAGE(OFFSET($R$3,0,0,'Données projet'!$E$9+1,1))-AVERAGE(OFFSET($H$3,0,0,'Données projet'!$E$9+1,1))</f>
        <v>681.47578137804555</v>
      </c>
      <c r="T64" s="59">
        <f t="shared" si="34"/>
        <v>300.88511065995885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0</v>
      </c>
      <c r="AA64" s="21">
        <f>EXP(-LN(2)/25)*AA63+(1-EXP(-LN(2)/25))/(LN(2)/25)*Calculateur!V64*Calculateur!X64*VLOOKUP('Données projet'!$B$9,Paramètres!$A$1:$I$89,3,0)*0.475*44/12</f>
        <v>33.5632537761648</v>
      </c>
      <c r="AB64" s="21">
        <f>EXP(-LN(2)/2)*AB63+(1-EXP(-LN(2)/2))/(LN(2)/2)*V64*Y64*VLOOKUP('Données projet'!$B$9,Paramètres!$A$1:$I$89,3,0)*0.475*44/12</f>
        <v>3.0370169527464057</v>
      </c>
      <c r="AC64" s="22">
        <f t="shared" si="3"/>
        <v>36.600270728911205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12.346666666666669</v>
      </c>
      <c r="AI64" s="13">
        <f>IF('Données projet'!$A$62&gt;35,AI63+AH64-AQ63,IF(A64&lt;'Données projet'!$A$62,$AF$205^A64,IF(A64='Données projet'!$A$62,'Données projet'!$B$62,AI63+AH64-AQ63)))</f>
        <v>350.47666666666669</v>
      </c>
      <c r="AJ64" s="13">
        <f>AI64*VLOOKUP('Données projet'!$B$10,Paramètres!$A$1:$I$89,3,0)*VLOOKUP('Données projet'!$B$10,Paramètres!$A$1:$I$89,5,0)</f>
        <v>164.02307999999999</v>
      </c>
      <c r="AK64" s="13">
        <f t="shared" si="35"/>
        <v>41.748616683259272</v>
      </c>
      <c r="AL64" s="20">
        <f t="shared" si="4"/>
        <v>358.3857050566765</v>
      </c>
      <c r="AM64" s="59">
        <f t="shared" si="5"/>
        <v>620.1978865018059</v>
      </c>
      <c r="AN64" s="59">
        <f ca="1">AVERAGE(OFFSET($AM$3,0,0,'Données projet'!$E$10+1,1))-AVERAGE(OFFSET($H$3,0,0,'Données projet'!$E$10+1,1))</f>
        <v>325.45940224919184</v>
      </c>
      <c r="AO64" s="59">
        <f t="shared" si="36"/>
        <v>256.30046621034876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7.1133887866828003</v>
      </c>
      <c r="AV64" s="21">
        <f>EXP(-LN(2)/25)*AV63+(1-EXP(-LN(2)/25))/(LN(2)/25)*Calculateur!AQ64*Calculateur!AS64*VLOOKUP('Données projet'!$B$10,Paramètres!$A$1:$I$89,3,0)*0.475*44/12</f>
        <v>9.687717703874398</v>
      </c>
      <c r="AW64" s="21">
        <f>EXP(-LN(2)/2)*AW63+(1-EXP(-LN(2)/2))/(LN(2)/2)*AQ64*AT64*VLOOKUP('Données projet'!$B$10,Paramètres!$A$1:$I$89,3,0)*0.475*44/12</f>
        <v>0.63918006132006921</v>
      </c>
      <c r="AX64" s="21">
        <f t="shared" si="6"/>
        <v>17.440286551877268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6.8933333333333326</v>
      </c>
      <c r="BD64" s="12">
        <f>IF('Données projet'!$A$88&gt;35,BD63+BC64-BL63,IF(A64&lt;'Données projet'!$A$88,$BA$205^A64,IF(A64='Données projet'!$A$88,'Données projet'!$B$88,BD63+BC64-BL63)))</f>
        <v>135.64333333333323</v>
      </c>
      <c r="BE64" s="13">
        <f>BD64*VLOOKUP('Données projet'!$B$11,Paramètres!$A$1:$I$89,3,0)*VLOOKUP('Données projet'!$B$11,Paramètres!$A$1:$I$89,5,0)</f>
        <v>137.54233999999991</v>
      </c>
      <c r="BF64" s="13">
        <f t="shared" si="37"/>
        <v>35.733411083522441</v>
      </c>
      <c r="BG64" s="20">
        <f t="shared" si="7"/>
        <v>301.78859980380139</v>
      </c>
      <c r="BH64" s="59">
        <f t="shared" si="8"/>
        <v>563.60078124893073</v>
      </c>
      <c r="BI64" s="59">
        <f ca="1">AVERAGE(OFFSET($BH$3,0,0,'Données projet'!$E$11+1,1))-AVERAGE(OFFSET($H$3,0,0,'Données projet'!$E$11+1,1))</f>
        <v>580.02848304986492</v>
      </c>
      <c r="BJ64" s="59">
        <f t="shared" si="38"/>
        <v>281.68891895586728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0</v>
      </c>
      <c r="BQ64" s="21">
        <f>EXP(-LN(2)/25)*BQ63+(1-EXP(-LN(2)/25))/(LN(2)/25)*Calculateur!BL64*Calculateur!BN64*VLOOKUP('Données projet'!$B$11,Paramètres!$A$1:$I$89,3,0)*0.475*44/12</f>
        <v>27.223108840411829</v>
      </c>
      <c r="BR64" s="21">
        <f>EXP(-LN(2)/2)*BR63+(1-EXP(-LN(2)/2))/(LN(2)/2)*BL64*BO64*VLOOKUP('Données projet'!$B$11,Paramètres!$A$1:$I$89,3,0)*0.475*44/12</f>
        <v>9.8595255214564368</v>
      </c>
      <c r="BS64" s="22">
        <f t="shared" si="9"/>
        <v>37.082634361868266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5.2</v>
      </c>
      <c r="BY64" s="12">
        <f>IF('Données projet'!$A$114&gt;35,BY63+BX64-CG63,IF(A64&lt;'Données projet'!$A$114,$BV$205^A64,IF(A64='Données projet'!$A$114,'Données projet'!$B$114,BY63+BX64-CG63)))</f>
        <v>285.19999999999987</v>
      </c>
      <c r="BZ64" s="13">
        <f>BY64*VLOOKUP('Données projet'!$B$12,Paramètres!$A$1:$I$89,3,0)*VLOOKUP('Données projet'!$B$12,Paramètres!$A$1:$I$89,5,0)</f>
        <v>271.39631999999989</v>
      </c>
      <c r="CA64" s="13">
        <f t="shared" si="39"/>
        <v>65.145514611718866</v>
      </c>
      <c r="CB64" s="20">
        <f t="shared" si="10"/>
        <v>586.14369528207681</v>
      </c>
      <c r="CC64" s="59">
        <f t="shared" si="11"/>
        <v>847.95587672720615</v>
      </c>
      <c r="CD64" s="59">
        <f ca="1">AVERAGE(OFFSET($CC$3,0,0,'Données projet'!$E$12+1,1))-AVERAGE(OFFSET($H$3,0,0,'Données projet'!$E$12+1,1))</f>
        <v>439.15394290667945</v>
      </c>
      <c r="CE64" s="59">
        <f t="shared" si="40"/>
        <v>423.56554025351068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13.982482997984127</v>
      </c>
      <c r="CL64" s="21">
        <f>EXP(-LN(2)/25)*CL63+(1-EXP(-LN(2)/25))/(LN(2)/25)*Calculateur!CG64*Calculateur!CI64*VLOOKUP('Données projet'!$B$12,Paramètres!$A$1:$I$89,3,0)*0.475*44/12</f>
        <v>15.885982238208012</v>
      </c>
      <c r="CM64" s="21">
        <f>EXP(-LN(2)/2)*CM63+(1-EXP(-LN(2)/2))/(LN(2)/2)*CG64*CJ64*VLOOKUP('Données projet'!$B$12,Paramètres!$A$1:$I$89,3,0)*0.475*44/12</f>
        <v>2.792894511769084</v>
      </c>
      <c r="CN64" s="22">
        <f t="shared" si="12"/>
        <v>32.661359747961221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5.2</v>
      </c>
      <c r="CT64" s="12">
        <f>IF('Données projet'!$A$140&gt;35,CT63+CS64-DB63,IF(A64&lt;'Données projet'!$A$140,$CQ$205^A64,IF(A64='Données projet'!$A$140,'Données projet'!$B$140,CT63+CS64-DB63)))</f>
        <v>285.19999999999987</v>
      </c>
      <c r="CU64" s="17">
        <f>CT64*VLOOKUP('Données projet'!$B$13,Paramètres!$A$1:$I$89,3,0)*VLOOKUP('Données projet'!$B$13,Paramètres!$A$1:$I$89,5,0)</f>
        <v>249.15071999999989</v>
      </c>
      <c r="CV64" s="13">
        <f t="shared" si="41"/>
        <v>60.404044320946248</v>
      </c>
      <c r="CW64" s="20">
        <f t="shared" si="13"/>
        <v>539.1412145256478</v>
      </c>
      <c r="CX64" s="59">
        <f t="shared" si="14"/>
        <v>800.95339597077714</v>
      </c>
      <c r="CY64" s="59">
        <f ca="1">AVERAGE(OFFSET($CX$3,0,0,'Données projet'!$E$13+1,1))-AVERAGE(OFFSET($H$3,0,0,'Données projet'!$E$13+1,1))</f>
        <v>408.246209980743</v>
      </c>
      <c r="CZ64" s="59">
        <f t="shared" si="42"/>
        <v>394.10236303013903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>
        <f>EXP(-LN(2)/35)*DF63+(1-EXP(-LN(2)/35))/(LN(2)/35)*DB64*DC64*VLOOKUP('Données projet'!$B$13,Paramètres!$A$1:$I$89,3,0)*0.475*44/12</f>
        <v>15.821581981706785</v>
      </c>
      <c r="DG64" s="21">
        <f>EXP(-LN(2)/25)*DG63+(1-EXP(-LN(2)/25))/(LN(2)/25)*Calculateur!DB64*Calculateur!DD64*VLOOKUP('Données projet'!$B$13,Paramètres!$A$1:$I$89,3,0)*0.475*44/12</f>
        <v>17.975446162028732</v>
      </c>
      <c r="DH64" s="21">
        <f>EXP(-LN(2)/2)*DH63+(1-EXP(-LN(2)/2))/(LN(2)/2)*DB64*DE64*VLOOKUP('Données projet'!$B$13,Paramètres!$A$1:$I$89,3,0)*0.475*44/12</f>
        <v>2.5639687321158808</v>
      </c>
      <c r="DI64" s="22">
        <f t="shared" si="15"/>
        <v>36.360996875851399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5.2</v>
      </c>
      <c r="DO64" s="12">
        <f>IF('Données projet'!$A$166&gt;35,DO63+DN64-DW63,IF(A64&lt;'Données projet'!$A$166,$DL$205^A64,IF(A64='Données projet'!$A$166,'Données projet'!$B$166,DO63+DN64-DW63)))</f>
        <v>285.19999999999987</v>
      </c>
      <c r="DP64" s="17">
        <f>DO64*VLOOKUP('Données projet'!$B$14,Paramètres!$A$1:$I$89,3,0)*VLOOKUP('Données projet'!$B$14,Paramètres!$A$1:$I$89,5,0)</f>
        <v>222.4559999999999</v>
      </c>
      <c r="DQ64" s="13">
        <f t="shared" si="43"/>
        <v>54.648339796219815</v>
      </c>
      <c r="DR64" s="20">
        <f t="shared" si="16"/>
        <v>482.62339181174929</v>
      </c>
      <c r="DS64" s="59">
        <f t="shared" si="17"/>
        <v>744.43557325687857</v>
      </c>
      <c r="DT64" s="59">
        <f ca="1">AVERAGE(OFFSET($DS$3,0,0,'Données projet'!$E$14+1,1))-AVERAGE(OFFSET($H$3,0,0,'Données projet'!$E$14+1,1))</f>
        <v>371.07993287480366</v>
      </c>
      <c r="DU64" s="59">
        <f t="shared" si="44"/>
        <v>358.67120540290637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>
        <f>EXP(-LN(2)/35)*EA63+(1-EXP(-LN(2)/35))/(LN(2)/35)*DW64*DX64*VLOOKUP('Données projet'!$B$14,Paramètres!$A$1:$I$89,3,0)*0.475*44/12</f>
        <v>11.461051637691908</v>
      </c>
      <c r="EB64" s="21">
        <f>EXP(-LN(2)/25)*EB63+(1-EXP(-LN(2)/25))/(LN(2)/25)*Calculateur!DW64*Calculateur!DY64*VLOOKUP('Données projet'!$B$14,Paramètres!$A$1:$I$89,3,0)*0.475*44/12</f>
        <v>13.021296916563943</v>
      </c>
      <c r="EC64" s="21">
        <f>EXP(-LN(2)/2)*EC63+(1-EXP(-LN(2)/2))/(LN(2)/2)*DW64*DZ64*VLOOKUP('Données projet'!$B$14,Paramètres!$A$1:$I$89,3,0)*0.475*44/12</f>
        <v>2.289257796532036</v>
      </c>
      <c r="ED64" s="22">
        <f t="shared" si="18"/>
        <v>26.771606350787884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45">
      <c r="A65" s="10">
        <f t="shared" si="31"/>
        <v>62</v>
      </c>
      <c r="B65" s="73">
        <f>'Scénario référence'!$B$16*5+'Scénario référence'!$B$17*0+'Scénario référence'!$B$18*5</f>
        <v>5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1">
        <f t="shared" si="32"/>
        <v>0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18.333333333333332</v>
      </c>
      <c r="H65" s="67">
        <f t="shared" si="1"/>
        <v>183.33333333333334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10.107499999999998</v>
      </c>
      <c r="N65" s="13">
        <f>IF('Données projet'!$A$36&gt;35,N64+M65-V64,IF(A65&lt;'Données projet'!$A$36,$K$205^A65,IF(A65='Données projet'!$A$36,'Données projet'!$B$36,N64+M65-V64)))</f>
        <v>246.34000000000026</v>
      </c>
      <c r="O65" s="13">
        <f>N65*VLOOKUP('Données projet'!$B$9,Paramètres!$A$1:$I$89,3,0)*VLOOKUP('Données projet'!$B$9,Paramètres!$A$1:$I$89,5,0)</f>
        <v>222.88843200000022</v>
      </c>
      <c r="P65" s="13">
        <f t="shared" si="33"/>
        <v>54.74219476708182</v>
      </c>
      <c r="Q65" s="20">
        <f t="shared" si="53"/>
        <v>483.54000828600118</v>
      </c>
      <c r="R65" s="59">
        <f t="shared" si="0"/>
        <v>745.89901124565245</v>
      </c>
      <c r="S65" s="59">
        <f ca="1">AVERAGE(OFFSET($R$3,0,0,'Données projet'!$E$9+1,1))-AVERAGE(OFFSET($H$3,0,0,'Données projet'!$E$9+1,1))</f>
        <v>681.47578137804555</v>
      </c>
      <c r="T65" s="59">
        <f t="shared" si="34"/>
        <v>300.88511065995885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0</v>
      </c>
      <c r="AA65" s="21">
        <f>EXP(-LN(2)/25)*AA64+(1-EXP(-LN(2)/25))/(LN(2)/25)*Calculateur!V65*Calculateur!X65*VLOOKUP('Données projet'!$B$9,Paramètres!$A$1:$I$89,3,0)*0.475*44/12</f>
        <v>32.64546483664077</v>
      </c>
      <c r="AB65" s="21">
        <f>EXP(-LN(2)/2)*AB64+(1-EXP(-LN(2)/2))/(LN(2)/2)*V65*Y65*VLOOKUP('Données projet'!$B$9,Paramètres!$A$1:$I$89,3,0)*0.475*44/12</f>
        <v>2.147495281865488</v>
      </c>
      <c r="AC65" s="22">
        <f t="shared" si="3"/>
        <v>34.792960118506258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12.346666666666669</v>
      </c>
      <c r="AI65" s="13">
        <f>IF('Données projet'!$A$62&gt;35,AI64+AH65-AQ64,IF(A65&lt;'Données projet'!$A$62,$AF$205^A65,IF(A65='Données projet'!$A$62,'Données projet'!$B$62,AI64+AH65-AQ64)))</f>
        <v>362.82333333333338</v>
      </c>
      <c r="AJ65" s="13">
        <f>AI65*VLOOKUP('Données projet'!$B$10,Paramètres!$A$1:$I$89,3,0)*VLOOKUP('Données projet'!$B$10,Paramètres!$A$1:$I$89,5,0)</f>
        <v>169.80132</v>
      </c>
      <c r="AK65" s="13">
        <f t="shared" si="35"/>
        <v>43.045522846538063</v>
      </c>
      <c r="AL65" s="20">
        <f t="shared" si="4"/>
        <v>370.70825129105378</v>
      </c>
      <c r="AM65" s="59">
        <f t="shared" si="5"/>
        <v>633.0672542507051</v>
      </c>
      <c r="AN65" s="59">
        <f ca="1">AVERAGE(OFFSET($AM$3,0,0,'Données projet'!$E$10+1,1))-AVERAGE(OFFSET($H$3,0,0,'Données projet'!$E$10+1,1))</f>
        <v>325.45940224919184</v>
      </c>
      <c r="AO65" s="59">
        <f t="shared" si="36"/>
        <v>256.30046621034876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6.9738995713146954</v>
      </c>
      <c r="AV65" s="21">
        <f>EXP(-LN(2)/25)*AV64+(1-EXP(-LN(2)/25))/(LN(2)/25)*Calculateur!AQ65*Calculateur!AS65*VLOOKUP('Données projet'!$B$10,Paramètres!$A$1:$I$89,3,0)*0.475*44/12</f>
        <v>9.4228065538070194</v>
      </c>
      <c r="AW65" s="21">
        <f>EXP(-LN(2)/2)*AW64+(1-EXP(-LN(2)/2))/(LN(2)/2)*AQ65*AT65*VLOOKUP('Données projet'!$B$10,Paramètres!$A$1:$I$89,3,0)*0.475*44/12</f>
        <v>0.45196855575865424</v>
      </c>
      <c r="AX65" s="21">
        <f t="shared" si="6"/>
        <v>16.848674680880368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6.8933333333333326</v>
      </c>
      <c r="BD65" s="12">
        <f>IF('Données projet'!$A$88&gt;35,BD64+BC65-BL64,IF(A65&lt;'Données projet'!$A$88,$BA$205^A65,IF(A65='Données projet'!$A$88,'Données projet'!$B$88,BD64+BC65-BL64)))</f>
        <v>142.53666666666658</v>
      </c>
      <c r="BE65" s="13">
        <f>BD65*VLOOKUP('Données projet'!$B$11,Paramètres!$A$1:$I$89,3,0)*VLOOKUP('Données projet'!$B$11,Paramètres!$A$1:$I$89,5,0)</f>
        <v>144.5321799999999</v>
      </c>
      <c r="BF65" s="13">
        <f t="shared" si="37"/>
        <v>37.333331285279648</v>
      </c>
      <c r="BG65" s="20">
        <f t="shared" si="7"/>
        <v>316.74909882186188</v>
      </c>
      <c r="BH65" s="59">
        <f t="shared" si="8"/>
        <v>579.10810178151314</v>
      </c>
      <c r="BI65" s="59">
        <f ca="1">AVERAGE(OFFSET($BH$3,0,0,'Données projet'!$E$11+1,1))-AVERAGE(OFFSET($H$3,0,0,'Données projet'!$E$11+1,1))</f>
        <v>580.02848304986492</v>
      </c>
      <c r="BJ65" s="59">
        <f t="shared" si="38"/>
        <v>281.68891895586728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0</v>
      </c>
      <c r="BQ65" s="21">
        <f>EXP(-LN(2)/25)*BQ64+(1-EXP(-LN(2)/25))/(LN(2)/25)*Calculateur!BL65*Calculateur!BN65*VLOOKUP('Données projet'!$B$11,Paramètres!$A$1:$I$89,3,0)*0.475*44/12</f>
        <v>26.478691497569692</v>
      </c>
      <c r="BR65" s="21">
        <f>EXP(-LN(2)/2)*BR64+(1-EXP(-LN(2)/2))/(LN(2)/2)*BL65*BO65*VLOOKUP('Données projet'!$B$11,Paramètres!$A$1:$I$89,3,0)*0.475*44/12</f>
        <v>6.9717373555036781</v>
      </c>
      <c r="BS65" s="22">
        <f t="shared" si="9"/>
        <v>33.450428853073369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5.2</v>
      </c>
      <c r="BY65" s="12">
        <f>IF('Données projet'!$A$114&gt;35,BY64+BX65-CG64,IF(A65&lt;'Données projet'!$A$114,$BV$205^A65,IF(A65='Données projet'!$A$114,'Données projet'!$B$114,BY64+BX65-CG64)))</f>
        <v>290.39999999999986</v>
      </c>
      <c r="BZ65" s="13">
        <f>BY65*VLOOKUP('Données projet'!$B$12,Paramètres!$A$1:$I$89,3,0)*VLOOKUP('Données projet'!$B$12,Paramètres!$A$1:$I$89,5,0)</f>
        <v>276.34463999999991</v>
      </c>
      <c r="CA65" s="13">
        <f t="shared" si="39"/>
        <v>66.193936436046187</v>
      </c>
      <c r="CB65" s="20">
        <f t="shared" si="10"/>
        <v>596.58802062611369</v>
      </c>
      <c r="CC65" s="59">
        <f t="shared" si="11"/>
        <v>858.94702358576501</v>
      </c>
      <c r="CD65" s="59">
        <f ca="1">AVERAGE(OFFSET($CC$3,0,0,'Données projet'!$E$12+1,1))-AVERAGE(OFFSET($H$3,0,0,'Données projet'!$E$12+1,1))</f>
        <v>439.15394290667945</v>
      </c>
      <c r="CE65" s="59">
        <f t="shared" si="40"/>
        <v>423.56554025351068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13.70829503486617</v>
      </c>
      <c r="CL65" s="21">
        <f>EXP(-LN(2)/25)*CL64+(1-EXP(-LN(2)/25))/(LN(2)/25)*Calculateur!CG65*Calculateur!CI65*VLOOKUP('Données projet'!$B$12,Paramètres!$A$1:$I$89,3,0)*0.475*44/12</f>
        <v>15.451579218496716</v>
      </c>
      <c r="CM65" s="21">
        <f>EXP(-LN(2)/2)*CM64+(1-EXP(-LN(2)/2))/(LN(2)/2)*CG65*CJ65*VLOOKUP('Données projet'!$B$12,Paramètres!$A$1:$I$89,3,0)*0.475*44/12</f>
        <v>1.9748746484106112</v>
      </c>
      <c r="CN65" s="22">
        <f t="shared" si="12"/>
        <v>31.134748901773499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5.2</v>
      </c>
      <c r="CT65" s="12">
        <f>IF('Données projet'!$A$140&gt;35,CT64+CS65-DB64,IF(A65&lt;'Données projet'!$A$140,$CQ$205^A65,IF(A65='Données projet'!$A$140,'Données projet'!$B$140,CT64+CS65-DB64)))</f>
        <v>290.39999999999986</v>
      </c>
      <c r="CU65" s="17">
        <f>CT65*VLOOKUP('Données projet'!$B$13,Paramètres!$A$1:$I$89,3,0)*VLOOKUP('Données projet'!$B$13,Paramètres!$A$1:$I$89,5,0)</f>
        <v>253.69343999999992</v>
      </c>
      <c r="CV65" s="13">
        <f t="shared" si="41"/>
        <v>61.376159112289358</v>
      </c>
      <c r="CW65" s="20">
        <f t="shared" si="13"/>
        <v>548.74621845390379</v>
      </c>
      <c r="CX65" s="59">
        <f t="shared" si="14"/>
        <v>811.10522141355511</v>
      </c>
      <c r="CY65" s="59">
        <f ca="1">AVERAGE(OFFSET($CX$3,0,0,'Données projet'!$E$13+1,1))-AVERAGE(OFFSET($H$3,0,0,'Données projet'!$E$13+1,1))</f>
        <v>408.246209980743</v>
      </c>
      <c r="CZ65" s="59">
        <f t="shared" si="42"/>
        <v>394.10236303013903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>
        <f>EXP(-LN(2)/35)*DF64+(1-EXP(-LN(2)/35))/(LN(2)/35)*DB65*DC65*VLOOKUP('Données projet'!$B$13,Paramètres!$A$1:$I$89,3,0)*0.475*44/12</f>
        <v>15.511330409257646</v>
      </c>
      <c r="DG65" s="21">
        <f>EXP(-LN(2)/25)*DG64+(1-EXP(-LN(2)/25))/(LN(2)/25)*Calculateur!DB65*Calculateur!DD65*VLOOKUP('Données projet'!$B$13,Paramètres!$A$1:$I$89,3,0)*0.475*44/12</f>
        <v>17.483906641440427</v>
      </c>
      <c r="DH65" s="21">
        <f>EXP(-LN(2)/2)*DH64+(1-EXP(-LN(2)/2))/(LN(2)/2)*DB65*DE65*VLOOKUP('Données projet'!$B$13,Paramètres!$A$1:$I$89,3,0)*0.475*44/12</f>
        <v>1.8129996772294139</v>
      </c>
      <c r="DI65" s="22">
        <f t="shared" si="15"/>
        <v>34.808236727927486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5.2</v>
      </c>
      <c r="DO65" s="12">
        <f>IF('Données projet'!$A$166&gt;35,DO64+DN65-DW64,IF(A65&lt;'Données projet'!$A$166,$DL$205^A65,IF(A65='Données projet'!$A$166,'Données projet'!$B$166,DO64+DN65-DW64)))</f>
        <v>290.39999999999986</v>
      </c>
      <c r="DP65" s="17">
        <f>DO65*VLOOKUP('Données projet'!$B$14,Paramètres!$A$1:$I$89,3,0)*VLOOKUP('Données projet'!$B$14,Paramètres!$A$1:$I$89,5,0)</f>
        <v>226.51199999999992</v>
      </c>
      <c r="DQ65" s="13">
        <f t="shared" si="43"/>
        <v>55.527824937247495</v>
      </c>
      <c r="DR65" s="20">
        <f t="shared" si="16"/>
        <v>491.21936176570597</v>
      </c>
      <c r="DS65" s="59">
        <f t="shared" si="17"/>
        <v>753.57836472535723</v>
      </c>
      <c r="DT65" s="59">
        <f ca="1">AVERAGE(OFFSET($DS$3,0,0,'Données projet'!$E$14+1,1))-AVERAGE(OFFSET($H$3,0,0,'Données projet'!$E$14+1,1))</f>
        <v>371.07993287480366</v>
      </c>
      <c r="DU65" s="59">
        <f t="shared" si="44"/>
        <v>358.67120540290637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>
        <f>EXP(-LN(2)/35)*EA64+(1-EXP(-LN(2)/35))/(LN(2)/35)*DW65*DX65*VLOOKUP('Données projet'!$B$14,Paramètres!$A$1:$I$89,3,0)*0.475*44/12</f>
        <v>11.236307405628009</v>
      </c>
      <c r="EB65" s="21">
        <f>EXP(-LN(2)/25)*EB64+(1-EXP(-LN(2)/25))/(LN(2)/25)*Calculateur!DW65*Calculateur!DY65*VLOOKUP('Données projet'!$B$14,Paramètres!$A$1:$I$89,3,0)*0.475*44/12</f>
        <v>12.665228867620257</v>
      </c>
      <c r="EC65" s="21">
        <f>EXP(-LN(2)/2)*EC64+(1-EXP(-LN(2)/2))/(LN(2)/2)*DW65*DZ65*VLOOKUP('Données projet'!$B$14,Paramètres!$A$1:$I$89,3,0)*0.475*44/12</f>
        <v>1.6187497118119765</v>
      </c>
      <c r="ED65" s="22">
        <f t="shared" si="18"/>
        <v>25.520285985060244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45">
      <c r="A66" s="10">
        <f t="shared" si="31"/>
        <v>63</v>
      </c>
      <c r="B66" s="73">
        <f>'Scénario référence'!$B$16*5+'Scénario référence'!$B$17*0+'Scénario référence'!$B$18*5</f>
        <v>5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1">
        <f t="shared" si="32"/>
        <v>0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18.333333333333332</v>
      </c>
      <c r="H66" s="67">
        <f t="shared" si="1"/>
        <v>183.33333333333334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10.107499999999998</v>
      </c>
      <c r="N66" s="13">
        <f>IF('Données projet'!$A$36&gt;35,N65+M66-V65,IF(A66&lt;'Données projet'!$A$36,$K$205^A66,IF(A66='Données projet'!$A$36,'Données projet'!$B$36,N65+M66-V65)))</f>
        <v>256.44750000000028</v>
      </c>
      <c r="O66" s="13">
        <f>N66*VLOOKUP('Données projet'!$B$9,Paramètres!$A$1:$I$89,3,0)*VLOOKUP('Données projet'!$B$9,Paramètres!$A$1:$I$89,5,0)</f>
        <v>232.03369800000024</v>
      </c>
      <c r="P66" s="13">
        <f t="shared" si="33"/>
        <v>56.722189034958802</v>
      </c>
      <c r="Q66" s="20">
        <f t="shared" si="53"/>
        <v>502.91650325255364</v>
      </c>
      <c r="R66" s="59">
        <f t="shared" si="0"/>
        <v>765.81284159595975</v>
      </c>
      <c r="S66" s="59">
        <f ca="1">AVERAGE(OFFSET($R$3,0,0,'Données projet'!$E$9+1,1))-AVERAGE(OFFSET($H$3,0,0,'Données projet'!$E$9+1,1))</f>
        <v>681.47578137804555</v>
      </c>
      <c r="T66" s="59">
        <f t="shared" si="34"/>
        <v>300.88511065995885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0</v>
      </c>
      <c r="AA66" s="21">
        <f>EXP(-LN(2)/25)*AA65+(1-EXP(-LN(2)/25))/(LN(2)/25)*Calculateur!V66*Calculateur!X66*VLOOKUP('Données projet'!$B$9,Paramètres!$A$1:$I$89,3,0)*0.475*44/12</f>
        <v>31.752772883932444</v>
      </c>
      <c r="AB66" s="21">
        <f>EXP(-LN(2)/2)*AB65+(1-EXP(-LN(2)/2))/(LN(2)/2)*V66*Y66*VLOOKUP('Données projet'!$B$9,Paramètres!$A$1:$I$89,3,0)*0.475*44/12</f>
        <v>1.5185084763732029</v>
      </c>
      <c r="AC66" s="22">
        <f t="shared" si="3"/>
        <v>33.27128136030565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>
        <f>VLOOKUP(A66,'Données projet'!$A$61:$I$81,2,0)</f>
        <v>375.17</v>
      </c>
      <c r="AG66" s="12">
        <f>VLOOKUP(A66,'Données projet'!$A$61:$I$81,9,0)</f>
        <v>12.346666666666669</v>
      </c>
      <c r="AH66" s="12">
        <f t="array" ref="AH66">INDEX(AG:AG,MIN(IF(ISNUMBER(AG66:AG262),ROW(AG66:AG262),"")))</f>
        <v>12.346666666666669</v>
      </c>
      <c r="AI66" s="13">
        <f>IF('Données projet'!$A$62&gt;35,AI65+AH66-AQ65,IF(A66&lt;'Données projet'!$A$62,$AF$205^A66,IF(A66='Données projet'!$A$62,'Données projet'!$B$62,AI65+AH66-AQ65)))</f>
        <v>375.17000000000007</v>
      </c>
      <c r="AJ66" s="13">
        <f>AI66*VLOOKUP('Données projet'!$B$10,Paramètres!$A$1:$I$89,3,0)*VLOOKUP('Données projet'!$B$10,Paramètres!$A$1:$I$89,5,0)</f>
        <v>175.57956000000001</v>
      </c>
      <c r="AK66" s="13">
        <f t="shared" si="35"/>
        <v>44.337301048235936</v>
      </c>
      <c r="AL66" s="20">
        <f t="shared" si="4"/>
        <v>383.02186632567759</v>
      </c>
      <c r="AM66" s="59">
        <f t="shared" si="5"/>
        <v>645.91820466908371</v>
      </c>
      <c r="AN66" s="59">
        <f ca="1">AVERAGE(OFFSET($AM$3,0,0,'Données projet'!$E$10+1,1))-AVERAGE(OFFSET($H$3,0,0,'Données projet'!$E$10+1,1))</f>
        <v>325.45940224919184</v>
      </c>
      <c r="AO66" s="59">
        <f t="shared" si="36"/>
        <v>256.30046621034876</v>
      </c>
      <c r="AP66" s="15">
        <f>IF(ISNA(VLOOKUP(A66,'Données projet'!$A$61:$I$81,3,0)),0,VLOOKUP(A66,'Données projet'!$A$61:$I$81,3,0))</f>
        <v>2</v>
      </c>
      <c r="AQ66" s="15">
        <f>IF(ISNA(VLOOKUP(A66,'Données projet'!$A$61:$I$81,4,0)),0,VLOOKUP(A66,'Données projet'!$A$61:$I$81,4,0))</f>
        <v>115.59000000000003</v>
      </c>
      <c r="AR66" s="16">
        <f>IF(ISNA(VLOOKUP(A66,'Données projet'!$A$61:$I$81,5,0)),0%,VLOOKUP(A66,'Données projet'!$A$61:$I$81,5,0)*VLOOKUP('Données projet'!$B$10,Paramètres!$A$1:$I$89,7,0))</f>
        <v>0.33</v>
      </c>
      <c r="AS66" s="16">
        <f>IF(ISNA(VLOOKUP(A66,'Données projet'!$A$61:$I$81,6,0)),0%,VLOOKUP(A66,'Données projet'!$A$61:$I$81,6,0)*VLOOKUP('Données projet'!$B$10,Paramètres!$A$1:$I$89,7,0))</f>
        <v>0.11000000000000001</v>
      </c>
      <c r="AT66" s="16">
        <f>IF(ISNA(VLOOKUP(A66,'Données projet'!$A$61:$I$81,7,0)),0%,VLOOKUP(A66,'Données projet'!$A$61:$I$81,7,0))</f>
        <v>0.2</v>
      </c>
      <c r="AU66" s="21">
        <f>EXP(-LN(2)/35)*AU65+(1-EXP(-LN(2)/35))/(LN(2)/35)*AQ66*AR66*VLOOKUP('Données projet'!$B$10,Paramètres!$A$1:$I$89,3,0)*0.475*44/12</f>
        <v>30.51860234421331</v>
      </c>
      <c r="AV66" s="21">
        <f>EXP(-LN(2)/25)*AV65+(1-EXP(-LN(2)/25))/(LN(2)/25)*Calculateur!AQ66*Calculateur!AS66*VLOOKUP('Données projet'!$B$10,Paramètres!$A$1:$I$89,3,0)*0.475*44/12</f>
        <v>17.027877336903668</v>
      </c>
      <c r="AW66" s="21">
        <f>EXP(-LN(2)/2)*AW65+(1-EXP(-LN(2)/2))/(LN(2)/2)*AQ66*AT66*VLOOKUP('Données projet'!$B$10,Paramètres!$A$1:$I$89,3,0)*0.475*44/12</f>
        <v>12.569464877633518</v>
      </c>
      <c r="AX66" s="21">
        <f t="shared" si="6"/>
        <v>60.115944558750499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6.8933333333333326</v>
      </c>
      <c r="BD66" s="12">
        <f>IF('Données projet'!$A$88&gt;35,BD65+BC66-BL65,IF(A66&lt;'Données projet'!$A$88,$BA$205^A66,IF(A66='Données projet'!$A$88,'Données projet'!$B$88,BD65+BC66-BL65)))</f>
        <v>149.42999999999992</v>
      </c>
      <c r="BE66" s="13">
        <f>BD66*VLOOKUP('Données projet'!$B$11,Paramètres!$A$1:$I$89,3,0)*VLOOKUP('Données projet'!$B$11,Paramètres!$A$1:$I$89,5,0)</f>
        <v>151.52201999999994</v>
      </c>
      <c r="BF66" s="13">
        <f t="shared" si="37"/>
        <v>38.924266634641384</v>
      </c>
      <c r="BG66" s="20">
        <f t="shared" si="7"/>
        <v>331.6939492220003</v>
      </c>
      <c r="BH66" s="59">
        <f t="shared" si="8"/>
        <v>594.59028756540647</v>
      </c>
      <c r="BI66" s="59">
        <f ca="1">AVERAGE(OFFSET($BH$3,0,0,'Données projet'!$E$11+1,1))-AVERAGE(OFFSET($H$3,0,0,'Données projet'!$E$11+1,1))</f>
        <v>580.02848304986492</v>
      </c>
      <c r="BJ66" s="59">
        <f t="shared" si="38"/>
        <v>281.68891895586728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0</v>
      </c>
      <c r="BQ66" s="21">
        <f>EXP(-LN(2)/25)*BQ65+(1-EXP(-LN(2)/25))/(LN(2)/25)*Calculateur!BL66*Calculateur!BN66*VLOOKUP('Données projet'!$B$11,Paramètres!$A$1:$I$89,3,0)*0.475*44/12</f>
        <v>25.754630286114779</v>
      </c>
      <c r="BR66" s="21">
        <f>EXP(-LN(2)/2)*BR65+(1-EXP(-LN(2)/2))/(LN(2)/2)*BL66*BO66*VLOOKUP('Données projet'!$B$11,Paramètres!$A$1:$I$89,3,0)*0.475*44/12</f>
        <v>4.9297627607282193</v>
      </c>
      <c r="BS66" s="22">
        <f t="shared" si="9"/>
        <v>30.684393046842999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5.2</v>
      </c>
      <c r="BY66" s="12">
        <f>IF('Données projet'!$A$114&gt;35,BY65+BX66-CG65,IF(A66&lt;'Données projet'!$A$114,$BV$205^A66,IF(A66='Données projet'!$A$114,'Données projet'!$B$114,BY65+BX66-CG65)))</f>
        <v>295.59999999999985</v>
      </c>
      <c r="BZ66" s="13">
        <f>BY66*VLOOKUP('Données projet'!$B$12,Paramètres!$A$1:$I$89,3,0)*VLOOKUP('Données projet'!$B$12,Paramètres!$A$1:$I$89,5,0)</f>
        <v>281.29295999999988</v>
      </c>
      <c r="CA66" s="13">
        <f t="shared" si="39"/>
        <v>67.240175189777545</v>
      </c>
      <c r="CB66" s="20">
        <f t="shared" si="10"/>
        <v>607.02854378886241</v>
      </c>
      <c r="CC66" s="59">
        <f t="shared" si="11"/>
        <v>869.92488213226852</v>
      </c>
      <c r="CD66" s="59">
        <f ca="1">AVERAGE(OFFSET($CC$3,0,0,'Données projet'!$E$12+1,1))-AVERAGE(OFFSET($H$3,0,0,'Données projet'!$E$12+1,1))</f>
        <v>439.15394290667945</v>
      </c>
      <c r="CE66" s="59">
        <f t="shared" si="40"/>
        <v>423.56554025351068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13.439483730466812</v>
      </c>
      <c r="CL66" s="21">
        <f>EXP(-LN(2)/25)*CL65+(1-EXP(-LN(2)/25))/(LN(2)/25)*Calculateur!CG66*Calculateur!CI66*VLOOKUP('Données projet'!$B$12,Paramètres!$A$1:$I$89,3,0)*0.475*44/12</f>
        <v>15.029054972203689</v>
      </c>
      <c r="CM66" s="21">
        <f>EXP(-LN(2)/2)*CM65+(1-EXP(-LN(2)/2))/(LN(2)/2)*CG66*CJ66*VLOOKUP('Données projet'!$B$12,Paramètres!$A$1:$I$89,3,0)*0.475*44/12</f>
        <v>1.3964472558845422</v>
      </c>
      <c r="CN66" s="22">
        <f t="shared" si="12"/>
        <v>29.864985958555042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5.2</v>
      </c>
      <c r="CT66" s="12">
        <f>IF('Données projet'!$A$140&gt;35,CT65+CS66-DB65,IF(A66&lt;'Données projet'!$A$140,$CQ$205^A66,IF(A66='Données projet'!$A$140,'Données projet'!$B$140,CT65+CS66-DB65)))</f>
        <v>295.59999999999985</v>
      </c>
      <c r="CU66" s="17">
        <f>CT66*VLOOKUP('Données projet'!$B$13,Paramètres!$A$1:$I$89,3,0)*VLOOKUP('Données projet'!$B$13,Paramètres!$A$1:$I$89,5,0)</f>
        <v>258.23615999999993</v>
      </c>
      <c r="CV66" s="13">
        <f t="shared" si="41"/>
        <v>62.346249722937728</v>
      </c>
      <c r="CW66" s="20">
        <f t="shared" si="13"/>
        <v>558.34769693411636</v>
      </c>
      <c r="CX66" s="59">
        <f t="shared" si="14"/>
        <v>821.24403527752247</v>
      </c>
      <c r="CY66" s="59">
        <f ca="1">AVERAGE(OFFSET($CX$3,0,0,'Données projet'!$E$13+1,1))-AVERAGE(OFFSET($H$3,0,0,'Données projet'!$E$13+1,1))</f>
        <v>408.246209980743</v>
      </c>
      <c r="CZ66" s="59">
        <f t="shared" si="42"/>
        <v>394.10236303013903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>
        <f>EXP(-LN(2)/35)*DF65+(1-EXP(-LN(2)/35))/(LN(2)/35)*DB66*DC66*VLOOKUP('Données projet'!$B$13,Paramètres!$A$1:$I$89,3,0)*0.475*44/12</f>
        <v>15.207162680909459</v>
      </c>
      <c r="DG66" s="21">
        <f>EXP(-LN(2)/25)*DG65+(1-EXP(-LN(2)/25))/(LN(2)/25)*Calculateur!DB66*Calculateur!DD66*VLOOKUP('Données projet'!$B$13,Paramètres!$A$1:$I$89,3,0)*0.475*44/12</f>
        <v>17.005808294891548</v>
      </c>
      <c r="DH66" s="21">
        <f>EXP(-LN(2)/2)*DH65+(1-EXP(-LN(2)/2))/(LN(2)/2)*DB66*DE66*VLOOKUP('Données projet'!$B$13,Paramètres!$A$1:$I$89,3,0)*0.475*44/12</f>
        <v>1.2819843660579406</v>
      </c>
      <c r="DI66" s="22">
        <f t="shared" si="15"/>
        <v>33.494955341858947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5.2</v>
      </c>
      <c r="DO66" s="12">
        <f>IF('Données projet'!$A$166&gt;35,DO65+DN66-DW65,IF(A66&lt;'Données projet'!$A$166,$DL$205^A66,IF(A66='Données projet'!$A$166,'Données projet'!$B$166,DO65+DN66-DW65)))</f>
        <v>295.59999999999985</v>
      </c>
      <c r="DP66" s="17">
        <f>DO66*VLOOKUP('Données projet'!$B$14,Paramètres!$A$1:$I$89,3,0)*VLOOKUP('Données projet'!$B$14,Paramètres!$A$1:$I$89,5,0)</f>
        <v>230.5679999999999</v>
      </c>
      <c r="DQ66" s="13">
        <f t="shared" si="43"/>
        <v>56.405478775161924</v>
      </c>
      <c r="DR66" s="20">
        <f t="shared" si="16"/>
        <v>499.81214220007342</v>
      </c>
      <c r="DS66" s="59">
        <f t="shared" si="17"/>
        <v>762.70848054347948</v>
      </c>
      <c r="DT66" s="59">
        <f ca="1">AVERAGE(OFFSET($DS$3,0,0,'Données projet'!$E$14+1,1))-AVERAGE(OFFSET($H$3,0,0,'Données projet'!$E$14+1,1))</f>
        <v>371.07993287480366</v>
      </c>
      <c r="DU66" s="59">
        <f t="shared" si="44"/>
        <v>358.67120540290637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>
        <f>EXP(-LN(2)/35)*EA65+(1-EXP(-LN(2)/35))/(LN(2)/35)*DW66*DX66*VLOOKUP('Données projet'!$B$14,Paramètres!$A$1:$I$89,3,0)*0.475*44/12</f>
        <v>11.015970270874437</v>
      </c>
      <c r="EB66" s="21">
        <f>EXP(-LN(2)/25)*EB65+(1-EXP(-LN(2)/25))/(LN(2)/25)*Calculateur!DW66*Calculateur!DY66*VLOOKUP('Données projet'!$B$14,Paramètres!$A$1:$I$89,3,0)*0.475*44/12</f>
        <v>12.318897518199742</v>
      </c>
      <c r="EC66" s="21">
        <f>EXP(-LN(2)/2)*EC65+(1-EXP(-LN(2)/2))/(LN(2)/2)*DW66*DZ66*VLOOKUP('Données projet'!$B$14,Paramètres!$A$1:$I$89,3,0)*0.475*44/12</f>
        <v>1.1446288982660182</v>
      </c>
      <c r="ED66" s="22">
        <f t="shared" si="18"/>
        <v>24.479496687340198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45">
      <c r="A67" s="10">
        <f t="shared" si="31"/>
        <v>64</v>
      </c>
      <c r="B67" s="73">
        <f>'Scénario référence'!$B$16*5+'Scénario référence'!$B$17*0+'Scénario référence'!$B$18*5</f>
        <v>5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1">
        <f t="shared" si="32"/>
        <v>0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18.333333333333332</v>
      </c>
      <c r="H67" s="67">
        <f t="shared" si="1"/>
        <v>183.33333333333334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10.107499999999998</v>
      </c>
      <c r="N67" s="13">
        <f>IF('Données projet'!$A$36&gt;35,N66+M67-V66,IF(A67&lt;'Données projet'!$A$36,$K$205^A67,IF(A67='Données projet'!$A$36,'Données projet'!$B$36,N66+M67-V66)))</f>
        <v>266.55500000000029</v>
      </c>
      <c r="O67" s="13">
        <f>N67*VLOOKUP('Données projet'!$B$9,Paramètres!$A$1:$I$89,3,0)*VLOOKUP('Données projet'!$B$9,Paramètres!$A$1:$I$89,5,0)</f>
        <v>241.17896400000026</v>
      </c>
      <c r="P67" s="13">
        <f t="shared" si="33"/>
        <v>58.693117941200413</v>
      </c>
      <c r="Q67" s="20">
        <f t="shared" ref="Q67:Q98" si="54">(O67+P67)*0.475*44/12</f>
        <v>522.27720938092455</v>
      </c>
      <c r="R67" s="59">
        <f t="shared" ref="R67:R130" si="55">Q67+(I67+J67)*44/12</f>
        <v>785.70156154047936</v>
      </c>
      <c r="S67" s="59">
        <f ca="1">AVERAGE(OFFSET($R$3,0,0,'Données projet'!$E$9+1,1))-AVERAGE(OFFSET($H$3,0,0,'Données projet'!$E$9+1,1))</f>
        <v>681.47578137804555</v>
      </c>
      <c r="T67" s="59">
        <f t="shared" si="34"/>
        <v>300.88511065995885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0</v>
      </c>
      <c r="AA67" s="21">
        <f>EXP(-LN(2)/25)*AA66+(1-EXP(-LN(2)/25))/(LN(2)/25)*Calculateur!V67*Calculateur!X67*VLOOKUP('Données projet'!$B$9,Paramètres!$A$1:$I$89,3,0)*0.475*44/12</f>
        <v>30.884491639615558</v>
      </c>
      <c r="AB67" s="21">
        <f>EXP(-LN(2)/2)*AB66+(1-EXP(-LN(2)/2))/(LN(2)/2)*V67*Y67*VLOOKUP('Données projet'!$B$9,Paramètres!$A$1:$I$89,3,0)*0.475*44/12</f>
        <v>1.073747640932744</v>
      </c>
      <c r="AC67" s="22">
        <f t="shared" si="3"/>
        <v>31.958239280548302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11.327500000000001</v>
      </c>
      <c r="AI67" s="13">
        <f>IF('Données projet'!$A$62&gt;35,AI66+AH67-AQ66,IF(A67&lt;'Données projet'!$A$62,$AF$205^A67,IF(A67='Données projet'!$A$62,'Données projet'!$B$62,AI66+AH67-AQ66)))</f>
        <v>270.90750000000003</v>
      </c>
      <c r="AJ67" s="13">
        <f>AI67*VLOOKUP('Données projet'!$B$10,Paramètres!$A$1:$I$89,3,0)*VLOOKUP('Données projet'!$B$10,Paramètres!$A$1:$I$89,5,0)</f>
        <v>126.78471000000002</v>
      </c>
      <c r="AK67" s="13">
        <f t="shared" si="35"/>
        <v>33.252320782096213</v>
      </c>
      <c r="AL67" s="20">
        <f t="shared" si="4"/>
        <v>278.73116194548425</v>
      </c>
      <c r="AM67" s="59">
        <f t="shared" si="5"/>
        <v>542.15551410503895</v>
      </c>
      <c r="AN67" s="59">
        <f ca="1">AVERAGE(OFFSET($AM$3,0,0,'Données projet'!$E$10+1,1))-AVERAGE(OFFSET($H$3,0,0,'Données projet'!$E$10+1,1))</f>
        <v>325.45940224919184</v>
      </c>
      <c r="AO67" s="59">
        <f t="shared" si="36"/>
        <v>256.30046621034876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29.920151166752685</v>
      </c>
      <c r="AV67" s="21">
        <f>EXP(-LN(2)/25)*AV66+(1-EXP(-LN(2)/25))/(LN(2)/25)*Calculateur!AQ67*Calculateur!AS67*VLOOKUP('Données projet'!$B$10,Paramètres!$A$1:$I$89,3,0)*0.475*44/12</f>
        <v>16.562249135668885</v>
      </c>
      <c r="AW67" s="21">
        <f>EXP(-LN(2)/2)*AW66+(1-EXP(-LN(2)/2))/(LN(2)/2)*AQ67*AT67*VLOOKUP('Données projet'!$B$10,Paramètres!$A$1:$I$89,3,0)*0.475*44/12</f>
        <v>8.8879538508607983</v>
      </c>
      <c r="AX67" s="21">
        <f t="shared" si="6"/>
        <v>55.370354153282364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6.8933333333333326</v>
      </c>
      <c r="BD67" s="12">
        <f>IF('Données projet'!$A$88&gt;35,BD66+BC67-BL66,IF(A67&lt;'Données projet'!$A$88,$BA$205^A67,IF(A67='Données projet'!$A$88,'Données projet'!$B$88,BD66+BC67-BL66)))</f>
        <v>156.32333333333327</v>
      </c>
      <c r="BE67" s="13">
        <f>BD67*VLOOKUP('Données projet'!$B$11,Paramètres!$A$1:$I$89,3,0)*VLOOKUP('Données projet'!$B$11,Paramètres!$A$1:$I$89,5,0)</f>
        <v>158.51185999999996</v>
      </c>
      <c r="BF67" s="13">
        <f t="shared" si="37"/>
        <v>40.506678950569523</v>
      </c>
      <c r="BG67" s="20">
        <f t="shared" si="7"/>
        <v>346.6239553389085</v>
      </c>
      <c r="BH67" s="59">
        <f t="shared" si="8"/>
        <v>610.04830749846326</v>
      </c>
      <c r="BI67" s="59">
        <f ca="1">AVERAGE(OFFSET($BH$3,0,0,'Données projet'!$E$11+1,1))-AVERAGE(OFFSET($H$3,0,0,'Données projet'!$E$11+1,1))</f>
        <v>580.02848304986492</v>
      </c>
      <c r="BJ67" s="59">
        <f t="shared" si="38"/>
        <v>281.68891895586728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0</v>
      </c>
      <c r="BQ67" s="21">
        <f>EXP(-LN(2)/25)*BQ66+(1-EXP(-LN(2)/25))/(LN(2)/25)*Calculateur!BL67*Calculateur!BN67*VLOOKUP('Données projet'!$B$11,Paramètres!$A$1:$I$89,3,0)*0.475*44/12</f>
        <v>25.050368566563826</v>
      </c>
      <c r="BR67" s="21">
        <f>EXP(-LN(2)/2)*BR66+(1-EXP(-LN(2)/2))/(LN(2)/2)*BL67*BO67*VLOOKUP('Données projet'!$B$11,Paramètres!$A$1:$I$89,3,0)*0.475*44/12</f>
        <v>3.4858686777518395</v>
      </c>
      <c r="BS67" s="22">
        <f t="shared" si="9"/>
        <v>28.536237244315664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5.2</v>
      </c>
      <c r="BY67" s="12">
        <f>IF('Données projet'!$A$114&gt;35,BY66+BX67-CG66,IF(A67&lt;'Données projet'!$A$114,$BV$205^A67,IF(A67='Données projet'!$A$114,'Données projet'!$B$114,BY66+BX67-CG66)))</f>
        <v>300.79999999999984</v>
      </c>
      <c r="BZ67" s="13">
        <f>BY67*VLOOKUP('Données projet'!$B$12,Paramètres!$A$1:$I$89,3,0)*VLOOKUP('Données projet'!$B$12,Paramètres!$A$1:$I$89,5,0)</f>
        <v>286.24127999999985</v>
      </c>
      <c r="CA67" s="13">
        <f t="shared" si="39"/>
        <v>68.284273706763784</v>
      </c>
      <c r="CB67" s="20">
        <f t="shared" si="10"/>
        <v>617.46533937261336</v>
      </c>
      <c r="CC67" s="59">
        <f t="shared" si="11"/>
        <v>880.88969153216817</v>
      </c>
      <c r="CD67" s="59">
        <f ca="1">AVERAGE(OFFSET($CC$3,0,0,'Données projet'!$E$12+1,1))-AVERAGE(OFFSET($H$3,0,0,'Données projet'!$E$12+1,1))</f>
        <v>439.15394290667945</v>
      </c>
      <c r="CE67" s="59">
        <f t="shared" si="40"/>
        <v>423.56554025351068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13.175943651788019</v>
      </c>
      <c r="CL67" s="21">
        <f>EXP(-LN(2)/25)*CL66+(1-EXP(-LN(2)/25))/(LN(2)/25)*Calculateur!CG67*Calculateur!CI67*VLOOKUP('Données projet'!$B$12,Paramètres!$A$1:$I$89,3,0)*0.475*44/12</f>
        <v>14.618084673645127</v>
      </c>
      <c r="CM67" s="21">
        <f>EXP(-LN(2)/2)*CM66+(1-EXP(-LN(2)/2))/(LN(2)/2)*CG67*CJ67*VLOOKUP('Données projet'!$B$12,Paramètres!$A$1:$I$89,3,0)*0.475*44/12</f>
        <v>0.98743732420530583</v>
      </c>
      <c r="CN67" s="22">
        <f t="shared" si="12"/>
        <v>28.781465649638452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5.2</v>
      </c>
      <c r="CT67" s="12">
        <f>IF('Données projet'!$A$140&gt;35,CT66+CS67-DB66,IF(A67&lt;'Données projet'!$A$140,$CQ$205^A67,IF(A67='Données projet'!$A$140,'Données projet'!$B$140,CT66+CS67-DB66)))</f>
        <v>300.79999999999984</v>
      </c>
      <c r="CU67" s="17">
        <f>CT67*VLOOKUP('Données projet'!$B$13,Paramètres!$A$1:$I$89,3,0)*VLOOKUP('Données projet'!$B$13,Paramètres!$A$1:$I$89,5,0)</f>
        <v>262.7788799999999</v>
      </c>
      <c r="CV67" s="13">
        <f t="shared" si="41"/>
        <v>63.314355869176104</v>
      </c>
      <c r="CW67" s="20">
        <f t="shared" si="13"/>
        <v>567.94571913881475</v>
      </c>
      <c r="CX67" s="59">
        <f t="shared" si="14"/>
        <v>831.37007129836957</v>
      </c>
      <c r="CY67" s="59">
        <f ca="1">AVERAGE(OFFSET($CX$3,0,0,'Données projet'!$E$13+1,1))-AVERAGE(OFFSET($H$3,0,0,'Données projet'!$E$13+1,1))</f>
        <v>408.246209980743</v>
      </c>
      <c r="CZ67" s="59">
        <f t="shared" si="42"/>
        <v>394.10236303013903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>
        <f>EXP(-LN(2)/35)*DF66+(1-EXP(-LN(2)/35))/(LN(2)/35)*DB67*DC67*VLOOKUP('Données projet'!$B$13,Paramètres!$A$1:$I$89,3,0)*0.475*44/12</f>
        <v>14.908959496190185</v>
      </c>
      <c r="DG67" s="21">
        <f>EXP(-LN(2)/25)*DG66+(1-EXP(-LN(2)/25))/(LN(2)/25)*Calculateur!DB67*Calculateur!DD67*VLOOKUP('Données projet'!$B$13,Paramètres!$A$1:$I$89,3,0)*0.475*44/12</f>
        <v>16.540783572771147</v>
      </c>
      <c r="DH67" s="21">
        <f>EXP(-LN(2)/2)*DH66+(1-EXP(-LN(2)/2))/(LN(2)/2)*DB67*DE67*VLOOKUP('Données projet'!$B$13,Paramètres!$A$1:$I$89,3,0)*0.475*44/12</f>
        <v>0.90649983861470718</v>
      </c>
      <c r="DI67" s="22">
        <f t="shared" si="15"/>
        <v>32.356242907576039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5.2</v>
      </c>
      <c r="DO67" s="12">
        <f>IF('Données projet'!$A$166&gt;35,DO66+DN67-DW66,IF(A67&lt;'Données projet'!$A$166,$DL$205^A67,IF(A67='Données projet'!$A$166,'Données projet'!$B$166,DO66+DN67-DW66)))</f>
        <v>300.79999999999984</v>
      </c>
      <c r="DP67" s="17">
        <f>DO67*VLOOKUP('Données projet'!$B$14,Paramètres!$A$1:$I$89,3,0)*VLOOKUP('Données projet'!$B$14,Paramètres!$A$1:$I$89,5,0)</f>
        <v>234.62399999999988</v>
      </c>
      <c r="DQ67" s="13">
        <f t="shared" si="43"/>
        <v>57.281337241812707</v>
      </c>
      <c r="DR67" s="20">
        <f t="shared" si="16"/>
        <v>508.40179569615702</v>
      </c>
      <c r="DS67" s="59">
        <f t="shared" si="17"/>
        <v>771.82614785571172</v>
      </c>
      <c r="DT67" s="59">
        <f ca="1">AVERAGE(OFFSET($DS$3,0,0,'Données projet'!$E$14+1,1))-AVERAGE(OFFSET($H$3,0,0,'Données projet'!$E$14+1,1))</f>
        <v>371.07993287480366</v>
      </c>
      <c r="DU67" s="59">
        <f t="shared" si="44"/>
        <v>358.67120540290637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>
        <f>EXP(-LN(2)/35)*EA66+(1-EXP(-LN(2)/35))/(LN(2)/35)*DW67*DX67*VLOOKUP('Données projet'!$B$14,Paramètres!$A$1:$I$89,3,0)*0.475*44/12</f>
        <v>10.799953812941</v>
      </c>
      <c r="EB67" s="21">
        <f>EXP(-LN(2)/25)*EB66+(1-EXP(-LN(2)/25))/(LN(2)/25)*Calculateur!DW67*Calculateur!DY67*VLOOKUP('Données projet'!$B$14,Paramètres!$A$1:$I$89,3,0)*0.475*44/12</f>
        <v>11.982036617741905</v>
      </c>
      <c r="EC67" s="21">
        <f>EXP(-LN(2)/2)*EC66+(1-EXP(-LN(2)/2))/(LN(2)/2)*DW67*DZ67*VLOOKUP('Données projet'!$B$14,Paramètres!$A$1:$I$89,3,0)*0.475*44/12</f>
        <v>0.80937485590598834</v>
      </c>
      <c r="ED67" s="22">
        <f t="shared" si="18"/>
        <v>23.591365286588893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45">
      <c r="A68" s="10">
        <f t="shared" si="31"/>
        <v>65</v>
      </c>
      <c r="B68" s="73">
        <f>'Scénario référence'!$B$16*5+'Scénario référence'!$B$17*0+'Scénario référence'!$B$18*5</f>
        <v>5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1">
        <f t="shared" si="32"/>
        <v>0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18.333333333333332</v>
      </c>
      <c r="H68" s="67">
        <f t="shared" ref="H68:H131" si="56">(B68+E68+F68)*44/12+(C68+D68)*0.475*44/12</f>
        <v>183.33333333333334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10.107499999999998</v>
      </c>
      <c r="N68" s="13">
        <f>IF('Données projet'!$A$36&gt;35,N67+M68-V67,IF(A68&lt;'Données projet'!$A$36,$K$205^A68,IF(A68='Données projet'!$A$36,'Données projet'!$B$36,N67+M68-V67)))</f>
        <v>276.66250000000031</v>
      </c>
      <c r="O68" s="13">
        <f>N68*VLOOKUP('Données projet'!$B$9,Paramètres!$A$1:$I$89,3,0)*VLOOKUP('Données projet'!$B$9,Paramètres!$A$1:$I$89,5,0)</f>
        <v>250.32423000000026</v>
      </c>
      <c r="P68" s="13">
        <f t="shared" si="33"/>
        <v>60.655364588948935</v>
      </c>
      <c r="Q68" s="20">
        <f t="shared" si="54"/>
        <v>541.62279390908645</v>
      </c>
      <c r="R68" s="59">
        <f t="shared" si="55"/>
        <v>805.5660000255416</v>
      </c>
      <c r="S68" s="59">
        <f ca="1">AVERAGE(OFFSET($R$3,0,0,'Données projet'!$E$9+1,1))-AVERAGE(OFFSET($H$3,0,0,'Données projet'!$E$9+1,1))</f>
        <v>681.47578137804555</v>
      </c>
      <c r="T68" s="59">
        <f t="shared" si="34"/>
        <v>300.88511065995885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0</v>
      </c>
      <c r="AA68" s="21">
        <f>EXP(-LN(2)/25)*AA67+(1-EXP(-LN(2)/25))/(LN(2)/25)*Calculateur!V68*Calculateur!X68*VLOOKUP('Données projet'!$B$9,Paramètres!$A$1:$I$89,3,0)*0.475*44/12</f>
        <v>30.039953591585441</v>
      </c>
      <c r="AB68" s="21">
        <f>EXP(-LN(2)/2)*AB67+(1-EXP(-LN(2)/2))/(LN(2)/2)*V68*Y68*VLOOKUP('Données projet'!$B$9,Paramètres!$A$1:$I$89,3,0)*0.475*44/12</f>
        <v>0.75925423818660143</v>
      </c>
      <c r="AC68" s="22">
        <f t="shared" ref="AC68:AC131" si="57">SUM(Z68:AB68)</f>
        <v>30.799207829772044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11.327500000000001</v>
      </c>
      <c r="AI68" s="13">
        <f>IF('Données projet'!$A$62&gt;35,AI67+AH68-AQ67,IF(A68&lt;'Données projet'!$A$62,$AF$205^A68,IF(A68='Données projet'!$A$62,'Données projet'!$B$62,AI67+AH68-AQ67)))</f>
        <v>282.23500000000001</v>
      </c>
      <c r="AJ68" s="13">
        <f>AI68*VLOOKUP('Données projet'!$B$10,Paramètres!$A$1:$I$89,3,0)*VLOOKUP('Données projet'!$B$10,Paramètres!$A$1:$I$89,5,0)</f>
        <v>132.08598000000001</v>
      </c>
      <c r="AK68" s="13">
        <f t="shared" si="35"/>
        <v>34.477920592791357</v>
      </c>
      <c r="AL68" s="20">
        <f t="shared" ref="AL68:AL131" si="58">(AJ68+AK68)*0.475*44/12</f>
        <v>290.09879353244492</v>
      </c>
      <c r="AM68" s="59">
        <f t="shared" ref="AM68:AM131" si="59">AL68+(AD68+AE68)*44/12</f>
        <v>554.04199964890017</v>
      </c>
      <c r="AN68" s="59">
        <f ca="1">AVERAGE(OFFSET($AM$3,0,0,'Données projet'!$E$10+1,1))-AVERAGE(OFFSET($H$3,0,0,'Données projet'!$E$10+1,1))</f>
        <v>325.45940224919184</v>
      </c>
      <c r="AO68" s="59">
        <f t="shared" si="36"/>
        <v>256.30046621034876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29.333435251862888</v>
      </c>
      <c r="AV68" s="21">
        <f>EXP(-LN(2)/25)*AV67+(1-EXP(-LN(2)/25))/(LN(2)/25)*Calculateur!AQ68*Calculateur!AS68*VLOOKUP('Données projet'!$B$10,Paramètres!$A$1:$I$89,3,0)*0.475*44/12</f>
        <v>16.109353562083193</v>
      </c>
      <c r="AW68" s="21">
        <f>EXP(-LN(2)/2)*AW67+(1-EXP(-LN(2)/2))/(LN(2)/2)*AQ68*AT68*VLOOKUP('Données projet'!$B$10,Paramètres!$A$1:$I$89,3,0)*0.475*44/12</f>
        <v>6.2847324388167589</v>
      </c>
      <c r="AX68" s="21">
        <f t="shared" ref="AX68:AX131" si="60">SUM(AU68:AW68)</f>
        <v>51.727521252762841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6.8933333333333326</v>
      </c>
      <c r="BD68" s="12">
        <f>IF('Données projet'!$A$88&gt;35,BD67+BC68-BL67,IF(A68&lt;'Données projet'!$A$88,$BA$205^A68,IF(A68='Données projet'!$A$88,'Données projet'!$B$88,BD67+BC68-BL67)))</f>
        <v>163.21666666666661</v>
      </c>
      <c r="BE68" s="13">
        <f>BD68*VLOOKUP('Données projet'!$B$11,Paramètres!$A$1:$I$89,3,0)*VLOOKUP('Données projet'!$B$11,Paramètres!$A$1:$I$89,5,0)</f>
        <v>165.50169999999997</v>
      </c>
      <c r="BF68" s="13">
        <f t="shared" si="37"/>
        <v>42.080987019777631</v>
      </c>
      <c r="BG68" s="20">
        <f t="shared" ref="BG68:BG131" si="61">(BE68+BF68)*0.475*44/12</f>
        <v>361.539846559446</v>
      </c>
      <c r="BH68" s="59">
        <f t="shared" ref="BH68:BH131" si="62">BG68+(AY68+AZ68)*44/12</f>
        <v>625.48305267590126</v>
      </c>
      <c r="BI68" s="59">
        <f ca="1">AVERAGE(OFFSET($BH$3,0,0,'Données projet'!$E$11+1,1))-AVERAGE(OFFSET($H$3,0,0,'Données projet'!$E$11+1,1))</f>
        <v>580.02848304986492</v>
      </c>
      <c r="BJ68" s="59">
        <f t="shared" si="38"/>
        <v>281.68891895586728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0</v>
      </c>
      <c r="BQ68" s="21">
        <f>EXP(-LN(2)/25)*BQ67+(1-EXP(-LN(2)/25))/(LN(2)/25)*Calculateur!BL68*Calculateur!BN68*VLOOKUP('Données projet'!$B$11,Paramètres!$A$1:$I$89,3,0)*0.475*44/12</f>
        <v>24.365364920769508</v>
      </c>
      <c r="BR68" s="21">
        <f>EXP(-LN(2)/2)*BR67+(1-EXP(-LN(2)/2))/(LN(2)/2)*BL68*BO68*VLOOKUP('Données projet'!$B$11,Paramètres!$A$1:$I$89,3,0)*0.475*44/12</f>
        <v>2.4648813803641101</v>
      </c>
      <c r="BS68" s="22">
        <f t="shared" ref="BS68:BS131" si="63">SUM(BP68:BR68)</f>
        <v>26.83024630113362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>
        <f>VLOOKUP(A68,'Données projet'!$A$113:$I$133,2,0)</f>
        <v>306</v>
      </c>
      <c r="BW68" s="12">
        <f>VLOOKUP(A68,'Données projet'!$A$113:$I$133,9,0)</f>
        <v>5.2</v>
      </c>
      <c r="BX68" s="12">
        <f t="array" ref="BX68">INDEX(BW:BW,MIN(IF(ISNUMBER(BW68:BW264),ROW(BW68:BW264),"")))</f>
        <v>5.2</v>
      </c>
      <c r="BY68" s="12">
        <f>IF('Données projet'!$A$114&gt;35,BY67+BX68-CG67,IF(A68&lt;'Données projet'!$A$114,$BV$205^A68,IF(A68='Données projet'!$A$114,'Données projet'!$B$114,BY67+BX68-CG67)))</f>
        <v>305.99999999999983</v>
      </c>
      <c r="BZ68" s="13">
        <f>BY68*VLOOKUP('Données projet'!$B$12,Paramètres!$A$1:$I$89,3,0)*VLOOKUP('Données projet'!$B$12,Paramètres!$A$1:$I$89,5,0)</f>
        <v>291.18959999999981</v>
      </c>
      <c r="CA68" s="13">
        <f t="shared" si="39"/>
        <v>69.326273255048633</v>
      </c>
      <c r="CB68" s="20">
        <f t="shared" ref="CB68:CB131" si="64">(BZ68+CA68)*0.475*44/12</f>
        <v>627.89847925254264</v>
      </c>
      <c r="CC68" s="59">
        <f t="shared" ref="CC68:CC131" si="65">CB68+(BT68+BU68)*44/12</f>
        <v>891.84168536899779</v>
      </c>
      <c r="CD68" s="59">
        <f ca="1">AVERAGE(OFFSET($CC$3,0,0,'Données projet'!$E$12+1,1))-AVERAGE(OFFSET($H$3,0,0,'Données projet'!$E$12+1,1))</f>
        <v>439.15394290667945</v>
      </c>
      <c r="CE68" s="59">
        <f t="shared" si="40"/>
        <v>423.56554025351068</v>
      </c>
      <c r="CF68" s="15">
        <f>IF(ISNA(VLOOKUP(A68,'Données projet'!$A$113:$I$133,3,0)),0,VLOOKUP(A68,'Données projet'!$A$113:$I$133,3,0))</f>
        <v>11</v>
      </c>
      <c r="CG68" s="15">
        <f>IF(ISNA(VLOOKUP(A68,'Données projet'!$A$113:$I$133,4,0)),0,VLOOKUP(A68,'Données projet'!$A$113:$I$133,4,0))</f>
        <v>13</v>
      </c>
      <c r="CH68" s="16">
        <f>IF(ISNA(VLOOKUP(A68,'Données projet'!$A$113:$I$133,5,0)),0%,VLOOKUP(A68,'Données projet'!$A$113:$I$133,5,0)*VLOOKUP('Données projet'!$B$12,Paramètres!$A$1:$I$89,7,0))</f>
        <v>0.1075</v>
      </c>
      <c r="CI68" s="16">
        <f>IF(ISNA(VLOOKUP(A68,'Données projet'!$A$113:$I$133,6,0)),0%,VLOOKUP(A68,'Données projet'!$A$113:$I$133,6,0)*VLOOKUP('Données projet'!$B$12,Paramètres!$A$1:$I$89,7,0))</f>
        <v>0.1075</v>
      </c>
      <c r="CJ68" s="16">
        <f>IF(ISNA(VLOOKUP(A68,'Données projet'!$A$113:$I$133,7,0)),0%,VLOOKUP(A68,'Données projet'!$A$113:$I$133,7,0))</f>
        <v>0.25</v>
      </c>
      <c r="CK68" s="21">
        <f>EXP(-LN(2)/35)*CK67+(1-EXP(-LN(2)/35))/(LN(2)/35)*CG68*CH68*VLOOKUP('Données projet'!$B$12,Paramètres!$A$1:$I$89,3,0)*0.475*44/12</f>
        <v>14.387693377704611</v>
      </c>
      <c r="CL68" s="21">
        <f>EXP(-LN(2)/25)*CL67+(1-EXP(-LN(2)/25))/(LN(2)/25)*Calculateur!CG68*Calculateur!CI68*VLOOKUP('Données projet'!$B$12,Paramètres!$A$1:$I$89,3,0)*0.475*44/12</f>
        <v>15.682685893653241</v>
      </c>
      <c r="CM68" s="21">
        <f>EXP(-LN(2)/2)*CM67+(1-EXP(-LN(2)/2))/(LN(2)/2)*CG68*CJ68*VLOOKUP('Données projet'!$B$12,Paramètres!$A$1:$I$89,3,0)*0.475*44/12</f>
        <v>3.6162693167423554</v>
      </c>
      <c r="CN68" s="22">
        <f t="shared" ref="CN68:CN131" si="66">SUM(CK68:CM68)</f>
        <v>33.686648588100205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>
        <f>VLOOKUP(A68,'Données projet'!$A$139:$I$159,2,0)</f>
        <v>306</v>
      </c>
      <c r="CR68" s="12">
        <f>VLOOKUP(A68,'Données projet'!$A$139:$I$159,9,0)</f>
        <v>5.2</v>
      </c>
      <c r="CS68" s="12">
        <f t="array" ref="CS68">INDEX(CR:CR,MIN(IF(ISNUMBER(CR68:CR264),ROW(CR68:CR264),"")))</f>
        <v>5.2</v>
      </c>
      <c r="CT68" s="12">
        <f>IF('Données projet'!$A$140&gt;35,CT67+CS68-DB67,IF(A68&lt;'Données projet'!$A$140,$CQ$205^A68,IF(A68='Données projet'!$A$140,'Données projet'!$B$140,CT67+CS68-DB67)))</f>
        <v>305.99999999999983</v>
      </c>
      <c r="CU68" s="17">
        <f>CT68*VLOOKUP('Données projet'!$B$13,Paramètres!$A$1:$I$89,3,0)*VLOOKUP('Données projet'!$B$13,Paramètres!$A$1:$I$89,5,0)</f>
        <v>267.32159999999988</v>
      </c>
      <c r="CV68" s="13">
        <f t="shared" si="41"/>
        <v>64.280515815446321</v>
      </c>
      <c r="CW68" s="20">
        <f t="shared" ref="CW68:CW131" si="67">(CU68+CV68)*0.475*44/12</f>
        <v>577.54035171190208</v>
      </c>
      <c r="CX68" s="59">
        <f t="shared" ref="CX68:CX131" si="68">CW68+(CO68+CP68)*44/12</f>
        <v>841.48355782835733</v>
      </c>
      <c r="CY68" s="59">
        <f ca="1">AVERAGE(OFFSET($CX$3,0,0,'Données projet'!$E$13+1,1))-AVERAGE(OFFSET($H$3,0,0,'Données projet'!$E$13+1,1))</f>
        <v>408.246209980743</v>
      </c>
      <c r="CZ68" s="59">
        <f t="shared" si="42"/>
        <v>394.10236303013903</v>
      </c>
      <c r="DA68" s="15">
        <f>IF(ISNA(VLOOKUP(A68,'Données projet'!$A$139:$I$159,3,0)),0,VLOOKUP(A68,'Données projet'!$A$139:$I$159,3,0))</f>
        <v>11</v>
      </c>
      <c r="DB68" s="15">
        <f>IF(ISNA(VLOOKUP(A68,'Données projet'!$A$139:$I$159,4,0)),0,VLOOKUP(A68,'Données projet'!$A$139:$I$159,4,0))</f>
        <v>13</v>
      </c>
      <c r="DC68" s="16">
        <f>IF(ISNA(VLOOKUP(A68,'Données projet'!$A$139:$I$159,5,0)),0%,VLOOKUP(A68,'Données projet'!$A$139:$I$159,5,0)*VLOOKUP('Données projet'!$B$13,Paramètres!$A$1:$I$89,7,0))</f>
        <v>0.13250000000000001</v>
      </c>
      <c r="DD68" s="16">
        <f>IF(ISNA(VLOOKUP(A68,'Données projet'!$A$139:$I$159,6,0)),0%,VLOOKUP(A68,'Données projet'!$A$139:$I$159,6,0)*VLOOKUP('Données projet'!$B$13,Paramètres!$A$1:$I$89,7,0))</f>
        <v>0.13250000000000001</v>
      </c>
      <c r="DE68" s="16">
        <f>IF(ISNA(VLOOKUP(A68,'Données projet'!$A$139:$I$159,7,0)),0%,VLOOKUP(A68,'Données projet'!$A$139:$I$159,7,0))</f>
        <v>0.25</v>
      </c>
      <c r="DF68" s="21">
        <f>EXP(-LN(2)/35)*DF67+(1-EXP(-LN(2)/35))/(LN(2)/35)*DB68*DC68*VLOOKUP('Données projet'!$B$13,Paramètres!$A$1:$I$89,3,0)*0.475*44/12</f>
        <v>16.280089189869351</v>
      </c>
      <c r="DG68" s="21">
        <f>EXP(-LN(2)/25)*DG67+(1-EXP(-LN(2)/25))/(LN(2)/25)*Calculateur!DB68*Calculateur!DD68*VLOOKUP('Données projet'!$B$13,Paramètres!$A$1:$I$89,3,0)*0.475*44/12</f>
        <v>17.745410496516513</v>
      </c>
      <c r="DH68" s="21">
        <f>EXP(-LN(2)/2)*DH67+(1-EXP(-LN(2)/2))/(LN(2)/2)*DB68*DE68*VLOOKUP('Données projet'!$B$13,Paramètres!$A$1:$I$89,3,0)*0.475*44/12</f>
        <v>3.3198537989765886</v>
      </c>
      <c r="DI68" s="22">
        <f t="shared" ref="DI68:DI131" si="69">SUM(DF68:DH68)</f>
        <v>37.345353485362452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>
        <f>VLOOKUP(A68,'Données projet'!$A$165:$I$185,2,0)</f>
        <v>306</v>
      </c>
      <c r="DM68" s="12">
        <f>VLOOKUP(A68,'Données projet'!$A$165:$I$185,9,0)</f>
        <v>5.2</v>
      </c>
      <c r="DN68" s="12">
        <f t="array" ref="DN68">INDEX(DM:DM,MIN(IF(ISNUMBER(DM68:DM264),ROW(DM68:DM264),"")))</f>
        <v>5.2</v>
      </c>
      <c r="DO68" s="12">
        <f>IF('Données projet'!$A$166&gt;35,DO67+DN68-DW67,IF(A68&lt;'Données projet'!$A$166,$DL$205^A68,IF(A68='Données projet'!$A$166,'Données projet'!$B$166,DO67+DN68-DW67)))</f>
        <v>305.99999999999983</v>
      </c>
      <c r="DP68" s="17">
        <f>DO68*VLOOKUP('Données projet'!$B$14,Paramètres!$A$1:$I$89,3,0)*VLOOKUP('Données projet'!$B$14,Paramètres!$A$1:$I$89,5,0)</f>
        <v>238.67999999999986</v>
      </c>
      <c r="DQ68" s="13">
        <f t="shared" si="43"/>
        <v>58.155434955547413</v>
      </c>
      <c r="DR68" s="20">
        <f t="shared" ref="DR68:DR131" si="70">(DP68+DQ68)*0.475*44/12</f>
        <v>516.98838254757811</v>
      </c>
      <c r="DS68" s="59">
        <f t="shared" ref="DS68:DS131" si="71">DR68+(DJ68+DK68)*44/12</f>
        <v>780.93158866403337</v>
      </c>
      <c r="DT68" s="59">
        <f ca="1">AVERAGE(OFFSET($DS$3,0,0,'Données projet'!$E$14+1,1))-AVERAGE(OFFSET($H$3,0,0,'Données projet'!$E$14+1,1))</f>
        <v>371.07993287480366</v>
      </c>
      <c r="DU68" s="59">
        <f t="shared" si="44"/>
        <v>358.67120540290637</v>
      </c>
      <c r="DV68" s="15">
        <f>IF(ISNA(VLOOKUP(A68,'Données projet'!$A$165:$I$185,3,0)),0,VLOOKUP(A68,'Données projet'!$A$165:$I$185,3,0))</f>
        <v>11</v>
      </c>
      <c r="DW68" s="15">
        <f>IF(ISNA(VLOOKUP(A68,'Données projet'!$A$165:$I$185,4,0)),0,VLOOKUP(A68,'Données projet'!$A$165:$I$185,4,0))</f>
        <v>13</v>
      </c>
      <c r="DX68" s="16">
        <f>IF(ISNA(VLOOKUP(A68,'Données projet'!$A$165:$I$185,5,0)),0%,VLOOKUP(A68,'Données projet'!$A$165:$I$185,5,0)*VLOOKUP('Données projet'!$B$14,Paramètres!$A$1:$I$89,7,0))</f>
        <v>0.1075</v>
      </c>
      <c r="DY68" s="16">
        <f>IF(ISNA(VLOOKUP(A68,'Données projet'!$A$165:$I$185,6,0)),0%,VLOOKUP(A68,'Données projet'!$A$165:$I$185,6,0)*VLOOKUP('Données projet'!$B$14,Paramètres!$A$1:$I$89,7,0))</f>
        <v>0.1075</v>
      </c>
      <c r="DZ68" s="16">
        <f>IF(ISNA(VLOOKUP(A68,'Données projet'!$A$165:$I$185,7,0)),0%,VLOOKUP(A68,'Données projet'!$A$165:$I$185,7,0))</f>
        <v>0.25</v>
      </c>
      <c r="EA68" s="21">
        <f>EXP(-LN(2)/35)*EA67+(1-EXP(-LN(2)/35))/(LN(2)/35)*DW68*DX68*VLOOKUP('Données projet'!$B$14,Paramètres!$A$1:$I$89,3,0)*0.475*44/12</f>
        <v>11.793191293200501</v>
      </c>
      <c r="EB68" s="21">
        <f>EXP(-LN(2)/25)*EB67+(1-EXP(-LN(2)/25))/(LN(2)/25)*Calculateur!DW68*Calculateur!DY68*VLOOKUP('Données projet'!$B$14,Paramètres!$A$1:$I$89,3,0)*0.475*44/12</f>
        <v>12.854660568568228</v>
      </c>
      <c r="EC68" s="21">
        <f>EXP(-LN(2)/2)*EC67+(1-EXP(-LN(2)/2))/(LN(2)/2)*DW68*DZ68*VLOOKUP('Données projet'!$B$14,Paramètres!$A$1:$I$89,3,0)*0.475*44/12</f>
        <v>2.964155177657668</v>
      </c>
      <c r="ED68" s="22">
        <f t="shared" ref="ED68:ED131" si="72">SUM(EA68:EC68)</f>
        <v>27.612007039426395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45">
      <c r="A69" s="10">
        <f t="shared" ref="A69:A132" si="85">A68+1</f>
        <v>66</v>
      </c>
      <c r="B69" s="73">
        <f>'Scénario référence'!$B$16*5+'Scénario référence'!$B$17*0+'Scénario référence'!$B$18*5</f>
        <v>5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1">
        <f t="shared" ref="D69:D132" si="86">IFERROR(EXP(-1.0587+0.8836*LN(C69)+0.284),0)</f>
        <v>0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18.333333333333332</v>
      </c>
      <c r="H69" s="67">
        <f t="shared" si="56"/>
        <v>183.33333333333334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>
        <f>VLOOKUP(A69,'Données projet'!$A$35:$I$55,2,0)</f>
        <v>286.77</v>
      </c>
      <c r="L69" s="12">
        <f>VLOOKUP(A69,'Données projet'!$A$35:$I$55,9,0)</f>
        <v>10.107499999999998</v>
      </c>
      <c r="M69" s="12">
        <f t="array" ref="M69">INDEX(L:L,MIN(IF(ISNUMBER(L69:L265),ROW(L69:L265),"")))</f>
        <v>10.107499999999998</v>
      </c>
      <c r="N69" s="13">
        <f>IF('Données projet'!$A$36&gt;35,N68+M69-V68,IF(A69&lt;'Données projet'!$A$36,$K$205^A69,IF(A69='Données projet'!$A$36,'Données projet'!$B$36,N68+M69-V68)))</f>
        <v>286.77000000000032</v>
      </c>
      <c r="O69" s="13">
        <f>N69*VLOOKUP('Données projet'!$B$9,Paramètres!$A$1:$I$89,3,0)*VLOOKUP('Données projet'!$B$9,Paramètres!$A$1:$I$89,5,0)</f>
        <v>259.46949600000028</v>
      </c>
      <c r="P69" s="13">
        <f t="shared" ref="P69:P132" si="87">EXP(-1.0587+0.8836*LN(O69)+0.284)</f>
        <v>62.609282502673501</v>
      </c>
      <c r="Q69" s="20">
        <f t="shared" si="54"/>
        <v>560.95387255882349</v>
      </c>
      <c r="R69" s="59">
        <f t="shared" si="55"/>
        <v>825.40693167601057</v>
      </c>
      <c r="S69" s="59">
        <f ca="1">AVERAGE(OFFSET($R$3,0,0,'Données projet'!$E$9+1,1))-AVERAGE(OFFSET($H$3,0,0,'Données projet'!$E$9+1,1))</f>
        <v>681.47578137804555</v>
      </c>
      <c r="T69" s="59">
        <f t="shared" ref="T69:T132" si="88">$T$3</f>
        <v>300.88511065995885</v>
      </c>
      <c r="U69" s="15">
        <f>IF(ISNA(VLOOKUP(A69,'Données projet'!$A$35:$I$55,3,0)),0,VLOOKUP(A69,'Données projet'!$A$35:$I$55,3,0))</f>
        <v>4</v>
      </c>
      <c r="V69" s="15">
        <f>IF(ISNA(VLOOKUP(A69,'Données projet'!$A$35:$I$55,4,0)),0,VLOOKUP(A69,'Données projet'!$A$35:$I$55,4,0))</f>
        <v>53.679999999999978</v>
      </c>
      <c r="W69" s="16">
        <f>IF(ISNA(VLOOKUP(A69,'Données projet'!$A$35:$I$55,5,0)),0%,VLOOKUP(A69,'Données projet'!$A$35:$I$55,5,0)*VLOOKUP('Données projet'!$B$9,Paramètres!$A$1:$I$89,7,0))</f>
        <v>0.15049999999999999</v>
      </c>
      <c r="X69" s="16">
        <f>IF(ISNA(VLOOKUP(A69,'Données projet'!$A$35:$I$55,6,0)),0%,VLOOKUP(A69,'Données projet'!$A$35:$I$55,6,0)*VLOOKUP('Données projet'!$B$9,Paramètres!$A$1:$I$89,7,0))</f>
        <v>8.6000000000000007E-2</v>
      </c>
      <c r="Y69" s="16">
        <f>IF(ISNA(VLOOKUP(A69,'Données projet'!$A$35:$I$55,7,0)),0%,VLOOKUP(A69,'Données projet'!$A$35:$I$55,7,0))</f>
        <v>0.1</v>
      </c>
      <c r="Z69" s="21">
        <f>EXP(-LN(2)/35)*Z68+(1-EXP(-LN(2)/35))/(LN(2)/35)*V69*W69*VLOOKUP('Données projet'!$B$9,Paramètres!$A$1:$I$89,3,0)*0.475*44/12</f>
        <v>8.0806948968281098</v>
      </c>
      <c r="AA69" s="21">
        <f>EXP(-LN(2)/25)*AA68+(1-EXP(-LN(2)/25))/(LN(2)/25)*Calculateur!V69*Calculateur!X69*VLOOKUP('Données projet'!$B$9,Paramètres!$A$1:$I$89,3,0)*0.475*44/12</f>
        <v>33.817868407767122</v>
      </c>
      <c r="AB69" s="21">
        <f>EXP(-LN(2)/2)*AB68+(1-EXP(-LN(2)/2))/(LN(2)/2)*V69*Y69*VLOOKUP('Données projet'!$B$9,Paramètres!$A$1:$I$89,3,0)*0.475*44/12</f>
        <v>5.1195523422004099</v>
      </c>
      <c r="AC69" s="22">
        <f t="shared" si="57"/>
        <v>47.018115646795636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11.327500000000001</v>
      </c>
      <c r="AI69" s="13">
        <f>IF('Données projet'!$A$62&gt;35,AI68+AH69-AQ68,IF(A69&lt;'Données projet'!$A$62,$AF$205^A69,IF(A69='Données projet'!$A$62,'Données projet'!$B$62,AI68+AH69-AQ68)))</f>
        <v>293.5625</v>
      </c>
      <c r="AJ69" s="13">
        <f>AI69*VLOOKUP('Données projet'!$B$10,Paramètres!$A$1:$I$89,3,0)*VLOOKUP('Données projet'!$B$10,Paramètres!$A$1:$I$89,5,0)</f>
        <v>137.38724999999999</v>
      </c>
      <c r="AK69" s="13">
        <f t="shared" ref="AK69:AK132" si="89">EXP(-1.0587+0.8836*LN(AJ69)+0.284)</f>
        <v>35.697806485924644</v>
      </c>
      <c r="AL69" s="20">
        <f t="shared" si="58"/>
        <v>301.4564733796521</v>
      </c>
      <c r="AM69" s="59">
        <f t="shared" si="59"/>
        <v>565.90953249683912</v>
      </c>
      <c r="AN69" s="59">
        <f ca="1">AVERAGE(OFFSET($AM$3,0,0,'Données projet'!$E$10+1,1))-AVERAGE(OFFSET($H$3,0,0,'Données projet'!$E$10+1,1))</f>
        <v>325.45940224919184</v>
      </c>
      <c r="AO69" s="59">
        <f t="shared" ref="AO69:AO132" si="90">$AO$3</f>
        <v>256.30046621034876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28.75822447820271</v>
      </c>
      <c r="AV69" s="21">
        <f>EXP(-LN(2)/25)*AV68+(1-EXP(-LN(2)/25))/(LN(2)/25)*Calculateur!AQ69*Calculateur!AS69*VLOOKUP('Données projet'!$B$10,Paramètres!$A$1:$I$89,3,0)*0.475*44/12</f>
        <v>15.668842441773943</v>
      </c>
      <c r="AW69" s="21">
        <f>EXP(-LN(2)/2)*AW68+(1-EXP(-LN(2)/2))/(LN(2)/2)*AQ69*AT69*VLOOKUP('Données projet'!$B$10,Paramètres!$A$1:$I$89,3,0)*0.475*44/12</f>
        <v>4.4439769254303991</v>
      </c>
      <c r="AX69" s="21">
        <f t="shared" si="60"/>
        <v>48.871043845407051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6.8933333333333326</v>
      </c>
      <c r="BD69" s="12">
        <f>IF('Données projet'!$A$88&gt;35,BD68+BC69-BL68,IF(A69&lt;'Données projet'!$A$88,$BA$205^A69,IF(A69='Données projet'!$A$88,'Données projet'!$B$88,BD68+BC69-BL68)))</f>
        <v>170.10999999999996</v>
      </c>
      <c r="BE69" s="13">
        <f>BD69*VLOOKUP('Données projet'!$B$11,Paramètres!$A$1:$I$89,3,0)*VLOOKUP('Données projet'!$B$11,Paramètres!$A$1:$I$89,5,0)</f>
        <v>172.49153999999996</v>
      </c>
      <c r="BF69" s="13">
        <f t="shared" ref="BF69:BF132" si="91">EXP(-1.0587+0.8836*LN(BE69)+0.284)</f>
        <v>43.64757225366332</v>
      </c>
      <c r="BG69" s="20">
        <f t="shared" si="61"/>
        <v>376.44228717513016</v>
      </c>
      <c r="BH69" s="59">
        <f t="shared" si="62"/>
        <v>640.8953462923173</v>
      </c>
      <c r="BI69" s="59">
        <f ca="1">AVERAGE(OFFSET($BH$3,0,0,'Données projet'!$E$11+1,1))-AVERAGE(OFFSET($H$3,0,0,'Données projet'!$E$11+1,1))</f>
        <v>580.02848304986492</v>
      </c>
      <c r="BJ69" s="59">
        <f t="shared" ref="BJ69:BJ132" si="92">$BJ$3</f>
        <v>281.68891895586728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0</v>
      </c>
      <c r="BQ69" s="21">
        <f>EXP(-LN(2)/25)*BQ68+(1-EXP(-LN(2)/25))/(LN(2)/25)*Calculateur!BL69*Calculateur!BN69*VLOOKUP('Données projet'!$B$11,Paramètres!$A$1:$I$89,3,0)*0.475*44/12</f>
        <v>23.699092735692211</v>
      </c>
      <c r="BR69" s="21">
        <f>EXP(-LN(2)/2)*BR68+(1-EXP(-LN(2)/2))/(LN(2)/2)*BL69*BO69*VLOOKUP('Données projet'!$B$11,Paramètres!$A$1:$I$89,3,0)*0.475*44/12</f>
        <v>1.7429343388759202</v>
      </c>
      <c r="BS69" s="22">
        <f t="shared" si="63"/>
        <v>25.442027074568131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4.5999999999999996</v>
      </c>
      <c r="BY69" s="12">
        <f>IF('Données projet'!$A$114&gt;35,BY68+BX69-CG68,IF(A69&lt;'Données projet'!$A$114,$BV$205^A69,IF(A69='Données projet'!$A$114,'Données projet'!$B$114,BY68+BX69-CG68)))</f>
        <v>297.59999999999985</v>
      </c>
      <c r="BZ69" s="13">
        <f>BY69*VLOOKUP('Données projet'!$B$12,Paramètres!$A$1:$I$89,3,0)*VLOOKUP('Données projet'!$B$12,Paramètres!$A$1:$I$89,5,0)</f>
        <v>283.19615999999991</v>
      </c>
      <c r="CA69" s="13">
        <f t="shared" ref="CA69:CA132" si="93">EXP(-1.0587+0.8836*LN(BZ69)+0.284)</f>
        <v>67.642002537222012</v>
      </c>
      <c r="CB69" s="20">
        <f t="shared" si="64"/>
        <v>611.04313308566145</v>
      </c>
      <c r="CC69" s="59">
        <f t="shared" si="65"/>
        <v>875.49619220284853</v>
      </c>
      <c r="CD69" s="59">
        <f ca="1">AVERAGE(OFFSET($CC$3,0,0,'Données projet'!$E$12+1,1))-AVERAGE(OFFSET($H$3,0,0,'Données projet'!$E$12+1,1))</f>
        <v>439.15394290667945</v>
      </c>
      <c r="CE69" s="59">
        <f t="shared" ref="CE69:CE132" si="94">$CE$3</f>
        <v>423.56554025351068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14.105559486194263</v>
      </c>
      <c r="CL69" s="21">
        <f>EXP(-LN(2)/25)*CL68+(1-EXP(-LN(2)/25))/(LN(2)/25)*Calculateur!CG69*Calculateur!CI69*VLOOKUP('Données projet'!$B$12,Paramètres!$A$1:$I$89,3,0)*0.475*44/12</f>
        <v>15.253842023174686</v>
      </c>
      <c r="CM69" s="21">
        <f>EXP(-LN(2)/2)*CM68+(1-EXP(-LN(2)/2))/(LN(2)/2)*CG69*CJ69*VLOOKUP('Données projet'!$B$12,Paramètres!$A$1:$I$89,3,0)*0.475*44/12</f>
        <v>2.5570885564653625</v>
      </c>
      <c r="CN69" s="22">
        <f t="shared" si="66"/>
        <v>31.916490065834314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4.5999999999999996</v>
      </c>
      <c r="CT69" s="12">
        <f>IF('Données projet'!$A$140&gt;35,CT68+CS69-DB68,IF(A69&lt;'Données projet'!$A$140,$CQ$205^A69,IF(A69='Données projet'!$A$140,'Données projet'!$B$140,CT68+CS69-DB68)))</f>
        <v>297.59999999999985</v>
      </c>
      <c r="CU69" s="17">
        <f>CT69*VLOOKUP('Données projet'!$B$13,Paramètres!$A$1:$I$89,3,0)*VLOOKUP('Données projet'!$B$13,Paramètres!$A$1:$I$89,5,0)</f>
        <v>259.98335999999989</v>
      </c>
      <c r="CV69" s="13">
        <f t="shared" ref="CV69:CV132" si="95">EXP(-1.0587+0.8836*LN(CU69)+0.284)</f>
        <v>62.718830967388186</v>
      </c>
      <c r="CW69" s="20">
        <f t="shared" si="67"/>
        <v>562.03964926820083</v>
      </c>
      <c r="CX69" s="59">
        <f t="shared" si="68"/>
        <v>826.49270838538791</v>
      </c>
      <c r="CY69" s="59">
        <f ca="1">AVERAGE(OFFSET($CX$3,0,0,'Données projet'!$E$13+1,1))-AVERAGE(OFFSET($H$3,0,0,'Données projet'!$E$13+1,1))</f>
        <v>408.246209980743</v>
      </c>
      <c r="CZ69" s="59">
        <f t="shared" ref="CZ69:CZ132" si="96">$CZ$3</f>
        <v>394.10236303013903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>
        <f>EXP(-LN(2)/35)*DF68+(1-EXP(-LN(2)/35))/(LN(2)/35)*DB69*DC69*VLOOKUP('Données projet'!$B$13,Paramètres!$A$1:$I$89,3,0)*0.475*44/12</f>
        <v>15.960846570729926</v>
      </c>
      <c r="DG69" s="21">
        <f>EXP(-LN(2)/25)*DG68+(1-EXP(-LN(2)/25))/(LN(2)/25)*Calculateur!DB69*Calculateur!DD69*VLOOKUP('Données projet'!$B$13,Paramètres!$A$1:$I$89,3,0)*0.475*44/12</f>
        <v>17.260161313298688</v>
      </c>
      <c r="DH69" s="21">
        <f>EXP(-LN(2)/2)*DH68+(1-EXP(-LN(2)/2))/(LN(2)/2)*DB69*DE69*VLOOKUP('Données projet'!$B$13,Paramètres!$A$1:$I$89,3,0)*0.475*44/12</f>
        <v>2.3474911338042674</v>
      </c>
      <c r="DI69" s="22">
        <f t="shared" si="69"/>
        <v>35.568499017832885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4.5999999999999996</v>
      </c>
      <c r="DO69" s="12">
        <f>IF('Données projet'!$A$166&gt;35,DO68+DN69-DW68,IF(A69&lt;'Données projet'!$A$166,$DL$205^A69,IF(A69='Données projet'!$A$166,'Données projet'!$B$166,DO68+DN69-DW68)))</f>
        <v>297.59999999999985</v>
      </c>
      <c r="DP69" s="17">
        <f>DO69*VLOOKUP('Données projet'!$B$14,Paramètres!$A$1:$I$89,3,0)*VLOOKUP('Données projet'!$B$14,Paramètres!$A$1:$I$89,5,0)</f>
        <v>232.1279999999999</v>
      </c>
      <c r="DQ69" s="13">
        <f t="shared" ref="DQ69:DQ132" si="97">EXP(-1.0587+0.8836*LN(DP69)+0.284)</f>
        <v>56.742557967082348</v>
      </c>
      <c r="DR69" s="20">
        <f t="shared" si="70"/>
        <v>503.11622179266823</v>
      </c>
      <c r="DS69" s="59">
        <f t="shared" si="71"/>
        <v>767.56928090985525</v>
      </c>
      <c r="DT69" s="59">
        <f ca="1">AVERAGE(OFFSET($DS$3,0,0,'Données projet'!$E$14+1,1))-AVERAGE(OFFSET($H$3,0,0,'Données projet'!$E$14+1,1))</f>
        <v>371.07993287480366</v>
      </c>
      <c r="DU69" s="59">
        <f t="shared" ref="DU69:DU132" si="98">$DU$3</f>
        <v>358.67120540290637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>
        <f>EXP(-LN(2)/35)*EA68+(1-EXP(-LN(2)/35))/(LN(2)/35)*DW69*DX69*VLOOKUP('Données projet'!$B$14,Paramètres!$A$1:$I$89,3,0)*0.475*44/12</f>
        <v>11.561934005077264</v>
      </c>
      <c r="EB69" s="21">
        <f>EXP(-LN(2)/25)*EB68+(1-EXP(-LN(2)/25))/(LN(2)/25)*Calculateur!DW69*Calculateur!DY69*VLOOKUP('Données projet'!$B$14,Paramètres!$A$1:$I$89,3,0)*0.475*44/12</f>
        <v>12.503149199323511</v>
      </c>
      <c r="EC69" s="21">
        <f>EXP(-LN(2)/2)*EC68+(1-EXP(-LN(2)/2))/(LN(2)/2)*DW69*DZ69*VLOOKUP('Données projet'!$B$14,Paramètres!$A$1:$I$89,3,0)*0.475*44/12</f>
        <v>2.0959742266109527</v>
      </c>
      <c r="ED69" s="22">
        <f t="shared" si="72"/>
        <v>26.161057431011727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45">
      <c r="A70" s="10">
        <f t="shared" si="85"/>
        <v>67</v>
      </c>
      <c r="B70" s="73">
        <f>'Scénario référence'!$B$16*5+'Scénario référence'!$B$17*0+'Scénario référence'!$B$18*5</f>
        <v>5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1">
        <f t="shared" si="86"/>
        <v>0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18.333333333333332</v>
      </c>
      <c r="H70" s="67">
        <f t="shared" si="56"/>
        <v>183.33333333333334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9.733749999999997</v>
      </c>
      <c r="N70" s="13">
        <f>IF('Données projet'!$A$36&gt;35,N69+M70-V69,IF(A70&lt;'Données projet'!$A$36,$K$205^A70,IF(A70='Données projet'!$A$36,'Données projet'!$B$36,N69+M70-V69)))</f>
        <v>242.82375000000033</v>
      </c>
      <c r="O70" s="13">
        <f>N70*VLOOKUP('Données projet'!$B$9,Paramètres!$A$1:$I$89,3,0)*VLOOKUP('Données projet'!$B$9,Paramètres!$A$1:$I$89,5,0)</f>
        <v>219.70692900000031</v>
      </c>
      <c r="P70" s="13">
        <f t="shared" si="87"/>
        <v>54.051183245794981</v>
      </c>
      <c r="Q70" s="20">
        <f t="shared" si="54"/>
        <v>476.79537882809342</v>
      </c>
      <c r="R70" s="59">
        <f t="shared" si="55"/>
        <v>741.74944613631033</v>
      </c>
      <c r="S70" s="59">
        <f ca="1">AVERAGE(OFFSET($R$3,0,0,'Données projet'!$E$9+1,1))-AVERAGE(OFFSET($H$3,0,0,'Données projet'!$E$9+1,1))</f>
        <v>681.47578137804555</v>
      </c>
      <c r="T70" s="59">
        <f t="shared" si="88"/>
        <v>300.88511065995885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7.9222373986385248</v>
      </c>
      <c r="AA70" s="21">
        <f>EXP(-LN(2)/25)*AA69+(1-EXP(-LN(2)/25))/(LN(2)/25)*Calculateur!V70*Calculateur!X70*VLOOKUP('Données projet'!$B$9,Paramètres!$A$1:$I$89,3,0)*0.475*44/12</f>
        <v>32.893117017752324</v>
      </c>
      <c r="AB70" s="21">
        <f>EXP(-LN(2)/2)*AB69+(1-EXP(-LN(2)/2))/(LN(2)/2)*V70*Y70*VLOOKUP('Données projet'!$B$9,Paramètres!$A$1:$I$89,3,0)*0.475*44/12</f>
        <v>3.6200701778093825</v>
      </c>
      <c r="AC70" s="22">
        <f t="shared" si="57"/>
        <v>44.435424594200228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11.327500000000001</v>
      </c>
      <c r="AI70" s="13">
        <f>IF('Données projet'!$A$62&gt;35,AI69+AH70-AQ69,IF(A70&lt;'Données projet'!$A$62,$AF$205^A70,IF(A70='Données projet'!$A$62,'Données projet'!$B$62,AI69+AH70-AQ69)))</f>
        <v>304.89</v>
      </c>
      <c r="AJ70" s="13">
        <f>AI70*VLOOKUP('Données projet'!$B$10,Paramètres!$A$1:$I$89,3,0)*VLOOKUP('Données projet'!$B$10,Paramètres!$A$1:$I$89,5,0)</f>
        <v>142.68851999999998</v>
      </c>
      <c r="AK70" s="13">
        <f t="shared" si="89"/>
        <v>36.912224176610735</v>
      </c>
      <c r="AL70" s="20">
        <f t="shared" si="58"/>
        <v>312.80462944093028</v>
      </c>
      <c r="AM70" s="59">
        <f t="shared" si="59"/>
        <v>577.75869674914725</v>
      </c>
      <c r="AN70" s="59">
        <f ca="1">AVERAGE(OFFSET($AM$3,0,0,'Données projet'!$E$10+1,1))-AVERAGE(OFFSET($H$3,0,0,'Données projet'!$E$10+1,1))</f>
        <v>325.45940224919184</v>
      </c>
      <c r="AO70" s="59">
        <f t="shared" si="90"/>
        <v>256.30046621034876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28.194293236970079</v>
      </c>
      <c r="AV70" s="21">
        <f>EXP(-LN(2)/25)*AV69+(1-EXP(-LN(2)/25))/(LN(2)/25)*Calculateur!AQ70*Calculateur!AS70*VLOOKUP('Données projet'!$B$10,Paramètres!$A$1:$I$89,3,0)*0.475*44/12</f>
        <v>15.240377121215023</v>
      </c>
      <c r="AW70" s="21">
        <f>EXP(-LN(2)/2)*AW69+(1-EXP(-LN(2)/2))/(LN(2)/2)*AQ70*AT70*VLOOKUP('Données projet'!$B$10,Paramètres!$A$1:$I$89,3,0)*0.475*44/12</f>
        <v>3.1423662194083795</v>
      </c>
      <c r="AX70" s="21">
        <f t="shared" si="60"/>
        <v>46.577036577593482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6.8933333333333326</v>
      </c>
      <c r="BD70" s="12">
        <f>IF('Données projet'!$A$88&gt;35,BD69+BC70-BL69,IF(A70&lt;'Données projet'!$A$88,$BA$205^A70,IF(A70='Données projet'!$A$88,'Données projet'!$B$88,BD69+BC70-BL69)))</f>
        <v>177.0033333333333</v>
      </c>
      <c r="BE70" s="13">
        <f>BD70*VLOOKUP('Données projet'!$B$11,Paramètres!$A$1:$I$89,3,0)*VLOOKUP('Données projet'!$B$11,Paramètres!$A$1:$I$89,5,0)</f>
        <v>179.48137999999997</v>
      </c>
      <c r="BF70" s="13">
        <f t="shared" si="91"/>
        <v>45.20678340248292</v>
      </c>
      <c r="BG70" s="20">
        <f t="shared" si="61"/>
        <v>391.33188459265767</v>
      </c>
      <c r="BH70" s="59">
        <f t="shared" si="62"/>
        <v>656.28595190087458</v>
      </c>
      <c r="BI70" s="59">
        <f ca="1">AVERAGE(OFFSET($BH$3,0,0,'Données projet'!$E$11+1,1))-AVERAGE(OFFSET($H$3,0,0,'Données projet'!$E$11+1,1))</f>
        <v>580.02848304986492</v>
      </c>
      <c r="BJ70" s="59">
        <f t="shared" si="92"/>
        <v>281.68891895586728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0</v>
      </c>
      <c r="BQ70" s="21">
        <f>EXP(-LN(2)/25)*BQ69+(1-EXP(-LN(2)/25))/(LN(2)/25)*Calculateur!BL70*Calculateur!BN70*VLOOKUP('Données projet'!$B$11,Paramètres!$A$1:$I$89,3,0)*0.475*44/12</f>
        <v>23.051039798553585</v>
      </c>
      <c r="BR70" s="21">
        <f>EXP(-LN(2)/2)*BR69+(1-EXP(-LN(2)/2))/(LN(2)/2)*BL70*BO70*VLOOKUP('Données projet'!$B$11,Paramètres!$A$1:$I$89,3,0)*0.475*44/12</f>
        <v>1.2324406901820553</v>
      </c>
      <c r="BS70" s="22">
        <f t="shared" si="63"/>
        <v>24.283480488735641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4.5999999999999996</v>
      </c>
      <c r="BY70" s="12">
        <f>IF('Données projet'!$A$114&gt;35,BY69+BX70-CG69,IF(A70&lt;'Données projet'!$A$114,$BV$205^A70,IF(A70='Données projet'!$A$114,'Données projet'!$B$114,BY69+BX70-CG69)))</f>
        <v>302.19999999999987</v>
      </c>
      <c r="BZ70" s="13">
        <f>BY70*VLOOKUP('Données projet'!$B$12,Paramètres!$A$1:$I$89,3,0)*VLOOKUP('Données projet'!$B$12,Paramètres!$A$1:$I$89,5,0)</f>
        <v>287.57351999999992</v>
      </c>
      <c r="CA70" s="13">
        <f t="shared" si="93"/>
        <v>68.565016846194737</v>
      </c>
      <c r="CB70" s="20">
        <f t="shared" si="64"/>
        <v>620.27461834045573</v>
      </c>
      <c r="CC70" s="59">
        <f t="shared" si="65"/>
        <v>885.22868564867258</v>
      </c>
      <c r="CD70" s="59">
        <f ca="1">AVERAGE(OFFSET($CC$3,0,0,'Données projet'!$E$12+1,1))-AVERAGE(OFFSET($H$3,0,0,'Données projet'!$E$12+1,1))</f>
        <v>439.15394290667945</v>
      </c>
      <c r="CE70" s="59">
        <f t="shared" si="94"/>
        <v>423.56554025351068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13.828958068211751</v>
      </c>
      <c r="CL70" s="21">
        <f>EXP(-LN(2)/25)*CL69+(1-EXP(-LN(2)/25))/(LN(2)/25)*Calculateur!CG70*Calculateur!CI70*VLOOKUP('Données projet'!$B$12,Paramètres!$A$1:$I$89,3,0)*0.475*44/12</f>
        <v>14.836724910886286</v>
      </c>
      <c r="CM70" s="21">
        <f>EXP(-LN(2)/2)*CM69+(1-EXP(-LN(2)/2))/(LN(2)/2)*CG70*CJ70*VLOOKUP('Données projet'!$B$12,Paramètres!$A$1:$I$89,3,0)*0.475*44/12</f>
        <v>1.8081346583711779</v>
      </c>
      <c r="CN70" s="22">
        <f t="shared" si="66"/>
        <v>30.473817637469214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4.5999999999999996</v>
      </c>
      <c r="CT70" s="12">
        <f>IF('Données projet'!$A$140&gt;35,CT69+CS70-DB69,IF(A70&lt;'Données projet'!$A$140,$CQ$205^A70,IF(A70='Données projet'!$A$140,'Données projet'!$B$140,CT69+CS70-DB69)))</f>
        <v>302.19999999999987</v>
      </c>
      <c r="CU70" s="17">
        <f>CT70*VLOOKUP('Données projet'!$B$13,Paramètres!$A$1:$I$89,3,0)*VLOOKUP('Données projet'!$B$13,Paramètres!$A$1:$I$89,5,0)</f>
        <v>264.00191999999993</v>
      </c>
      <c r="CV70" s="13">
        <f t="shared" si="95"/>
        <v>63.574665748345318</v>
      </c>
      <c r="CW70" s="20">
        <f t="shared" si="67"/>
        <v>570.52922017836795</v>
      </c>
      <c r="CX70" s="59">
        <f t="shared" si="68"/>
        <v>835.48328748658491</v>
      </c>
      <c r="CY70" s="59">
        <f ca="1">AVERAGE(OFFSET($CX$3,0,0,'Données projet'!$E$13+1,1))-AVERAGE(OFFSET($H$3,0,0,'Données projet'!$E$13+1,1))</f>
        <v>408.246209980743</v>
      </c>
      <c r="CZ70" s="59">
        <f t="shared" si="96"/>
        <v>394.10236303013903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>
        <f>EXP(-LN(2)/35)*DF69+(1-EXP(-LN(2)/35))/(LN(2)/35)*DB70*DC70*VLOOKUP('Données projet'!$B$13,Paramètres!$A$1:$I$89,3,0)*0.475*44/12</f>
        <v>15.647864104633053</v>
      </c>
      <c r="DG70" s="21">
        <f>EXP(-LN(2)/25)*DG69+(1-EXP(-LN(2)/25))/(LN(2)/25)*Calculateur!DB70*Calculateur!DD70*VLOOKUP('Données projet'!$B$13,Paramètres!$A$1:$I$89,3,0)*0.475*44/12</f>
        <v>16.7881812945141</v>
      </c>
      <c r="DH70" s="21">
        <f>EXP(-LN(2)/2)*DH69+(1-EXP(-LN(2)/2))/(LN(2)/2)*DB70*DE70*VLOOKUP('Données projet'!$B$13,Paramètres!$A$1:$I$89,3,0)*0.475*44/12</f>
        <v>1.6599268994882945</v>
      </c>
      <c r="DI70" s="22">
        <f t="shared" si="69"/>
        <v>34.095972298635452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4.5999999999999996</v>
      </c>
      <c r="DO70" s="12">
        <f>IF('Données projet'!$A$166&gt;35,DO69+DN70-DW69,IF(A70&lt;'Données projet'!$A$166,$DL$205^A70,IF(A70='Données projet'!$A$166,'Données projet'!$B$166,DO69+DN70-DW69)))</f>
        <v>302.19999999999987</v>
      </c>
      <c r="DP70" s="17">
        <f>DO70*VLOOKUP('Données projet'!$B$14,Paramètres!$A$1:$I$89,3,0)*VLOOKUP('Données projet'!$B$14,Paramètres!$A$1:$I$89,5,0)</f>
        <v>235.71599999999992</v>
      </c>
      <c r="DQ70" s="13">
        <f t="shared" si="97"/>
        <v>57.516843040953638</v>
      </c>
      <c r="DR70" s="20">
        <f t="shared" si="70"/>
        <v>510.71386829632746</v>
      </c>
      <c r="DS70" s="59">
        <f t="shared" si="71"/>
        <v>775.66793560454437</v>
      </c>
      <c r="DT70" s="59">
        <f ca="1">AVERAGE(OFFSET($DS$3,0,0,'Données projet'!$E$14+1,1))-AVERAGE(OFFSET($H$3,0,0,'Données projet'!$E$14+1,1))</f>
        <v>371.07993287480366</v>
      </c>
      <c r="DU70" s="59">
        <f t="shared" si="98"/>
        <v>358.67120540290637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>
        <f>EXP(-LN(2)/35)*EA69+(1-EXP(-LN(2)/35))/(LN(2)/35)*DW70*DX70*VLOOKUP('Données projet'!$B$14,Paramètres!$A$1:$I$89,3,0)*0.475*44/12</f>
        <v>11.335211531321107</v>
      </c>
      <c r="EB70" s="21">
        <f>EXP(-LN(2)/25)*EB69+(1-EXP(-LN(2)/25))/(LN(2)/25)*Calculateur!DW70*Calculateur!DY70*VLOOKUP('Données projet'!$B$14,Paramètres!$A$1:$I$89,3,0)*0.475*44/12</f>
        <v>12.16124992695597</v>
      </c>
      <c r="EC70" s="21">
        <f>EXP(-LN(2)/2)*EC69+(1-EXP(-LN(2)/2))/(LN(2)/2)*DW70*DZ70*VLOOKUP('Données projet'!$B$14,Paramètres!$A$1:$I$89,3,0)*0.475*44/12</f>
        <v>1.4820775888288342</v>
      </c>
      <c r="ED70" s="22">
        <f t="shared" si="72"/>
        <v>24.978539047105908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45">
      <c r="A71" s="10">
        <f t="shared" si="85"/>
        <v>68</v>
      </c>
      <c r="B71" s="73">
        <f>'Scénario référence'!$B$16*5+'Scénario référence'!$B$17*0+'Scénario référence'!$B$18*5</f>
        <v>5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1">
        <f t="shared" si="86"/>
        <v>0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18.333333333333332</v>
      </c>
      <c r="H71" s="67">
        <f t="shared" si="56"/>
        <v>183.33333333333334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9.733749999999997</v>
      </c>
      <c r="N71" s="13">
        <f>IF('Données projet'!$A$36&gt;35,N70+M71-V70,IF(A71&lt;'Données projet'!$A$36,$K$205^A71,IF(A71='Données projet'!$A$36,'Données projet'!$B$36,N70+M71-V70)))</f>
        <v>252.55750000000032</v>
      </c>
      <c r="O71" s="13">
        <f>N71*VLOOKUP('Données projet'!$B$9,Paramètres!$A$1:$I$89,3,0)*VLOOKUP('Données projet'!$B$9,Paramètres!$A$1:$I$89,5,0)</f>
        <v>228.51402600000029</v>
      </c>
      <c r="P71" s="13">
        <f t="shared" si="87"/>
        <v>55.96125810397254</v>
      </c>
      <c r="Q71" s="20">
        <f t="shared" si="54"/>
        <v>495.46111981441936</v>
      </c>
      <c r="R71" s="59">
        <f t="shared" si="55"/>
        <v>760.9075039416382</v>
      </c>
      <c r="S71" s="59">
        <f ca="1">AVERAGE(OFFSET($R$3,0,0,'Données projet'!$E$9+1,1))-AVERAGE(OFFSET($H$3,0,0,'Données projet'!$E$9+1,1))</f>
        <v>681.47578137804555</v>
      </c>
      <c r="T71" s="59">
        <f t="shared" si="88"/>
        <v>300.88511065995885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7.7668871553389076</v>
      </c>
      <c r="AA71" s="21">
        <f>EXP(-LN(2)/25)*AA70+(1-EXP(-LN(2)/25))/(LN(2)/25)*Calculateur!V71*Calculateur!X71*VLOOKUP('Données projet'!$B$9,Paramètres!$A$1:$I$89,3,0)*0.475*44/12</f>
        <v>31.993653003128042</v>
      </c>
      <c r="AB71" s="21">
        <f>EXP(-LN(2)/2)*AB70+(1-EXP(-LN(2)/2))/(LN(2)/2)*V71*Y71*VLOOKUP('Données projet'!$B$9,Paramètres!$A$1:$I$89,3,0)*0.475*44/12</f>
        <v>2.5597761711002054</v>
      </c>
      <c r="AC71" s="22">
        <f t="shared" si="57"/>
        <v>42.320316329567156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11.327500000000001</v>
      </c>
      <c r="AI71" s="13">
        <f>IF('Données projet'!$A$62&gt;35,AI70+AH71-AQ70,IF(A71&lt;'Données projet'!$A$62,$AF$205^A71,IF(A71='Données projet'!$A$62,'Données projet'!$B$62,AI70+AH71-AQ70)))</f>
        <v>316.21749999999997</v>
      </c>
      <c r="AJ71" s="13">
        <f>AI71*VLOOKUP('Données projet'!$B$10,Paramètres!$A$1:$I$89,3,0)*VLOOKUP('Données projet'!$B$10,Paramètres!$A$1:$I$89,5,0)</f>
        <v>147.98979</v>
      </c>
      <c r="AK71" s="13">
        <f t="shared" si="89"/>
        <v>38.121400087534369</v>
      </c>
      <c r="AL71" s="20">
        <f t="shared" si="58"/>
        <v>324.1436560691223</v>
      </c>
      <c r="AM71" s="59">
        <f t="shared" si="59"/>
        <v>589.59004019634108</v>
      </c>
      <c r="AN71" s="59">
        <f ca="1">AVERAGE(OFFSET($AM$3,0,0,'Données projet'!$E$10+1,1))-AVERAGE(OFFSET($H$3,0,0,'Données projet'!$E$10+1,1))</f>
        <v>325.45940224919184</v>
      </c>
      <c r="AO71" s="59">
        <f t="shared" si="90"/>
        <v>256.30046621034876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27.641420343413927</v>
      </c>
      <c r="AV71" s="21">
        <f>EXP(-LN(2)/25)*AV70+(1-EXP(-LN(2)/25))/(LN(2)/25)*Calculateur!AQ71*Calculateur!AS71*VLOOKUP('Données projet'!$B$10,Paramètres!$A$1:$I$89,3,0)*0.475*44/12</f>
        <v>14.823628207378798</v>
      </c>
      <c r="AW71" s="21">
        <f>EXP(-LN(2)/2)*AW70+(1-EXP(-LN(2)/2))/(LN(2)/2)*AQ71*AT71*VLOOKUP('Données projet'!$B$10,Paramètres!$A$1:$I$89,3,0)*0.475*44/12</f>
        <v>2.2219884627151996</v>
      </c>
      <c r="AX71" s="21">
        <f t="shared" si="60"/>
        <v>44.687037013507926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6.8933333333333326</v>
      </c>
      <c r="BD71" s="12">
        <f>IF('Données projet'!$A$88&gt;35,BD70+BC71-BL70,IF(A71&lt;'Données projet'!$A$88,$BA$205^A71,IF(A71='Données projet'!$A$88,'Données projet'!$B$88,BD70+BC71-BL70)))</f>
        <v>183.89666666666665</v>
      </c>
      <c r="BE71" s="13">
        <f>BD71*VLOOKUP('Données projet'!$B$11,Paramètres!$A$1:$I$89,3,0)*VLOOKUP('Données projet'!$B$11,Paramètres!$A$1:$I$89,5,0)</f>
        <v>186.47121999999999</v>
      </c>
      <c r="BF71" s="13">
        <f t="shared" si="91"/>
        <v>46.758940514498235</v>
      </c>
      <c r="BG71" s="20">
        <f t="shared" si="61"/>
        <v>406.20919622941773</v>
      </c>
      <c r="BH71" s="59">
        <f t="shared" si="62"/>
        <v>671.65558035663662</v>
      </c>
      <c r="BI71" s="59">
        <f ca="1">AVERAGE(OFFSET($BH$3,0,0,'Données projet'!$E$11+1,1))-AVERAGE(OFFSET($H$3,0,0,'Données projet'!$E$11+1,1))</f>
        <v>580.02848304986492</v>
      </c>
      <c r="BJ71" s="59">
        <f t="shared" si="92"/>
        <v>281.68891895586728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0</v>
      </c>
      <c r="BQ71" s="21">
        <f>EXP(-LN(2)/25)*BQ70+(1-EXP(-LN(2)/25))/(LN(2)/25)*Calculateur!BL71*Calculateur!BN71*VLOOKUP('Données projet'!$B$11,Paramètres!$A$1:$I$89,3,0)*0.475*44/12</f>
        <v>22.420707903060638</v>
      </c>
      <c r="BR71" s="21">
        <f>EXP(-LN(2)/2)*BR70+(1-EXP(-LN(2)/2))/(LN(2)/2)*BL71*BO71*VLOOKUP('Données projet'!$B$11,Paramètres!$A$1:$I$89,3,0)*0.475*44/12</f>
        <v>0.87146716943796021</v>
      </c>
      <c r="BS71" s="22">
        <f t="shared" si="63"/>
        <v>23.292175072498598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4.5999999999999996</v>
      </c>
      <c r="BY71" s="12">
        <f>IF('Données projet'!$A$114&gt;35,BY70+BX71-CG70,IF(A71&lt;'Données projet'!$A$114,$BV$205^A71,IF(A71='Données projet'!$A$114,'Données projet'!$B$114,BY70+BX71-CG70)))</f>
        <v>306.7999999999999</v>
      </c>
      <c r="BZ71" s="13">
        <f>BY71*VLOOKUP('Données projet'!$B$12,Paramètres!$A$1:$I$89,3,0)*VLOOKUP('Données projet'!$B$12,Paramètres!$A$1:$I$89,5,0)</f>
        <v>291.95087999999993</v>
      </c>
      <c r="CA71" s="13">
        <f t="shared" si="93"/>
        <v>69.486397133420212</v>
      </c>
      <c r="CB71" s="20">
        <f t="shared" si="64"/>
        <v>629.50325767404001</v>
      </c>
      <c r="CC71" s="59">
        <f t="shared" si="65"/>
        <v>894.94964180125885</v>
      </c>
      <c r="CD71" s="59">
        <f ca="1">AVERAGE(OFFSET($CC$3,0,0,'Données projet'!$E$12+1,1))-AVERAGE(OFFSET($H$3,0,0,'Données projet'!$E$12+1,1))</f>
        <v>439.15394290667945</v>
      </c>
      <c r="CE71" s="59">
        <f t="shared" si="94"/>
        <v>423.56554025351068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13.55778063532567</v>
      </c>
      <c r="CL71" s="21">
        <f>EXP(-LN(2)/25)*CL70+(1-EXP(-LN(2)/25))/(LN(2)/25)*Calculateur!CG71*Calculateur!CI71*VLOOKUP('Données projet'!$B$12,Paramètres!$A$1:$I$89,3,0)*0.475*44/12</f>
        <v>14.431013887968646</v>
      </c>
      <c r="CM71" s="21">
        <f>EXP(-LN(2)/2)*CM70+(1-EXP(-LN(2)/2))/(LN(2)/2)*CG71*CJ71*VLOOKUP('Données projet'!$B$12,Paramètres!$A$1:$I$89,3,0)*0.475*44/12</f>
        <v>1.2785442782326815</v>
      </c>
      <c r="CN71" s="22">
        <f t="shared" si="66"/>
        <v>29.267338801526996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4.5999999999999996</v>
      </c>
      <c r="CT71" s="12">
        <f>IF('Données projet'!$A$140&gt;35,CT70+CS71-DB70,IF(A71&lt;'Données projet'!$A$140,$CQ$205^A71,IF(A71='Données projet'!$A$140,'Données projet'!$B$140,CT70+CS71-DB70)))</f>
        <v>306.7999999999999</v>
      </c>
      <c r="CU71" s="17">
        <f>CT71*VLOOKUP('Données projet'!$B$13,Paramètres!$A$1:$I$89,3,0)*VLOOKUP('Données projet'!$B$13,Paramètres!$A$1:$I$89,5,0)</f>
        <v>268.02047999999996</v>
      </c>
      <c r="CV71" s="13">
        <f t="shared" si="95"/>
        <v>64.42898543616613</v>
      </c>
      <c r="CW71" s="20">
        <f t="shared" si="67"/>
        <v>579.01615230132256</v>
      </c>
      <c r="CX71" s="59">
        <f t="shared" si="68"/>
        <v>844.4625364285414</v>
      </c>
      <c r="CY71" s="59">
        <f ca="1">AVERAGE(OFFSET($CX$3,0,0,'Données projet'!$E$13+1,1))-AVERAGE(OFFSET($H$3,0,0,'Données projet'!$E$13+1,1))</f>
        <v>408.246209980743</v>
      </c>
      <c r="CZ71" s="59">
        <f t="shared" si="96"/>
        <v>394.10236303013903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>
        <f>EXP(-LN(2)/35)*DF70+(1-EXP(-LN(2)/35))/(LN(2)/35)*DB71*DC71*VLOOKUP('Données projet'!$B$13,Paramètres!$A$1:$I$89,3,0)*0.475*44/12</f>
        <v>15.341019033795886</v>
      </c>
      <c r="DG71" s="21">
        <f>EXP(-LN(2)/25)*DG70+(1-EXP(-LN(2)/25))/(LN(2)/25)*Calculateur!DB71*Calculateur!DD71*VLOOKUP('Données projet'!$B$13,Paramètres!$A$1:$I$89,3,0)*0.475*44/12</f>
        <v>16.329107594163528</v>
      </c>
      <c r="DH71" s="21">
        <f>EXP(-LN(2)/2)*DH70+(1-EXP(-LN(2)/2))/(LN(2)/2)*DB71*DE71*VLOOKUP('Données projet'!$B$13,Paramètres!$A$1:$I$89,3,0)*0.475*44/12</f>
        <v>1.1737455669021337</v>
      </c>
      <c r="DI71" s="22">
        <f t="shared" si="69"/>
        <v>32.843872194861547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4.5999999999999996</v>
      </c>
      <c r="DO71" s="12">
        <f>IF('Données projet'!$A$166&gt;35,DO70+DN71-DW70,IF(A71&lt;'Données projet'!$A$166,$DL$205^A71,IF(A71='Données projet'!$A$166,'Données projet'!$B$166,DO70+DN71-DW70)))</f>
        <v>306.7999999999999</v>
      </c>
      <c r="DP71" s="17">
        <f>DO71*VLOOKUP('Données projet'!$B$14,Paramètres!$A$1:$I$89,3,0)*VLOOKUP('Données projet'!$B$14,Paramètres!$A$1:$I$89,5,0)</f>
        <v>239.30399999999992</v>
      </c>
      <c r="DQ71" s="13">
        <f t="shared" si="97"/>
        <v>58.289757389975783</v>
      </c>
      <c r="DR71" s="20">
        <f t="shared" si="70"/>
        <v>518.30912745420756</v>
      </c>
      <c r="DS71" s="59">
        <f t="shared" si="71"/>
        <v>783.75551158142639</v>
      </c>
      <c r="DT71" s="59">
        <f ca="1">AVERAGE(OFFSET($DS$3,0,0,'Données projet'!$E$14+1,1))-AVERAGE(OFFSET($H$3,0,0,'Données projet'!$E$14+1,1))</f>
        <v>371.07993287480366</v>
      </c>
      <c r="DU71" s="59">
        <f t="shared" si="98"/>
        <v>358.67120540290637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>
        <f>EXP(-LN(2)/35)*EA70+(1-EXP(-LN(2)/35))/(LN(2)/35)*DW71*DX71*VLOOKUP('Données projet'!$B$14,Paramètres!$A$1:$I$89,3,0)*0.475*44/12</f>
        <v>11.112934946988254</v>
      </c>
      <c r="EB71" s="21">
        <f>EXP(-LN(2)/25)*EB70+(1-EXP(-LN(2)/25))/(LN(2)/25)*Calculateur!DW71*Calculateur!DY71*VLOOKUP('Données projet'!$B$14,Paramètres!$A$1:$I$89,3,0)*0.475*44/12</f>
        <v>11.82869990817102</v>
      </c>
      <c r="EC71" s="21">
        <f>EXP(-LN(2)/2)*EC70+(1-EXP(-LN(2)/2))/(LN(2)/2)*DW71*DZ71*VLOOKUP('Données projet'!$B$14,Paramètres!$A$1:$I$89,3,0)*0.475*44/12</f>
        <v>1.0479871133054766</v>
      </c>
      <c r="ED71" s="22">
        <f t="shared" si="72"/>
        <v>23.98962196846475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45">
      <c r="A72" s="10">
        <f t="shared" si="85"/>
        <v>69</v>
      </c>
      <c r="B72" s="73">
        <f>'Scénario référence'!$B$16*5+'Scénario référence'!$B$17*0+'Scénario référence'!$B$18*5</f>
        <v>5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1">
        <f t="shared" si="86"/>
        <v>0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18.333333333333332</v>
      </c>
      <c r="H72" s="67">
        <f t="shared" si="56"/>
        <v>183.33333333333334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9.733749999999997</v>
      </c>
      <c r="N72" s="13">
        <f>IF('Données projet'!$A$36&gt;35,N71+M72-V71,IF(A72&lt;'Données projet'!$A$36,$K$205^A72,IF(A72='Données projet'!$A$36,'Données projet'!$B$36,N71+M72-V71)))</f>
        <v>262.29125000000033</v>
      </c>
      <c r="O72" s="13">
        <f>N72*VLOOKUP('Données projet'!$B$9,Paramètres!$A$1:$I$89,3,0)*VLOOKUP('Données projet'!$B$9,Paramètres!$A$1:$I$89,5,0)</f>
        <v>237.32112300000028</v>
      </c>
      <c r="P72" s="13">
        <f t="shared" si="87"/>
        <v>57.862781053141006</v>
      </c>
      <c r="Q72" s="20">
        <f t="shared" si="54"/>
        <v>514.11196622588784</v>
      </c>
      <c r="R72" s="59">
        <f t="shared" si="55"/>
        <v>780.0421265759544</v>
      </c>
      <c r="S72" s="59">
        <f ca="1">AVERAGE(OFFSET($R$3,0,0,'Données projet'!$E$9+1,1))-AVERAGE(OFFSET($H$3,0,0,'Données projet'!$E$9+1,1))</f>
        <v>681.47578137804555</v>
      </c>
      <c r="T72" s="59">
        <f t="shared" si="88"/>
        <v>300.88511065995885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7.6145832355561032</v>
      </c>
      <c r="AA72" s="21">
        <f>EXP(-LN(2)/25)*AA71+(1-EXP(-LN(2)/25))/(LN(2)/25)*Calculateur!V72*Calculateur!X72*VLOOKUP('Données projet'!$B$9,Paramètres!$A$1:$I$89,3,0)*0.475*44/12</f>
        <v>31.118784879284416</v>
      </c>
      <c r="AB72" s="21">
        <f>EXP(-LN(2)/2)*AB71+(1-EXP(-LN(2)/2))/(LN(2)/2)*V72*Y72*VLOOKUP('Données projet'!$B$9,Paramètres!$A$1:$I$89,3,0)*0.475*44/12</f>
        <v>1.8100350889046914</v>
      </c>
      <c r="AC72" s="22">
        <f t="shared" si="57"/>
        <v>40.543403203745207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11.327500000000001</v>
      </c>
      <c r="AI72" s="13">
        <f>IF('Données projet'!$A$62&gt;35,AI71+AH72-AQ71,IF(A72&lt;'Données projet'!$A$62,$AF$205^A72,IF(A72='Données projet'!$A$62,'Données projet'!$B$62,AI71+AH72-AQ71)))</f>
        <v>327.54499999999996</v>
      </c>
      <c r="AJ72" s="13">
        <f>AI72*VLOOKUP('Données projet'!$B$10,Paramètres!$A$1:$I$89,3,0)*VLOOKUP('Données projet'!$B$10,Paramètres!$A$1:$I$89,5,0)</f>
        <v>153.29105999999996</v>
      </c>
      <c r="AK72" s="13">
        <f t="shared" si="89"/>
        <v>39.325543500070239</v>
      </c>
      <c r="AL72" s="20">
        <f t="shared" si="58"/>
        <v>335.47391776262225</v>
      </c>
      <c r="AM72" s="59">
        <f t="shared" si="59"/>
        <v>601.40407811268881</v>
      </c>
      <c r="AN72" s="59">
        <f ca="1">AVERAGE(OFFSET($AM$3,0,0,'Données projet'!$E$10+1,1))-AVERAGE(OFFSET($H$3,0,0,'Données projet'!$E$10+1,1))</f>
        <v>325.45940224919184</v>
      </c>
      <c r="AO72" s="59">
        <f t="shared" si="90"/>
        <v>256.30046621034876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27.099388950081241</v>
      </c>
      <c r="AV72" s="21">
        <f>EXP(-LN(2)/25)*AV71+(1-EXP(-LN(2)/25))/(LN(2)/25)*Calculateur!AQ72*Calculateur!AS72*VLOOKUP('Données projet'!$B$10,Paramètres!$A$1:$I$89,3,0)*0.475*44/12</f>
        <v>14.418275314507298</v>
      </c>
      <c r="AW72" s="21">
        <f>EXP(-LN(2)/2)*AW71+(1-EXP(-LN(2)/2))/(LN(2)/2)*AQ72*AT72*VLOOKUP('Données projet'!$B$10,Paramètres!$A$1:$I$89,3,0)*0.475*44/12</f>
        <v>1.5711831097041897</v>
      </c>
      <c r="AX72" s="21">
        <f t="shared" si="60"/>
        <v>43.088847374292726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>
        <f>VLOOKUP(A72,'Données projet'!$A$87:$I$107,2,0)</f>
        <v>190.79</v>
      </c>
      <c r="BB72" s="12">
        <f>VLOOKUP(A72,'Données projet'!$A$87:$I$107,9,0)</f>
        <v>6.8933333333333326</v>
      </c>
      <c r="BC72" s="12">
        <f t="array" ref="BC72">INDEX(BB:BB,MIN(IF(ISNUMBER(BB72:BB268),ROW(BB72:BB268),"")))</f>
        <v>6.8933333333333326</v>
      </c>
      <c r="BD72" s="12">
        <f>IF('Données projet'!$A$88&gt;35,BD71+BC72-BL71,IF(A72&lt;'Données projet'!$A$88,$BA$205^A72,IF(A72='Données projet'!$A$88,'Données projet'!$B$88,BD71+BC72-BL71)))</f>
        <v>190.79</v>
      </c>
      <c r="BE72" s="13">
        <f>BD72*VLOOKUP('Données projet'!$B$11,Paramètres!$A$1:$I$89,3,0)*VLOOKUP('Données projet'!$B$11,Paramètres!$A$1:$I$89,5,0)</f>
        <v>193.46106</v>
      </c>
      <c r="BF72" s="13">
        <f t="shared" si="91"/>
        <v>48.304338284801261</v>
      </c>
      <c r="BG72" s="20">
        <f t="shared" si="61"/>
        <v>421.07473534602883</v>
      </c>
      <c r="BH72" s="59">
        <f t="shared" si="62"/>
        <v>687.00489569609545</v>
      </c>
      <c r="BI72" s="59">
        <f ca="1">AVERAGE(OFFSET($BH$3,0,0,'Données projet'!$E$11+1,1))-AVERAGE(OFFSET($H$3,0,0,'Données projet'!$E$11+1,1))</f>
        <v>580.02848304986492</v>
      </c>
      <c r="BJ72" s="59">
        <f t="shared" si="92"/>
        <v>281.68891895586728</v>
      </c>
      <c r="BK72" s="15">
        <f>IF(ISNA(VLOOKUP(A72,'Données projet'!$A$87:$I$107,3,0)),0,VLOOKUP(A72,'Données projet'!$A$87:$I$107,3,0))</f>
        <v>2</v>
      </c>
      <c r="BL72" s="15">
        <f>IF(ISNA(VLOOKUP(A72,'Données projet'!$A$87:$I$107,4,0)),0,VLOOKUP(A72,'Données projet'!$A$87:$I$107,4,0))</f>
        <v>42.22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0.34400000000000003</v>
      </c>
      <c r="BO72" s="16">
        <f>IF(ISNA(VLOOKUP(A72,'Données projet'!$A$87:$I$107,7,0)),0%,VLOOKUP(A72,'Données projet'!$A$87:$I$107,7,0))</f>
        <v>0.2</v>
      </c>
      <c r="BP72" s="21">
        <f>EXP(-LN(2)/35)*BP71+(1-EXP(-LN(2)/35))/(LN(2)/35)*BL72*BM72*VLOOKUP('Données projet'!$B$11,Paramètres!$A$1:$I$89,3,0)*0.475*44/12</f>
        <v>0</v>
      </c>
      <c r="BQ72" s="21">
        <f>EXP(-LN(2)/25)*BQ71+(1-EXP(-LN(2)/25))/(LN(2)/25)*Calculateur!BL72*Calculateur!BN72*VLOOKUP('Données projet'!$B$11,Paramètres!$A$1:$I$89,3,0)*0.475*44/12</f>
        <v>38.02378583479539</v>
      </c>
      <c r="BR72" s="21">
        <f>EXP(-LN(2)/2)*BR71+(1-EXP(-LN(2)/2))/(LN(2)/2)*BL72*BO72*VLOOKUP('Données projet'!$B$11,Paramètres!$A$1:$I$89,3,0)*0.475*44/12</f>
        <v>8.6949015897559168</v>
      </c>
      <c r="BS72" s="22">
        <f t="shared" si="63"/>
        <v>46.718687424551305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4.5999999999999996</v>
      </c>
      <c r="BY72" s="12">
        <f>IF('Données projet'!$A$114&gt;35,BY71+BX72-CG71,IF(A72&lt;'Données projet'!$A$114,$BV$205^A72,IF(A72='Données projet'!$A$114,'Données projet'!$B$114,BY71+BX72-CG71)))</f>
        <v>311.39999999999992</v>
      </c>
      <c r="BZ72" s="13">
        <f>BY72*VLOOKUP('Données projet'!$B$12,Paramètres!$A$1:$I$89,3,0)*VLOOKUP('Données projet'!$B$12,Paramètres!$A$1:$I$89,5,0)</f>
        <v>296.32823999999994</v>
      </c>
      <c r="CA72" s="13">
        <f t="shared" si="93"/>
        <v>70.406170728542762</v>
      </c>
      <c r="CB72" s="20">
        <f t="shared" si="64"/>
        <v>638.72909868554518</v>
      </c>
      <c r="CC72" s="59">
        <f t="shared" si="65"/>
        <v>904.65925903561174</v>
      </c>
      <c r="CD72" s="59">
        <f ca="1">AVERAGE(OFFSET($CC$3,0,0,'Données projet'!$E$12+1,1))-AVERAGE(OFFSET($H$3,0,0,'Données projet'!$E$12+1,1))</f>
        <v>439.15394290667945</v>
      </c>
      <c r="CE72" s="59">
        <f t="shared" si="94"/>
        <v>423.56554025351068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13.291920826496582</v>
      </c>
      <c r="CL72" s="21">
        <f>EXP(-LN(2)/25)*CL71+(1-EXP(-LN(2)/25))/(LN(2)/25)*Calculateur!CG72*Calculateur!CI72*VLOOKUP('Données projet'!$B$12,Paramètres!$A$1:$I$89,3,0)*0.475*44/12</f>
        <v>14.036397054308106</v>
      </c>
      <c r="CM72" s="21">
        <f>EXP(-LN(2)/2)*CM71+(1-EXP(-LN(2)/2))/(LN(2)/2)*CG72*CJ72*VLOOKUP('Données projet'!$B$12,Paramètres!$A$1:$I$89,3,0)*0.475*44/12</f>
        <v>0.90406732918558907</v>
      </c>
      <c r="CN72" s="22">
        <f t="shared" si="66"/>
        <v>28.23238520999028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4.5999999999999996</v>
      </c>
      <c r="CT72" s="12">
        <f>IF('Données projet'!$A$140&gt;35,CT71+CS72-DB71,IF(A72&lt;'Données projet'!$A$140,$CQ$205^A72,IF(A72='Données projet'!$A$140,'Données projet'!$B$140,CT71+CS72-DB71)))</f>
        <v>311.39999999999992</v>
      </c>
      <c r="CU72" s="17">
        <f>CT72*VLOOKUP('Données projet'!$B$13,Paramètres!$A$1:$I$89,3,0)*VLOOKUP('Données projet'!$B$13,Paramètres!$A$1:$I$89,5,0)</f>
        <v>272.03904</v>
      </c>
      <c r="CV72" s="13">
        <f t="shared" si="95"/>
        <v>65.281815371368268</v>
      </c>
      <c r="CW72" s="20">
        <f t="shared" si="67"/>
        <v>587.50048977179972</v>
      </c>
      <c r="CX72" s="59">
        <f t="shared" si="68"/>
        <v>853.43065012186628</v>
      </c>
      <c r="CY72" s="59">
        <f ca="1">AVERAGE(OFFSET($CX$3,0,0,'Données projet'!$E$13+1,1))-AVERAGE(OFFSET($H$3,0,0,'Données projet'!$E$13+1,1))</f>
        <v>408.246209980743</v>
      </c>
      <c r="CZ72" s="59">
        <f t="shared" si="96"/>
        <v>394.10236303013903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>
        <f>EXP(-LN(2)/35)*DF71+(1-EXP(-LN(2)/35))/(LN(2)/35)*DB72*DC72*VLOOKUP('Données projet'!$B$13,Paramètres!$A$1:$I$89,3,0)*0.475*44/12</f>
        <v>15.040191007640823</v>
      </c>
      <c r="DG72" s="21">
        <f>EXP(-LN(2)/25)*DG71+(1-EXP(-LN(2)/25))/(LN(2)/25)*Calculateur!DB72*Calculateur!DD72*VLOOKUP('Données projet'!$B$13,Paramètres!$A$1:$I$89,3,0)*0.475*44/12</f>
        <v>15.882587288290678</v>
      </c>
      <c r="DH72" s="21">
        <f>EXP(-LN(2)/2)*DH71+(1-EXP(-LN(2)/2))/(LN(2)/2)*DB72*DE72*VLOOKUP('Données projet'!$B$13,Paramètres!$A$1:$I$89,3,0)*0.475*44/12</f>
        <v>0.82996344974414726</v>
      </c>
      <c r="DI72" s="22">
        <f t="shared" si="69"/>
        <v>31.75274174567565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4.5999999999999996</v>
      </c>
      <c r="DO72" s="12">
        <f>IF('Données projet'!$A$166&gt;35,DO71+DN72-DW71,IF(A72&lt;'Données projet'!$A$166,$DL$205^A72,IF(A72='Données projet'!$A$166,'Données projet'!$B$166,DO71+DN72-DW71)))</f>
        <v>311.39999999999992</v>
      </c>
      <c r="DP72" s="17">
        <f>DO72*VLOOKUP('Données projet'!$B$14,Paramètres!$A$1:$I$89,3,0)*VLOOKUP('Données projet'!$B$14,Paramètres!$A$1:$I$89,5,0)</f>
        <v>242.89199999999994</v>
      </c>
      <c r="DQ72" s="13">
        <f t="shared" si="97"/>
        <v>59.061323940051196</v>
      </c>
      <c r="DR72" s="20">
        <f t="shared" si="70"/>
        <v>525.90203919558905</v>
      </c>
      <c r="DS72" s="59">
        <f t="shared" si="71"/>
        <v>791.83219954565561</v>
      </c>
      <c r="DT72" s="59">
        <f ca="1">AVERAGE(OFFSET($DS$3,0,0,'Données projet'!$E$14+1,1))-AVERAGE(OFFSET($H$3,0,0,'Données projet'!$E$14+1,1))</f>
        <v>371.07993287480366</v>
      </c>
      <c r="DU72" s="59">
        <f t="shared" si="98"/>
        <v>358.67120540290637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>
        <f>EXP(-LN(2)/35)*EA71+(1-EXP(-LN(2)/35))/(LN(2)/35)*DW72*DX72*VLOOKUP('Données projet'!$B$14,Paramètres!$A$1:$I$89,3,0)*0.475*44/12</f>
        <v>10.895017070898838</v>
      </c>
      <c r="EB72" s="21">
        <f>EXP(-LN(2)/25)*EB71+(1-EXP(-LN(2)/25))/(LN(2)/25)*Calculateur!DW72*Calculateur!DY72*VLOOKUP('Données projet'!$B$14,Paramètres!$A$1:$I$89,3,0)*0.475*44/12</f>
        <v>11.50524348713779</v>
      </c>
      <c r="EC72" s="21">
        <f>EXP(-LN(2)/2)*EC71+(1-EXP(-LN(2)/2))/(LN(2)/2)*DW72*DZ72*VLOOKUP('Données projet'!$B$14,Paramètres!$A$1:$I$89,3,0)*0.475*44/12</f>
        <v>0.74103879441441722</v>
      </c>
      <c r="ED72" s="22">
        <f t="shared" si="72"/>
        <v>23.141299352451046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45">
      <c r="A73" s="10">
        <f t="shared" si="85"/>
        <v>70</v>
      </c>
      <c r="B73" s="73">
        <f>'Scénario référence'!$B$16*5+'Scénario référence'!$B$17*0+'Scénario référence'!$B$18*5</f>
        <v>5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1">
        <f t="shared" si="86"/>
        <v>0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18.333333333333332</v>
      </c>
      <c r="H73" s="67">
        <f t="shared" si="56"/>
        <v>183.33333333333334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9.733749999999997</v>
      </c>
      <c r="N73" s="13">
        <f>IF('Données projet'!$A$36&gt;35,N72+M73-V72,IF(A73&lt;'Données projet'!$A$36,$K$205^A73,IF(A73='Données projet'!$A$36,'Données projet'!$B$36,N72+M73-V72)))</f>
        <v>272.02500000000032</v>
      </c>
      <c r="O73" s="13">
        <f>N73*VLOOKUP('Données projet'!$B$9,Paramètres!$A$1:$I$89,3,0)*VLOOKUP('Données projet'!$B$9,Paramètres!$A$1:$I$89,5,0)</f>
        <v>246.12822000000025</v>
      </c>
      <c r="P73" s="13">
        <f t="shared" si="87"/>
        <v>59.756105801003123</v>
      </c>
      <c r="Q73" s="20">
        <f t="shared" si="54"/>
        <v>532.74853410341427</v>
      </c>
      <c r="R73" s="59">
        <f t="shared" si="55"/>
        <v>799.15407824042381</v>
      </c>
      <c r="S73" s="59">
        <f ca="1">AVERAGE(OFFSET($R$3,0,0,'Données projet'!$E$9+1,1))-AVERAGE(OFFSET($H$3,0,0,'Données projet'!$E$9+1,1))</f>
        <v>681.47578137804555</v>
      </c>
      <c r="T73" s="59">
        <f t="shared" si="88"/>
        <v>300.88511065995885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7.4652659027440214</v>
      </c>
      <c r="AA73" s="21">
        <f>EXP(-LN(2)/25)*AA72+(1-EXP(-LN(2)/25))/(LN(2)/25)*Calculateur!V73*Calculateur!X73*VLOOKUP('Données projet'!$B$9,Paramètres!$A$1:$I$89,3,0)*0.475*44/12</f>
        <v>30.267840070294611</v>
      </c>
      <c r="AB73" s="21">
        <f>EXP(-LN(2)/2)*AB72+(1-EXP(-LN(2)/2))/(LN(2)/2)*V73*Y73*VLOOKUP('Données projet'!$B$9,Paramètres!$A$1:$I$89,3,0)*0.475*44/12</f>
        <v>1.2798880855501029</v>
      </c>
      <c r="AC73" s="22">
        <f t="shared" si="57"/>
        <v>39.012994058588738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11.327500000000001</v>
      </c>
      <c r="AI73" s="13">
        <f>IF('Données projet'!$A$62&gt;35,AI72+AH73-AQ72,IF(A73&lt;'Données projet'!$A$62,$AF$205^A73,IF(A73='Données projet'!$A$62,'Données projet'!$B$62,AI72+AH73-AQ72)))</f>
        <v>338.87249999999995</v>
      </c>
      <c r="AJ73" s="13">
        <f>AI73*VLOOKUP('Données projet'!$B$10,Paramètres!$A$1:$I$89,3,0)*VLOOKUP('Données projet'!$B$10,Paramètres!$A$1:$I$89,5,0)</f>
        <v>158.59232999999998</v>
      </c>
      <c r="AK73" s="13">
        <f t="shared" si="89"/>
        <v>40.524848399473683</v>
      </c>
      <c r="AL73" s="20">
        <f t="shared" si="58"/>
        <v>346.7957523790833</v>
      </c>
      <c r="AM73" s="59">
        <f t="shared" si="59"/>
        <v>613.20129651609273</v>
      </c>
      <c r="AN73" s="59">
        <f ca="1">AVERAGE(OFFSET($AM$3,0,0,'Données projet'!$E$10+1,1))-AVERAGE(OFFSET($H$3,0,0,'Données projet'!$E$10+1,1))</f>
        <v>325.45940224919184</v>
      </c>
      <c r="AO73" s="59">
        <f t="shared" si="90"/>
        <v>256.30046621034876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26.567986461765305</v>
      </c>
      <c r="AV73" s="21">
        <f>EXP(-LN(2)/25)*AV72+(1-EXP(-LN(2)/25))/(LN(2)/25)*Calculateur!AQ73*Calculateur!AS73*VLOOKUP('Données projet'!$B$10,Paramètres!$A$1:$I$89,3,0)*0.475*44/12</f>
        <v>14.024006817807951</v>
      </c>
      <c r="AW73" s="21">
        <f>EXP(-LN(2)/2)*AW72+(1-EXP(-LN(2)/2))/(LN(2)/2)*AQ73*AT73*VLOOKUP('Données projet'!$B$10,Paramètres!$A$1:$I$89,3,0)*0.475*44/12</f>
        <v>1.1109942313575998</v>
      </c>
      <c r="AX73" s="21">
        <f t="shared" si="60"/>
        <v>41.702987510930861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6.7437500000000021</v>
      </c>
      <c r="BD73" s="12">
        <f>IF('Données projet'!$A$88&gt;35,BD72+BC73-BL72,IF(A73&lt;'Données projet'!$A$88,$BA$205^A73,IF(A73='Données projet'!$A$88,'Données projet'!$B$88,BD72+BC73-BL72)))</f>
        <v>155.31375</v>
      </c>
      <c r="BE73" s="13">
        <f>BD73*VLOOKUP('Données projet'!$B$11,Paramètres!$A$1:$I$89,3,0)*VLOOKUP('Données projet'!$B$11,Paramètres!$A$1:$I$89,5,0)</f>
        <v>157.48814250000001</v>
      </c>
      <c r="BF73" s="13">
        <f t="shared" si="91"/>
        <v>40.275438230597821</v>
      </c>
      <c r="BG73" s="20">
        <f t="shared" si="61"/>
        <v>344.43823643912452</v>
      </c>
      <c r="BH73" s="59">
        <f t="shared" si="62"/>
        <v>610.84378057613401</v>
      </c>
      <c r="BI73" s="59">
        <f ca="1">AVERAGE(OFFSET($BH$3,0,0,'Données projet'!$E$11+1,1))-AVERAGE(OFFSET($H$3,0,0,'Données projet'!$E$11+1,1))</f>
        <v>580.02848304986492</v>
      </c>
      <c r="BJ73" s="59">
        <f t="shared" si="92"/>
        <v>281.68891895586728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0</v>
      </c>
      <c r="BQ73" s="21">
        <f>EXP(-LN(2)/25)*BQ72+(1-EXP(-LN(2)/25))/(LN(2)/25)*Calculateur!BL73*Calculateur!BN73*VLOOKUP('Données projet'!$B$11,Paramètres!$A$1:$I$89,3,0)*0.475*44/12</f>
        <v>36.984023411558915</v>
      </c>
      <c r="BR73" s="21">
        <f>EXP(-LN(2)/2)*BR72+(1-EXP(-LN(2)/2))/(LN(2)/2)*BL73*BO73*VLOOKUP('Données projet'!$B$11,Paramètres!$A$1:$I$89,3,0)*0.475*44/12</f>
        <v>6.1482238758661021</v>
      </c>
      <c r="BS73" s="22">
        <f t="shared" si="63"/>
        <v>43.132247287425017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>
        <f>VLOOKUP(A73,'Données projet'!$A$113:$I$133,2,0)</f>
        <v>316</v>
      </c>
      <c r="BW73" s="12">
        <f>VLOOKUP(A73,'Données projet'!$A$113:$I$133,9,0)</f>
        <v>4.5999999999999996</v>
      </c>
      <c r="BX73" s="12">
        <f t="array" ref="BX73">INDEX(BW:BW,MIN(IF(ISNUMBER(BW73:BW269),ROW(BW73:BW269),"")))</f>
        <v>4.5999999999999996</v>
      </c>
      <c r="BY73" s="12">
        <f>IF('Données projet'!$A$114&gt;35,BY72+BX73-CG72,IF(A73&lt;'Données projet'!$A$114,$BV$205^A73,IF(A73='Données projet'!$A$114,'Données projet'!$B$114,BY72+BX73-CG72)))</f>
        <v>315.99999999999994</v>
      </c>
      <c r="BZ73" s="13">
        <f>BY73*VLOOKUP('Données projet'!$B$12,Paramètres!$A$1:$I$89,3,0)*VLOOKUP('Données projet'!$B$12,Paramètres!$A$1:$I$89,5,0)</f>
        <v>300.70559999999995</v>
      </c>
      <c r="CA73" s="13">
        <f t="shared" si="93"/>
        <v>71.324364107429389</v>
      </c>
      <c r="CB73" s="20">
        <f t="shared" si="64"/>
        <v>647.95218748710613</v>
      </c>
      <c r="CC73" s="59">
        <f t="shared" si="65"/>
        <v>914.35773162411556</v>
      </c>
      <c r="CD73" s="59">
        <f ca="1">AVERAGE(OFFSET($CC$3,0,0,'Données projet'!$E$12+1,1))-AVERAGE(OFFSET($H$3,0,0,'Données projet'!$E$12+1,1))</f>
        <v>439.15394290667945</v>
      </c>
      <c r="CE73" s="59">
        <f t="shared" si="94"/>
        <v>423.56554025351068</v>
      </c>
      <c r="CF73" s="15">
        <f>IF(ISNA(VLOOKUP(A73,'Données projet'!$A$113:$I$133,3,0)),0,VLOOKUP(A73,'Données projet'!$A$113:$I$133,3,0))</f>
        <v>12</v>
      </c>
      <c r="CG73" s="15">
        <f>IF(ISNA(VLOOKUP(A73,'Données projet'!$A$113:$I$133,4,0)),0,VLOOKUP(A73,'Données projet'!$A$113:$I$133,4,0))</f>
        <v>13</v>
      </c>
      <c r="CH73" s="16">
        <f>IF(ISNA(VLOOKUP(A73,'Données projet'!$A$113:$I$133,5,0)),0%,VLOOKUP(A73,'Données projet'!$A$113:$I$133,5,0)*VLOOKUP('Données projet'!$B$12,Paramètres!$A$1:$I$89,7,0))</f>
        <v>0.1075</v>
      </c>
      <c r="CI73" s="16">
        <f>IF(ISNA(VLOOKUP(A73,'Données projet'!$A$113:$I$133,6,0)),0%,VLOOKUP(A73,'Données projet'!$A$113:$I$133,6,0)*VLOOKUP('Données projet'!$B$12,Paramètres!$A$1:$I$89,7,0))</f>
        <v>0.1075</v>
      </c>
      <c r="CJ73" s="16">
        <f>IF(ISNA(VLOOKUP(A73,'Données projet'!$A$113:$I$133,7,0)),0%,VLOOKUP(A73,'Données projet'!$A$113:$I$133,7,0))</f>
        <v>0.25</v>
      </c>
      <c r="CK73" s="21">
        <f>EXP(-LN(2)/35)*CK72+(1-EXP(-LN(2)/35))/(LN(2)/35)*CG73*CH73*VLOOKUP('Données projet'!$B$12,Paramètres!$A$1:$I$89,3,0)*0.475*44/12</f>
        <v>14.501396310756231</v>
      </c>
      <c r="CL73" s="21">
        <f>EXP(-LN(2)/25)*CL72+(1-EXP(-LN(2)/25))/(LN(2)/25)*Calculateur!CG73*Calculateur!CI73*VLOOKUP('Données projet'!$B$12,Paramètres!$A$1:$I$89,3,0)*0.475*44/12</f>
        <v>15.116904552856614</v>
      </c>
      <c r="CM73" s="21">
        <f>EXP(-LN(2)/2)*CM72+(1-EXP(-LN(2)/2))/(LN(2)/2)*CG73*CJ73*VLOOKUP('Données projet'!$B$12,Paramètres!$A$1:$I$89,3,0)*0.475*44/12</f>
        <v>3.557317827916425</v>
      </c>
      <c r="CN73" s="22">
        <f t="shared" si="66"/>
        <v>33.175618691529273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>
        <f>VLOOKUP(A73,'Données projet'!$A$139:$I$159,2,0)</f>
        <v>316</v>
      </c>
      <c r="CR73" s="12">
        <f>VLOOKUP(A73,'Données projet'!$A$139:$I$159,9,0)</f>
        <v>4.5999999999999996</v>
      </c>
      <c r="CS73" s="12">
        <f t="array" ref="CS73">INDEX(CR:CR,MIN(IF(ISNUMBER(CR73:CR269),ROW(CR73:CR269),"")))</f>
        <v>4.5999999999999996</v>
      </c>
      <c r="CT73" s="12">
        <f>IF('Données projet'!$A$140&gt;35,CT72+CS73-DB72,IF(A73&lt;'Données projet'!$A$140,$CQ$205^A73,IF(A73='Données projet'!$A$140,'Données projet'!$B$140,CT72+CS73-DB72)))</f>
        <v>315.99999999999994</v>
      </c>
      <c r="CU73" s="17">
        <f>CT73*VLOOKUP('Données projet'!$B$13,Paramètres!$A$1:$I$89,3,0)*VLOOKUP('Données projet'!$B$13,Paramètres!$A$1:$I$89,5,0)</f>
        <v>276.05759999999998</v>
      </c>
      <c r="CV73" s="13">
        <f t="shared" si="95"/>
        <v>66.133180102831929</v>
      </c>
      <c r="CW73" s="20">
        <f t="shared" si="67"/>
        <v>595.98227534576563</v>
      </c>
      <c r="CX73" s="59">
        <f t="shared" si="68"/>
        <v>862.38781948277506</v>
      </c>
      <c r="CY73" s="59">
        <f ca="1">AVERAGE(OFFSET($CX$3,0,0,'Données projet'!$E$13+1,1))-AVERAGE(OFFSET($H$3,0,0,'Données projet'!$E$13+1,1))</f>
        <v>408.246209980743</v>
      </c>
      <c r="CZ73" s="59">
        <f t="shared" si="96"/>
        <v>394.10236303013903</v>
      </c>
      <c r="DA73" s="15">
        <f>IF(ISNA(VLOOKUP(A73,'Données projet'!$A$139:$I$159,3,0)),0,VLOOKUP(A73,'Données projet'!$A$139:$I$159,3,0))</f>
        <v>12</v>
      </c>
      <c r="DB73" s="15">
        <f>IF(ISNA(VLOOKUP(A73,'Données projet'!$A$139:$I$159,4,0)),0,VLOOKUP(A73,'Données projet'!$A$139:$I$159,4,0))</f>
        <v>13</v>
      </c>
      <c r="DC73" s="16">
        <f>IF(ISNA(VLOOKUP(A73,'Données projet'!$A$139:$I$159,5,0)),0%,VLOOKUP(A73,'Données projet'!$A$139:$I$159,5,0)*VLOOKUP('Données projet'!$B$13,Paramètres!$A$1:$I$89,7,0))</f>
        <v>0.13250000000000001</v>
      </c>
      <c r="DD73" s="16">
        <f>IF(ISNA(VLOOKUP(A73,'Données projet'!$A$139:$I$159,6,0)),0%,VLOOKUP(A73,'Données projet'!$A$139:$I$159,6,0)*VLOOKUP('Données projet'!$B$13,Paramètres!$A$1:$I$89,7,0))</f>
        <v>0.13250000000000001</v>
      </c>
      <c r="DE73" s="16">
        <f>IF(ISNA(VLOOKUP(A73,'Données projet'!$A$139:$I$159,7,0)),0%,VLOOKUP(A73,'Données projet'!$A$139:$I$159,7,0))</f>
        <v>0.25</v>
      </c>
      <c r="DF73" s="21">
        <f>EXP(-LN(2)/35)*DF72+(1-EXP(-LN(2)/35))/(LN(2)/35)*DB73*DC73*VLOOKUP('Données projet'!$B$13,Paramètres!$A$1:$I$89,3,0)*0.475*44/12</f>
        <v>16.408747331423758</v>
      </c>
      <c r="DG73" s="21">
        <f>EXP(-LN(2)/25)*DG72+(1-EXP(-LN(2)/25))/(LN(2)/25)*Calculateur!DB73*Calculateur!DD73*VLOOKUP('Données projet'!$B$13,Paramètres!$A$1:$I$89,3,0)*0.475*44/12</f>
        <v>17.1052126240482</v>
      </c>
      <c r="DH73" s="21">
        <f>EXP(-LN(2)/2)*DH72+(1-EXP(-LN(2)/2))/(LN(2)/2)*DB73*DE73*VLOOKUP('Données projet'!$B$13,Paramètres!$A$1:$I$89,3,0)*0.475*44/12</f>
        <v>3.2657343993986849</v>
      </c>
      <c r="DI73" s="22">
        <f t="shared" si="69"/>
        <v>36.779694354870642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>
        <f>VLOOKUP(A73,'Données projet'!$A$165:$I$185,2,0)</f>
        <v>316</v>
      </c>
      <c r="DM73" s="12">
        <f>VLOOKUP(A73,'Données projet'!$A$165:$I$185,9,0)</f>
        <v>4.5999999999999996</v>
      </c>
      <c r="DN73" s="12">
        <f t="array" ref="DN73">INDEX(DM:DM,MIN(IF(ISNUMBER(DM73:DM269),ROW(DM73:DM269),"")))</f>
        <v>4.5999999999999996</v>
      </c>
      <c r="DO73" s="12">
        <f>IF('Données projet'!$A$166&gt;35,DO72+DN73-DW72,IF(A73&lt;'Données projet'!$A$166,$DL$205^A73,IF(A73='Données projet'!$A$166,'Données projet'!$B$166,DO72+DN73-DW72)))</f>
        <v>315.99999999999994</v>
      </c>
      <c r="DP73" s="17">
        <f>DO73*VLOOKUP('Données projet'!$B$14,Paramètres!$A$1:$I$89,3,0)*VLOOKUP('Données projet'!$B$14,Paramètres!$A$1:$I$89,5,0)</f>
        <v>246.47999999999996</v>
      </c>
      <c r="DQ73" s="13">
        <f t="shared" si="97"/>
        <v>59.831564900877268</v>
      </c>
      <c r="DR73" s="20">
        <f t="shared" si="70"/>
        <v>533.49264220236114</v>
      </c>
      <c r="DS73" s="59">
        <f t="shared" si="71"/>
        <v>799.89818633937057</v>
      </c>
      <c r="DT73" s="59">
        <f ca="1">AVERAGE(OFFSET($DS$3,0,0,'Données projet'!$E$14+1,1))-AVERAGE(OFFSET($H$3,0,0,'Données projet'!$E$14+1,1))</f>
        <v>371.07993287480366</v>
      </c>
      <c r="DU73" s="59">
        <f t="shared" si="98"/>
        <v>358.67120540290637</v>
      </c>
      <c r="DV73" s="15">
        <f>IF(ISNA(VLOOKUP(A73,'Données projet'!$A$165:$I$185,3,0)),0,VLOOKUP(A73,'Données projet'!$A$165:$I$185,3,0))</f>
        <v>12</v>
      </c>
      <c r="DW73" s="15">
        <f>IF(ISNA(VLOOKUP(A73,'Données projet'!$A$165:$I$185,4,0)),0,VLOOKUP(A73,'Données projet'!$A$165:$I$185,4,0))</f>
        <v>13</v>
      </c>
      <c r="DX73" s="16">
        <f>IF(ISNA(VLOOKUP(A73,'Données projet'!$A$165:$I$185,5,0)),0%,VLOOKUP(A73,'Données projet'!$A$165:$I$185,5,0)*VLOOKUP('Données projet'!$B$14,Paramètres!$A$1:$I$89,7,0))</f>
        <v>0.1075</v>
      </c>
      <c r="DY73" s="16">
        <f>IF(ISNA(VLOOKUP(A73,'Données projet'!$A$165:$I$185,6,0)),0%,VLOOKUP(A73,'Données projet'!$A$165:$I$185,6,0)*VLOOKUP('Données projet'!$B$14,Paramètres!$A$1:$I$89,7,0))</f>
        <v>0.1075</v>
      </c>
      <c r="DZ73" s="16">
        <f>IF(ISNA(VLOOKUP(A73,'Données projet'!$A$165:$I$185,7,0)),0%,VLOOKUP(A73,'Données projet'!$A$165:$I$185,7,0))</f>
        <v>0.25</v>
      </c>
      <c r="EA73" s="21">
        <f>EXP(-LN(2)/35)*EA72+(1-EXP(-LN(2)/35))/(LN(2)/35)*DW73*DX73*VLOOKUP('Données projet'!$B$14,Paramètres!$A$1:$I$89,3,0)*0.475*44/12</f>
        <v>11.886390418652647</v>
      </c>
      <c r="EB73" s="21">
        <f>EXP(-LN(2)/25)*EB72+(1-EXP(-LN(2)/25))/(LN(2)/25)*Calculateur!DW73*Calculateur!DY73*VLOOKUP('Données projet'!$B$14,Paramètres!$A$1:$I$89,3,0)*0.475*44/12</f>
        <v>12.390905371193943</v>
      </c>
      <c r="EC73" s="21">
        <f>EXP(-LN(2)/2)*EC72+(1-EXP(-LN(2)/2))/(LN(2)/2)*DW73*DZ73*VLOOKUP('Données projet'!$B$14,Paramètres!$A$1:$I$89,3,0)*0.475*44/12</f>
        <v>2.9158342851773975</v>
      </c>
      <c r="ED73" s="22">
        <f t="shared" si="72"/>
        <v>27.193130075023987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45">
      <c r="A74" s="10">
        <f t="shared" si="85"/>
        <v>71</v>
      </c>
      <c r="B74" s="73">
        <f>'Scénario référence'!$B$16*5+'Scénario référence'!$B$17*0+'Scénario référence'!$B$18*5</f>
        <v>5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1">
        <f t="shared" si="86"/>
        <v>0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18.333333333333332</v>
      </c>
      <c r="H74" s="67">
        <f t="shared" si="56"/>
        <v>183.33333333333334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9.733749999999997</v>
      </c>
      <c r="N74" s="13">
        <f>IF('Données projet'!$A$36&gt;35,N73+M74-V73,IF(A74&lt;'Données projet'!$A$36,$K$205^A74,IF(A74='Données projet'!$A$36,'Données projet'!$B$36,N73+M74-V73)))</f>
        <v>281.7587500000003</v>
      </c>
      <c r="O74" s="13">
        <f>N74*VLOOKUP('Données projet'!$B$9,Paramètres!$A$1:$I$89,3,0)*VLOOKUP('Données projet'!$B$9,Paramètres!$A$1:$I$89,5,0)</f>
        <v>254.93531700000028</v>
      </c>
      <c r="P74" s="13">
        <f t="shared" si="87"/>
        <v>61.641559307209917</v>
      </c>
      <c r="Q74" s="20">
        <f t="shared" si="54"/>
        <v>551.37139290172445</v>
      </c>
      <c r="R74" s="59">
        <f t="shared" si="55"/>
        <v>818.24407397977234</v>
      </c>
      <c r="S74" s="59">
        <f ca="1">AVERAGE(OFFSET($R$3,0,0,'Données projet'!$E$9+1,1))-AVERAGE(OFFSET($H$3,0,0,'Données projet'!$E$9+1,1))</f>
        <v>681.47578137804555</v>
      </c>
      <c r="T74" s="59">
        <f t="shared" si="88"/>
        <v>300.88511065995885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7.3188765917538046</v>
      </c>
      <c r="AA74" s="21">
        <f>EXP(-LN(2)/25)*AA73+(1-EXP(-LN(2)/25))/(LN(2)/25)*Calculateur!V74*Calculateur!X74*VLOOKUP('Données projet'!$B$9,Paramètres!$A$1:$I$89,3,0)*0.475*44/12</f>
        <v>29.440164391855873</v>
      </c>
      <c r="AB74" s="21">
        <f>EXP(-LN(2)/2)*AB73+(1-EXP(-LN(2)/2))/(LN(2)/2)*V74*Y74*VLOOKUP('Données projet'!$B$9,Paramètres!$A$1:$I$89,3,0)*0.475*44/12</f>
        <v>0.90501754445234595</v>
      </c>
      <c r="AC74" s="22">
        <f t="shared" si="57"/>
        <v>37.664058528062029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11.327500000000001</v>
      </c>
      <c r="AI74" s="13">
        <f>IF('Données projet'!$A$62&gt;35,AI73+AH74-AQ73,IF(A74&lt;'Données projet'!$A$62,$AF$205^A74,IF(A74='Données projet'!$A$62,'Données projet'!$B$62,AI73+AH74-AQ73)))</f>
        <v>350.19999999999993</v>
      </c>
      <c r="AJ74" s="13">
        <f>AI74*VLOOKUP('Données projet'!$B$10,Paramètres!$A$1:$I$89,3,0)*VLOOKUP('Données projet'!$B$10,Paramètres!$A$1:$I$89,5,0)</f>
        <v>163.89359999999996</v>
      </c>
      <c r="AK74" s="13">
        <f t="shared" si="89"/>
        <v>41.71949506642347</v>
      </c>
      <c r="AL74" s="20">
        <f t="shared" si="58"/>
        <v>358.10947390735413</v>
      </c>
      <c r="AM74" s="59">
        <f t="shared" si="59"/>
        <v>624.98215498540208</v>
      </c>
      <c r="AN74" s="59">
        <f ca="1">AVERAGE(OFFSET($AM$3,0,0,'Données projet'!$E$10+1,1))-AVERAGE(OFFSET($H$3,0,0,'Données projet'!$E$10+1,1))</f>
        <v>325.45940224919184</v>
      </c>
      <c r="AO74" s="59">
        <f t="shared" si="90"/>
        <v>256.30046621034876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26.04700445212173</v>
      </c>
      <c r="AV74" s="21">
        <f>EXP(-LN(2)/25)*AV73+(1-EXP(-LN(2)/25))/(LN(2)/25)*Calculateur!AQ74*Calculateur!AS74*VLOOKUP('Données projet'!$B$10,Paramètres!$A$1:$I$89,3,0)*0.475*44/12</f>
        <v>13.640519613884527</v>
      </c>
      <c r="AW74" s="21">
        <f>EXP(-LN(2)/2)*AW73+(1-EXP(-LN(2)/2))/(LN(2)/2)*AQ74*AT74*VLOOKUP('Données projet'!$B$10,Paramètres!$A$1:$I$89,3,0)*0.475*44/12</f>
        <v>0.78559155485209486</v>
      </c>
      <c r="AX74" s="21">
        <f t="shared" si="60"/>
        <v>40.473115620858351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6.7437500000000021</v>
      </c>
      <c r="BD74" s="12">
        <f>IF('Données projet'!$A$88&gt;35,BD73+BC74-BL73,IF(A74&lt;'Données projet'!$A$88,$BA$205^A74,IF(A74='Données projet'!$A$88,'Données projet'!$B$88,BD73+BC74-BL73)))</f>
        <v>162.0575</v>
      </c>
      <c r="BE74" s="13">
        <f>BD74*VLOOKUP('Données projet'!$B$11,Paramètres!$A$1:$I$89,3,0)*VLOOKUP('Données projet'!$B$11,Paramètres!$A$1:$I$89,5,0)</f>
        <v>164.32630500000002</v>
      </c>
      <c r="BF74" s="13">
        <f t="shared" si="91"/>
        <v>41.816805184010924</v>
      </c>
      <c r="BG74" s="20">
        <f t="shared" si="61"/>
        <v>359.03258357048571</v>
      </c>
      <c r="BH74" s="59">
        <f t="shared" si="62"/>
        <v>625.9052646485336</v>
      </c>
      <c r="BI74" s="59">
        <f ca="1">AVERAGE(OFFSET($BH$3,0,0,'Données projet'!$E$11+1,1))-AVERAGE(OFFSET($H$3,0,0,'Données projet'!$E$11+1,1))</f>
        <v>580.02848304986492</v>
      </c>
      <c r="BJ74" s="59">
        <f t="shared" si="92"/>
        <v>281.68891895586728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0</v>
      </c>
      <c r="BQ74" s="21">
        <f>EXP(-LN(2)/25)*BQ73+(1-EXP(-LN(2)/25))/(LN(2)/25)*Calculateur!BL74*Calculateur!BN74*VLOOKUP('Données projet'!$B$11,Paramètres!$A$1:$I$89,3,0)*0.475*44/12</f>
        <v>35.972693346464574</v>
      </c>
      <c r="BR74" s="21">
        <f>EXP(-LN(2)/2)*BR73+(1-EXP(-LN(2)/2))/(LN(2)/2)*BL74*BO74*VLOOKUP('Données projet'!$B$11,Paramètres!$A$1:$I$89,3,0)*0.475*44/12</f>
        <v>4.3474507948779593</v>
      </c>
      <c r="BS74" s="22">
        <f t="shared" si="63"/>
        <v>40.320144141342531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4.2</v>
      </c>
      <c r="BY74" s="12">
        <f>IF('Données projet'!$A$114&gt;35,BY73+BX74-CG73,IF(A74&lt;'Données projet'!$A$114,$BV$205^A74,IF(A74='Données projet'!$A$114,'Données projet'!$B$114,BY73+BX74-CG73)))</f>
        <v>307.19999999999993</v>
      </c>
      <c r="BZ74" s="13">
        <f>BY74*VLOOKUP('Données projet'!$B$12,Paramètres!$A$1:$I$89,3,0)*VLOOKUP('Données projet'!$B$12,Paramètres!$A$1:$I$89,5,0)</f>
        <v>292.33151999999995</v>
      </c>
      <c r="CA74" s="13">
        <f t="shared" si="93"/>
        <v>69.566440841202208</v>
      </c>
      <c r="CB74" s="20">
        <f t="shared" si="64"/>
        <v>630.30561513176042</v>
      </c>
      <c r="CC74" s="59">
        <f t="shared" si="65"/>
        <v>897.17829620980842</v>
      </c>
      <c r="CD74" s="59">
        <f ca="1">AVERAGE(OFFSET($CC$3,0,0,'Données projet'!$E$12+1,1))-AVERAGE(OFFSET($H$3,0,0,'Données projet'!$E$12+1,1))</f>
        <v>439.15394290667945</v>
      </c>
      <c r="CE74" s="59">
        <f t="shared" si="94"/>
        <v>423.56554025351068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14.217032774080682</v>
      </c>
      <c r="CL74" s="21">
        <f>EXP(-LN(2)/25)*CL73+(1-EXP(-LN(2)/25))/(LN(2)/25)*Calculateur!CG74*Calculateur!CI74*VLOOKUP('Données projet'!$B$12,Paramètres!$A$1:$I$89,3,0)*0.475*44/12</f>
        <v>14.703532002895288</v>
      </c>
      <c r="CM74" s="21">
        <f>EXP(-LN(2)/2)*CM73+(1-EXP(-LN(2)/2))/(LN(2)/2)*CG74*CJ74*VLOOKUP('Données projet'!$B$12,Paramètres!$A$1:$I$89,3,0)*0.475*44/12</f>
        <v>2.5154035589555042</v>
      </c>
      <c r="CN74" s="22">
        <f t="shared" si="66"/>
        <v>31.435968335931477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4.2</v>
      </c>
      <c r="CT74" s="12">
        <f>IF('Données projet'!$A$140&gt;35,CT73+CS74-DB73,IF(A74&lt;'Données projet'!$A$140,$CQ$205^A74,IF(A74='Données projet'!$A$140,'Données projet'!$B$140,CT73+CS74-DB73)))</f>
        <v>307.19999999999993</v>
      </c>
      <c r="CU74" s="17">
        <f>CT74*VLOOKUP('Données projet'!$B$13,Paramètres!$A$1:$I$89,3,0)*VLOOKUP('Données projet'!$B$13,Paramètres!$A$1:$I$89,5,0)</f>
        <v>268.36991999999998</v>
      </c>
      <c r="CV74" s="13">
        <f t="shared" si="95"/>
        <v>64.503203342054107</v>
      </c>
      <c r="CW74" s="20">
        <f t="shared" si="67"/>
        <v>579.75402315407757</v>
      </c>
      <c r="CX74" s="59">
        <f t="shared" si="68"/>
        <v>846.62670423212558</v>
      </c>
      <c r="CY74" s="59">
        <f ca="1">AVERAGE(OFFSET($CX$3,0,0,'Données projet'!$E$13+1,1))-AVERAGE(OFFSET($H$3,0,0,'Données projet'!$E$13+1,1))</f>
        <v>408.246209980743</v>
      </c>
      <c r="CZ74" s="59">
        <f t="shared" si="96"/>
        <v>394.10236303013903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>
        <f>EXP(-LN(2)/35)*DF73+(1-EXP(-LN(2)/35))/(LN(2)/35)*DB74*DC74*VLOOKUP('Données projet'!$B$13,Paramètres!$A$1:$I$89,3,0)*0.475*44/12</f>
        <v>16.086981804602168</v>
      </c>
      <c r="DG74" s="21">
        <f>EXP(-LN(2)/25)*DG73+(1-EXP(-LN(2)/25))/(LN(2)/25)*Calculateur!DB74*Calculateur!DD74*VLOOKUP('Données projet'!$B$13,Paramètres!$A$1:$I$89,3,0)*0.475*44/12</f>
        <v>16.637469685319566</v>
      </c>
      <c r="DH74" s="21">
        <f>EXP(-LN(2)/2)*DH73+(1-EXP(-LN(2)/2))/(LN(2)/2)*DB74*DE74*VLOOKUP('Données projet'!$B$13,Paramètres!$A$1:$I$89,3,0)*0.475*44/12</f>
        <v>2.3092229393689871</v>
      </c>
      <c r="DI74" s="22">
        <f t="shared" si="69"/>
        <v>35.03367442929072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4.2</v>
      </c>
      <c r="DO74" s="12">
        <f>IF('Données projet'!$A$166&gt;35,DO73+DN74-DW73,IF(A74&lt;'Données projet'!$A$166,$DL$205^A74,IF(A74='Données projet'!$A$166,'Données projet'!$B$166,DO73+DN74-DW73)))</f>
        <v>307.19999999999993</v>
      </c>
      <c r="DP74" s="17">
        <f>DO74*VLOOKUP('Données projet'!$B$14,Paramètres!$A$1:$I$89,3,0)*VLOOKUP('Données projet'!$B$14,Paramètres!$A$1:$I$89,5,0)</f>
        <v>239.61599999999996</v>
      </c>
      <c r="DQ74" s="13">
        <f t="shared" si="97"/>
        <v>58.356903313490157</v>
      </c>
      <c r="DR74" s="20">
        <f t="shared" si="70"/>
        <v>518.96947327099531</v>
      </c>
      <c r="DS74" s="59">
        <f t="shared" si="71"/>
        <v>785.84215434904331</v>
      </c>
      <c r="DT74" s="59">
        <f ca="1">AVERAGE(OFFSET($DS$3,0,0,'Données projet'!$E$14+1,1))-AVERAGE(OFFSET($H$3,0,0,'Données projet'!$E$14+1,1))</f>
        <v>371.07993287480366</v>
      </c>
      <c r="DU74" s="59">
        <f t="shared" si="98"/>
        <v>358.67120540290637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>
        <f>EXP(-LN(2)/35)*EA73+(1-EXP(-LN(2)/35))/(LN(2)/35)*DW74*DX74*VLOOKUP('Données projet'!$B$14,Paramètres!$A$1:$I$89,3,0)*0.475*44/12</f>
        <v>11.653305552525149</v>
      </c>
      <c r="EB74" s="21">
        <f>EXP(-LN(2)/25)*EB73+(1-EXP(-LN(2)/25))/(LN(2)/25)*Calculateur!DW74*Calculateur!DY74*VLOOKUP('Données projet'!$B$14,Paramètres!$A$1:$I$89,3,0)*0.475*44/12</f>
        <v>12.052075412209252</v>
      </c>
      <c r="EC74" s="21">
        <f>EXP(-LN(2)/2)*EC73+(1-EXP(-LN(2)/2))/(LN(2)/2)*DW74*DZ74*VLOOKUP('Données projet'!$B$14,Paramètres!$A$1:$I$89,3,0)*0.475*44/12</f>
        <v>2.0618061958651674</v>
      </c>
      <c r="ED74" s="22">
        <f t="shared" si="72"/>
        <v>25.767187160599569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45">
      <c r="A75" s="10">
        <f t="shared" si="85"/>
        <v>72</v>
      </c>
      <c r="B75" s="73">
        <f>'Scénario référence'!$B$16*5+'Scénario référence'!$B$17*0+'Scénario référence'!$B$18*5</f>
        <v>5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1">
        <f t="shared" si="86"/>
        <v>0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18.333333333333332</v>
      </c>
      <c r="H75" s="67">
        <f t="shared" si="56"/>
        <v>183.33333333333334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9.733749999999997</v>
      </c>
      <c r="N75" s="13">
        <f>IF('Données projet'!$A$36&gt;35,N74+M75-V74,IF(A75&lt;'Données projet'!$A$36,$K$205^A75,IF(A75='Données projet'!$A$36,'Données projet'!$B$36,N74+M75-V74)))</f>
        <v>291.49250000000029</v>
      </c>
      <c r="O75" s="13">
        <f>N75*VLOOKUP('Données projet'!$B$9,Paramètres!$A$1:$I$89,3,0)*VLOOKUP('Données projet'!$B$9,Paramètres!$A$1:$I$89,5,0)</f>
        <v>263.74241400000022</v>
      </c>
      <c r="P75" s="13">
        <f t="shared" si="87"/>
        <v>63.519444659628142</v>
      </c>
      <c r="Q75" s="20">
        <f t="shared" si="54"/>
        <v>569.98107049885277</v>
      </c>
      <c r="R75" s="59">
        <f t="shared" si="55"/>
        <v>837.31278473637394</v>
      </c>
      <c r="S75" s="59">
        <f ca="1">AVERAGE(OFFSET($R$3,0,0,'Données projet'!$E$9+1,1))-AVERAGE(OFFSET($H$3,0,0,'Données projet'!$E$9+1,1))</f>
        <v>681.47578137804555</v>
      </c>
      <c r="T75" s="59">
        <f t="shared" si="88"/>
        <v>300.88511065995885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7.175357885863443</v>
      </c>
      <c r="AA75" s="21">
        <f>EXP(-LN(2)/25)*AA74+(1-EXP(-LN(2)/25))/(LN(2)/25)*Calculateur!V75*Calculateur!X75*VLOOKUP('Données projet'!$B$9,Paramètres!$A$1:$I$89,3,0)*0.475*44/12</f>
        <v>28.635121548369614</v>
      </c>
      <c r="AB75" s="21">
        <f>EXP(-LN(2)/2)*AB74+(1-EXP(-LN(2)/2))/(LN(2)/2)*V75*Y75*VLOOKUP('Données projet'!$B$9,Paramètres!$A$1:$I$89,3,0)*0.475*44/12</f>
        <v>0.63994404277505157</v>
      </c>
      <c r="AC75" s="22">
        <f t="shared" si="57"/>
        <v>36.450423477008108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11.327500000000001</v>
      </c>
      <c r="AI75" s="13">
        <f>IF('Données projet'!$A$62&gt;35,AI74+AH75-AQ74,IF(A75&lt;'Données projet'!$A$62,$AF$205^A75,IF(A75='Données projet'!$A$62,'Données projet'!$B$62,AI74+AH75-AQ74)))</f>
        <v>361.52749999999992</v>
      </c>
      <c r="AJ75" s="13">
        <f>AI75*VLOOKUP('Données projet'!$B$10,Paramètres!$A$1:$I$89,3,0)*VLOOKUP('Données projet'!$B$10,Paramètres!$A$1:$I$89,5,0)</f>
        <v>169.19486999999998</v>
      </c>
      <c r="AK75" s="13">
        <f t="shared" si="89"/>
        <v>42.909651456861525</v>
      </c>
      <c r="AL75" s="20">
        <f t="shared" si="58"/>
        <v>369.41537487070042</v>
      </c>
      <c r="AM75" s="59">
        <f t="shared" si="59"/>
        <v>636.74708910822153</v>
      </c>
      <c r="AN75" s="59">
        <f ca="1">AVERAGE(OFFSET($AM$3,0,0,'Données projet'!$E$10+1,1))-AVERAGE(OFFSET($H$3,0,0,'Données projet'!$E$10+1,1))</f>
        <v>325.45940224919184</v>
      </c>
      <c r="AO75" s="59">
        <f t="shared" si="90"/>
        <v>256.30046621034876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25.536238581919616</v>
      </c>
      <c r="AV75" s="21">
        <f>EXP(-LN(2)/25)*AV74+(1-EXP(-LN(2)/25))/(LN(2)/25)*Calculateur!AQ75*Calculateur!AS75*VLOOKUP('Données projet'!$B$10,Paramètres!$A$1:$I$89,3,0)*0.475*44/12</f>
        <v>13.267518887719104</v>
      </c>
      <c r="AW75" s="21">
        <f>EXP(-LN(2)/2)*AW74+(1-EXP(-LN(2)/2))/(LN(2)/2)*AQ75*AT75*VLOOKUP('Données projet'!$B$10,Paramètres!$A$1:$I$89,3,0)*0.475*44/12</f>
        <v>0.55549711567879989</v>
      </c>
      <c r="AX75" s="21">
        <f t="shared" si="60"/>
        <v>39.359254585317515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6.7437500000000021</v>
      </c>
      <c r="BD75" s="12">
        <f>IF('Données projet'!$A$88&gt;35,BD74+BC75-BL74,IF(A75&lt;'Données projet'!$A$88,$BA$205^A75,IF(A75='Données projet'!$A$88,'Données projet'!$B$88,BD74+BC75-BL74)))</f>
        <v>168.80125000000001</v>
      </c>
      <c r="BE75" s="13">
        <f>BD75*VLOOKUP('Données projet'!$B$11,Paramètres!$A$1:$I$89,3,0)*VLOOKUP('Données projet'!$B$11,Paramètres!$A$1:$I$89,5,0)</f>
        <v>171.16446750000003</v>
      </c>
      <c r="BF75" s="13">
        <f t="shared" si="91"/>
        <v>43.350721861592397</v>
      </c>
      <c r="BG75" s="20">
        <f t="shared" si="61"/>
        <v>373.61395480477341</v>
      </c>
      <c r="BH75" s="59">
        <f t="shared" si="62"/>
        <v>640.94566904229453</v>
      </c>
      <c r="BI75" s="59">
        <f ca="1">AVERAGE(OFFSET($BH$3,0,0,'Données projet'!$E$11+1,1))-AVERAGE(OFFSET($H$3,0,0,'Données projet'!$E$11+1,1))</f>
        <v>580.02848304986492</v>
      </c>
      <c r="BJ75" s="59">
        <f t="shared" si="92"/>
        <v>281.68891895586728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0</v>
      </c>
      <c r="BQ75" s="21">
        <f>EXP(-LN(2)/25)*BQ74+(1-EXP(-LN(2)/25))/(LN(2)/25)*Calculateur!BL75*Calculateur!BN75*VLOOKUP('Données projet'!$B$11,Paramètres!$A$1:$I$89,3,0)*0.475*44/12</f>
        <v>34.989018155183771</v>
      </c>
      <c r="BR75" s="21">
        <f>EXP(-LN(2)/2)*BR74+(1-EXP(-LN(2)/2))/(LN(2)/2)*BL75*BO75*VLOOKUP('Données projet'!$B$11,Paramètres!$A$1:$I$89,3,0)*0.475*44/12</f>
        <v>3.0741119379330515</v>
      </c>
      <c r="BS75" s="22">
        <f t="shared" si="63"/>
        <v>38.063130093116825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4.2</v>
      </c>
      <c r="BY75" s="12">
        <f>IF('Données projet'!$A$114&gt;35,BY74+BX75-CG74,IF(A75&lt;'Données projet'!$A$114,$BV$205^A75,IF(A75='Données projet'!$A$114,'Données projet'!$B$114,BY74+BX75-CG74)))</f>
        <v>311.39999999999992</v>
      </c>
      <c r="BZ75" s="13">
        <f>BY75*VLOOKUP('Données projet'!$B$12,Paramètres!$A$1:$I$89,3,0)*VLOOKUP('Données projet'!$B$12,Paramètres!$A$1:$I$89,5,0)</f>
        <v>296.32823999999994</v>
      </c>
      <c r="CA75" s="13">
        <f t="shared" si="93"/>
        <v>70.406170728542762</v>
      </c>
      <c r="CB75" s="20">
        <f t="shared" si="64"/>
        <v>638.72909868554518</v>
      </c>
      <c r="CC75" s="59">
        <f t="shared" si="65"/>
        <v>906.06081292306635</v>
      </c>
      <c r="CD75" s="59">
        <f ca="1">AVERAGE(OFFSET($CC$3,0,0,'Données projet'!$E$12+1,1))-AVERAGE(OFFSET($H$3,0,0,'Données projet'!$E$12+1,1))</f>
        <v>439.15394290667945</v>
      </c>
      <c r="CE75" s="59">
        <f t="shared" si="94"/>
        <v>423.56554025351068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13.938245432914709</v>
      </c>
      <c r="CL75" s="21">
        <f>EXP(-LN(2)/25)*CL74+(1-EXP(-LN(2)/25))/(LN(2)/25)*Calculateur!CG75*Calculateur!CI75*VLOOKUP('Données projet'!$B$12,Paramètres!$A$1:$I$89,3,0)*0.475*44/12</f>
        <v>14.301463147050974</v>
      </c>
      <c r="CM75" s="21">
        <f>EXP(-LN(2)/2)*CM74+(1-EXP(-LN(2)/2))/(LN(2)/2)*CG75*CJ75*VLOOKUP('Données projet'!$B$12,Paramètres!$A$1:$I$89,3,0)*0.475*44/12</f>
        <v>1.7786589139582127</v>
      </c>
      <c r="CN75" s="22">
        <f t="shared" si="66"/>
        <v>30.018367493923897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4.2</v>
      </c>
      <c r="CT75" s="12">
        <f>IF('Données projet'!$A$140&gt;35,CT74+CS75-DB74,IF(A75&lt;'Données projet'!$A$140,$CQ$205^A75,IF(A75='Données projet'!$A$140,'Données projet'!$B$140,CT74+CS75-DB74)))</f>
        <v>311.39999999999992</v>
      </c>
      <c r="CU75" s="17">
        <f>CT75*VLOOKUP('Données projet'!$B$13,Paramètres!$A$1:$I$89,3,0)*VLOOKUP('Données projet'!$B$13,Paramètres!$A$1:$I$89,5,0)</f>
        <v>272.03904</v>
      </c>
      <c r="CV75" s="13">
        <f t="shared" si="95"/>
        <v>65.281815371368268</v>
      </c>
      <c r="CW75" s="20">
        <f t="shared" si="67"/>
        <v>587.50048977179972</v>
      </c>
      <c r="CX75" s="59">
        <f t="shared" si="68"/>
        <v>854.83220400932078</v>
      </c>
      <c r="CY75" s="59">
        <f ca="1">AVERAGE(OFFSET($CX$3,0,0,'Données projet'!$E$13+1,1))-AVERAGE(OFFSET($H$3,0,0,'Données projet'!$E$13+1,1))</f>
        <v>408.246209980743</v>
      </c>
      <c r="CZ75" s="59">
        <f t="shared" si="96"/>
        <v>394.10236303013903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>
        <f>EXP(-LN(2)/35)*DF74+(1-EXP(-LN(2)/35))/(LN(2)/35)*DB75*DC75*VLOOKUP('Données projet'!$B$13,Paramètres!$A$1:$I$89,3,0)*0.475*44/12</f>
        <v>15.771525903503957</v>
      </c>
      <c r="DG75" s="21">
        <f>EXP(-LN(2)/25)*DG74+(1-EXP(-LN(2)/25))/(LN(2)/25)*Calculateur!DB75*Calculateur!DD75*VLOOKUP('Données projet'!$B$13,Paramètres!$A$1:$I$89,3,0)*0.475*44/12</f>
        <v>16.182517201847997</v>
      </c>
      <c r="DH75" s="21">
        <f>EXP(-LN(2)/2)*DH74+(1-EXP(-LN(2)/2))/(LN(2)/2)*DB75*DE75*VLOOKUP('Données projet'!$B$13,Paramètres!$A$1:$I$89,3,0)*0.475*44/12</f>
        <v>1.6328671996993427</v>
      </c>
      <c r="DI75" s="22">
        <f t="shared" si="69"/>
        <v>33.586910305051298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4.2</v>
      </c>
      <c r="DO75" s="12">
        <f>IF('Données projet'!$A$166&gt;35,DO74+DN75-DW74,IF(A75&lt;'Données projet'!$A$166,$DL$205^A75,IF(A75='Données projet'!$A$166,'Données projet'!$B$166,DO74+DN75-DW74)))</f>
        <v>311.39999999999992</v>
      </c>
      <c r="DP75" s="17">
        <f>DO75*VLOOKUP('Données projet'!$B$14,Paramètres!$A$1:$I$89,3,0)*VLOOKUP('Données projet'!$B$14,Paramètres!$A$1:$I$89,5,0)</f>
        <v>242.89199999999994</v>
      </c>
      <c r="DQ75" s="13">
        <f t="shared" si="97"/>
        <v>59.061323940051196</v>
      </c>
      <c r="DR75" s="20">
        <f t="shared" si="70"/>
        <v>525.90203919558905</v>
      </c>
      <c r="DS75" s="59">
        <f t="shared" si="71"/>
        <v>793.23375343311022</v>
      </c>
      <c r="DT75" s="59">
        <f ca="1">AVERAGE(OFFSET($DS$3,0,0,'Données projet'!$E$14+1,1))-AVERAGE(OFFSET($H$3,0,0,'Données projet'!$E$14+1,1))</f>
        <v>371.07993287480366</v>
      </c>
      <c r="DU75" s="59">
        <f t="shared" si="98"/>
        <v>358.67120540290637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>
        <f>EXP(-LN(2)/35)*EA74+(1-EXP(-LN(2)/35))/(LN(2)/35)*DW75*DX75*VLOOKUP('Données projet'!$B$14,Paramètres!$A$1:$I$89,3,0)*0.475*44/12</f>
        <v>11.424791338454678</v>
      </c>
      <c r="EB75" s="21">
        <f>EXP(-LN(2)/25)*EB74+(1-EXP(-LN(2)/25))/(LN(2)/25)*Calculateur!DW75*Calculateur!DY75*VLOOKUP('Données projet'!$B$14,Paramètres!$A$1:$I$89,3,0)*0.475*44/12</f>
        <v>11.722510776271289</v>
      </c>
      <c r="EC75" s="21">
        <f>EXP(-LN(2)/2)*EC74+(1-EXP(-LN(2)/2))/(LN(2)/2)*DW75*DZ75*VLOOKUP('Données projet'!$B$14,Paramètres!$A$1:$I$89,3,0)*0.475*44/12</f>
        <v>1.457917142588699</v>
      </c>
      <c r="ED75" s="22">
        <f t="shared" si="72"/>
        <v>24.605219257314666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45">
      <c r="A76" s="10">
        <f t="shared" si="85"/>
        <v>73</v>
      </c>
      <c r="B76" s="73">
        <f>'Scénario référence'!$B$16*5+'Scénario référence'!$B$17*0+'Scénario référence'!$B$18*5</f>
        <v>5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1">
        <f t="shared" si="86"/>
        <v>0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18.333333333333332</v>
      </c>
      <c r="H76" s="67">
        <f t="shared" si="56"/>
        <v>183.33333333333334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9.733749999999997</v>
      </c>
      <c r="N76" s="13">
        <f>IF('Données projet'!$A$36&gt;35,N75+M76-V75,IF(A76&lt;'Données projet'!$A$36,$K$205^A76,IF(A76='Données projet'!$A$36,'Données projet'!$B$36,N75+M76-V75)))</f>
        <v>301.22625000000028</v>
      </c>
      <c r="O76" s="13">
        <f>N76*VLOOKUP('Données projet'!$B$9,Paramètres!$A$1:$I$89,3,0)*VLOOKUP('Données projet'!$B$9,Paramètres!$A$1:$I$89,5,0)</f>
        <v>272.54951100000028</v>
      </c>
      <c r="P76" s="13">
        <f t="shared" si="87"/>
        <v>65.390043555628168</v>
      </c>
      <c r="Q76" s="20">
        <f t="shared" si="54"/>
        <v>588.57805751771946</v>
      </c>
      <c r="R76" s="59">
        <f t="shared" si="55"/>
        <v>856.3608417156413</v>
      </c>
      <c r="S76" s="59">
        <f ca="1">AVERAGE(OFFSET($R$3,0,0,'Données projet'!$E$9+1,1))-AVERAGE(OFFSET($H$3,0,0,'Données projet'!$E$9+1,1))</f>
        <v>681.47578137804555</v>
      </c>
      <c r="T76" s="59">
        <f t="shared" si="88"/>
        <v>300.88511065995885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7.0346534942578245</v>
      </c>
      <c r="AA76" s="21">
        <f>EXP(-LN(2)/25)*AA75+(1-EXP(-LN(2)/25))/(LN(2)/25)*Calculateur!V76*Calculateur!X76*VLOOKUP('Données projet'!$B$9,Paramètres!$A$1:$I$89,3,0)*0.475*44/12</f>
        <v>27.852092643773851</v>
      </c>
      <c r="AB76" s="21">
        <f>EXP(-LN(2)/2)*AB75+(1-EXP(-LN(2)/2))/(LN(2)/2)*V76*Y76*VLOOKUP('Données projet'!$B$9,Paramètres!$A$1:$I$89,3,0)*0.475*44/12</f>
        <v>0.45250877222617303</v>
      </c>
      <c r="AC76" s="22">
        <f t="shared" si="57"/>
        <v>35.33925491025785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11.327500000000001</v>
      </c>
      <c r="AI76" s="13">
        <f>IF('Données projet'!$A$62&gt;35,AI75+AH76-AQ75,IF(A76&lt;'Données projet'!$A$62,$AF$205^A76,IF(A76='Données projet'!$A$62,'Données projet'!$B$62,AI75+AH76-AQ75)))</f>
        <v>372.8549999999999</v>
      </c>
      <c r="AJ76" s="13">
        <f>AI76*VLOOKUP('Données projet'!$B$10,Paramètres!$A$1:$I$89,3,0)*VLOOKUP('Données projet'!$B$10,Paramètres!$A$1:$I$89,5,0)</f>
        <v>174.49613999999997</v>
      </c>
      <c r="AK76" s="13">
        <f t="shared" si="89"/>
        <v>44.095474404040012</v>
      </c>
      <c r="AL76" s="20">
        <f t="shared" si="58"/>
        <v>380.71372842036959</v>
      </c>
      <c r="AM76" s="59">
        <f t="shared" si="59"/>
        <v>648.49651261829138</v>
      </c>
      <c r="AN76" s="59">
        <f ca="1">AVERAGE(OFFSET($AM$3,0,0,'Données projet'!$E$10+1,1))-AVERAGE(OFFSET($H$3,0,0,'Données projet'!$E$10+1,1))</f>
        <v>325.45940224919184</v>
      </c>
      <c r="AO76" s="59">
        <f t="shared" si="90"/>
        <v>256.30046621034876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25.035488518895747</v>
      </c>
      <c r="AV76" s="21">
        <f>EXP(-LN(2)/25)*AV75+(1-EXP(-LN(2)/25))/(LN(2)/25)*Calculateur!AQ76*Calculateur!AS76*VLOOKUP('Données projet'!$B$10,Paramètres!$A$1:$I$89,3,0)*0.475*44/12</f>
        <v>12.90471788602593</v>
      </c>
      <c r="AW76" s="21">
        <f>EXP(-LN(2)/2)*AW75+(1-EXP(-LN(2)/2))/(LN(2)/2)*AQ76*AT76*VLOOKUP('Données projet'!$B$10,Paramètres!$A$1:$I$89,3,0)*0.475*44/12</f>
        <v>0.39279577742604743</v>
      </c>
      <c r="AX76" s="21">
        <f t="shared" si="60"/>
        <v>38.33300218234772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6.7437500000000021</v>
      </c>
      <c r="BD76" s="12">
        <f>IF('Données projet'!$A$88&gt;35,BD75+BC76-BL75,IF(A76&lt;'Données projet'!$A$88,$BA$205^A76,IF(A76='Données projet'!$A$88,'Données projet'!$B$88,BD75+BC76-BL75)))</f>
        <v>175.54500000000002</v>
      </c>
      <c r="BE76" s="13">
        <f>BD76*VLOOKUP('Données projet'!$B$11,Paramètres!$A$1:$I$89,3,0)*VLOOKUP('Données projet'!$B$11,Paramètres!$A$1:$I$89,5,0)</f>
        <v>178.00263000000001</v>
      </c>
      <c r="BF76" s="13">
        <f t="shared" si="91"/>
        <v>44.877519962268245</v>
      </c>
      <c r="BG76" s="20">
        <f t="shared" si="61"/>
        <v>388.18292785095059</v>
      </c>
      <c r="BH76" s="59">
        <f t="shared" si="62"/>
        <v>655.96571204887232</v>
      </c>
      <c r="BI76" s="59">
        <f ca="1">AVERAGE(OFFSET($BH$3,0,0,'Données projet'!$E$11+1,1))-AVERAGE(OFFSET($H$3,0,0,'Données projet'!$E$11+1,1))</f>
        <v>580.02848304986492</v>
      </c>
      <c r="BJ76" s="59">
        <f t="shared" si="92"/>
        <v>281.68891895586728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0</v>
      </c>
      <c r="BQ76" s="21">
        <f>EXP(-LN(2)/25)*BQ75+(1-EXP(-LN(2)/25))/(LN(2)/25)*Calculateur!BL76*Calculateur!BN76*VLOOKUP('Données projet'!$B$11,Paramètres!$A$1:$I$89,3,0)*0.475*44/12</f>
        <v>34.032241613737774</v>
      </c>
      <c r="BR76" s="21">
        <f>EXP(-LN(2)/2)*BR75+(1-EXP(-LN(2)/2))/(LN(2)/2)*BL76*BO76*VLOOKUP('Données projet'!$B$11,Paramètres!$A$1:$I$89,3,0)*0.475*44/12</f>
        <v>2.1737253974389801</v>
      </c>
      <c r="BS76" s="22">
        <f t="shared" si="63"/>
        <v>36.205967011176753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4.2</v>
      </c>
      <c r="BY76" s="12">
        <f>IF('Données projet'!$A$114&gt;35,BY75+BX76-CG75,IF(A76&lt;'Données projet'!$A$114,$BV$205^A76,IF(A76='Données projet'!$A$114,'Données projet'!$B$114,BY75+BX76-CG75)))</f>
        <v>315.59999999999991</v>
      </c>
      <c r="BZ76" s="13">
        <f>BY76*VLOOKUP('Données projet'!$B$12,Paramètres!$A$1:$I$89,3,0)*VLOOKUP('Données projet'!$B$12,Paramètres!$A$1:$I$89,5,0)</f>
        <v>300.32495999999992</v>
      </c>
      <c r="CA76" s="13">
        <f t="shared" si="93"/>
        <v>71.244583280574048</v>
      </c>
      <c r="CB76" s="20">
        <f t="shared" si="64"/>
        <v>647.15028788033294</v>
      </c>
      <c r="CC76" s="59">
        <f t="shared" si="65"/>
        <v>914.93307207825478</v>
      </c>
      <c r="CD76" s="59">
        <f ca="1">AVERAGE(OFFSET($CC$3,0,0,'Données projet'!$E$12+1,1))-AVERAGE(OFFSET($H$3,0,0,'Données projet'!$E$12+1,1))</f>
        <v>439.15394290667945</v>
      </c>
      <c r="CE76" s="59">
        <f t="shared" si="94"/>
        <v>423.56554025351068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13.664924941465513</v>
      </c>
      <c r="CL76" s="21">
        <f>EXP(-LN(2)/25)*CL75+(1-EXP(-LN(2)/25))/(LN(2)/25)*Calculateur!CG76*Calculateur!CI76*VLOOKUP('Données projet'!$B$12,Paramètres!$A$1:$I$89,3,0)*0.475*44/12</f>
        <v>13.910388885213605</v>
      </c>
      <c r="CM76" s="21">
        <f>EXP(-LN(2)/2)*CM75+(1-EXP(-LN(2)/2))/(LN(2)/2)*CG76*CJ76*VLOOKUP('Données projet'!$B$12,Paramètres!$A$1:$I$89,3,0)*0.475*44/12</f>
        <v>1.2577017794777523</v>
      </c>
      <c r="CN76" s="22">
        <f t="shared" si="66"/>
        <v>28.83301560615687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4.2</v>
      </c>
      <c r="CT76" s="12">
        <f>IF('Données projet'!$A$140&gt;35,CT75+CS76-DB75,IF(A76&lt;'Données projet'!$A$140,$CQ$205^A76,IF(A76='Données projet'!$A$140,'Données projet'!$B$140,CT75+CS76-DB75)))</f>
        <v>315.59999999999991</v>
      </c>
      <c r="CU76" s="17">
        <f>CT76*VLOOKUP('Données projet'!$B$13,Paramètres!$A$1:$I$89,3,0)*VLOOKUP('Données projet'!$B$13,Paramètres!$A$1:$I$89,5,0)</f>
        <v>275.70815999999996</v>
      </c>
      <c r="CV76" s="13">
        <f t="shared" si="95"/>
        <v>66.05920594467139</v>
      </c>
      <c r="CW76" s="20">
        <f t="shared" si="67"/>
        <v>595.24482902030275</v>
      </c>
      <c r="CX76" s="59">
        <f t="shared" si="68"/>
        <v>863.02761321822459</v>
      </c>
      <c r="CY76" s="59">
        <f ca="1">AVERAGE(OFFSET($CX$3,0,0,'Données projet'!$E$13+1,1))-AVERAGE(OFFSET($H$3,0,0,'Données projet'!$E$13+1,1))</f>
        <v>408.246209980743</v>
      </c>
      <c r="CZ76" s="59">
        <f t="shared" si="96"/>
        <v>394.10236303013903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>
        <f>EXP(-LN(2)/35)*DF75+(1-EXP(-LN(2)/35))/(LN(2)/35)*DB76*DC76*VLOOKUP('Données projet'!$B$13,Paramètres!$A$1:$I$89,3,0)*0.475*44/12</f>
        <v>15.46225590021718</v>
      </c>
      <c r="DG76" s="21">
        <f>EXP(-LN(2)/25)*DG75+(1-EXP(-LN(2)/25))/(LN(2)/25)*Calculateur!DB76*Calculateur!DD76*VLOOKUP('Données projet'!$B$13,Paramètres!$A$1:$I$89,3,0)*0.475*44/12</f>
        <v>15.74000541796187</v>
      </c>
      <c r="DH76" s="21">
        <f>EXP(-LN(2)/2)*DH75+(1-EXP(-LN(2)/2))/(LN(2)/2)*DB76*DE76*VLOOKUP('Données projet'!$B$13,Paramètres!$A$1:$I$89,3,0)*0.475*44/12</f>
        <v>1.1546114696844938</v>
      </c>
      <c r="DI76" s="22">
        <f t="shared" si="69"/>
        <v>32.356872787863544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4.2</v>
      </c>
      <c r="DO76" s="12">
        <f>IF('Données projet'!$A$166&gt;35,DO75+DN76-DW75,IF(A76&lt;'Données projet'!$A$166,$DL$205^A76,IF(A76='Données projet'!$A$166,'Données projet'!$B$166,DO75+DN76-DW75)))</f>
        <v>315.59999999999991</v>
      </c>
      <c r="DP76" s="17">
        <f>DO76*VLOOKUP('Données projet'!$B$14,Paramètres!$A$1:$I$89,3,0)*VLOOKUP('Données projet'!$B$14,Paramètres!$A$1:$I$89,5,0)</f>
        <v>246.16799999999995</v>
      </c>
      <c r="DQ76" s="13">
        <f t="shared" si="97"/>
        <v>59.764639499163827</v>
      </c>
      <c r="DR76" s="20">
        <f t="shared" si="70"/>
        <v>532.83268046104354</v>
      </c>
      <c r="DS76" s="59">
        <f t="shared" si="71"/>
        <v>800.61546465896527</v>
      </c>
      <c r="DT76" s="59">
        <f ca="1">AVERAGE(OFFSET($DS$3,0,0,'Données projet'!$E$14+1,1))-AVERAGE(OFFSET($H$3,0,0,'Données projet'!$E$14+1,1))</f>
        <v>371.07993287480366</v>
      </c>
      <c r="DU76" s="59">
        <f t="shared" si="98"/>
        <v>358.67120540290637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>
        <f>EXP(-LN(2)/35)*EA75+(1-EXP(-LN(2)/35))/(LN(2)/35)*DW76*DX76*VLOOKUP('Données projet'!$B$14,Paramètres!$A$1:$I$89,3,0)*0.475*44/12</f>
        <v>11.200758148742223</v>
      </c>
      <c r="EB76" s="21">
        <f>EXP(-LN(2)/25)*EB75+(1-EXP(-LN(2)/25))/(LN(2)/25)*Calculateur!DW76*Calculateur!DY76*VLOOKUP('Données projet'!$B$14,Paramètres!$A$1:$I$89,3,0)*0.475*44/12</f>
        <v>11.401958102634101</v>
      </c>
      <c r="EC76" s="21">
        <f>EXP(-LN(2)/2)*EC75+(1-EXP(-LN(2)/2))/(LN(2)/2)*DW76*DZ76*VLOOKUP('Données projet'!$B$14,Paramètres!$A$1:$I$89,3,0)*0.475*44/12</f>
        <v>1.0309030979325839</v>
      </c>
      <c r="ED76" s="22">
        <f t="shared" si="72"/>
        <v>23.633619349308905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45">
      <c r="A77" s="10">
        <f t="shared" si="85"/>
        <v>74</v>
      </c>
      <c r="B77" s="73">
        <f>'Scénario référence'!$B$16*5+'Scénario référence'!$B$17*0+'Scénario référence'!$B$18*5</f>
        <v>5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1">
        <f t="shared" si="86"/>
        <v>0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18.333333333333332</v>
      </c>
      <c r="H77" s="67">
        <f t="shared" si="56"/>
        <v>183.33333333333334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>
        <f>VLOOKUP(A77,'Données projet'!$A$35:$I$55,2,0)</f>
        <v>310.95999999999998</v>
      </c>
      <c r="L77" s="12">
        <f>VLOOKUP(A77,'Données projet'!$A$35:$I$55,9,0)</f>
        <v>9.733749999999997</v>
      </c>
      <c r="M77" s="12">
        <f t="array" ref="M77">INDEX(L:L,MIN(IF(ISNUMBER(L77:L273),ROW(L77:L273),"")))</f>
        <v>9.733749999999997</v>
      </c>
      <c r="N77" s="13">
        <f>IF('Données projet'!$A$36&gt;35,N76+M77-V76,IF(A77&lt;'Données projet'!$A$36,$K$205^A77,IF(A77='Données projet'!$A$36,'Données projet'!$B$36,N76+M77-V76)))</f>
        <v>310.96000000000026</v>
      </c>
      <c r="O77" s="13">
        <f>N77*VLOOKUP('Données projet'!$B$9,Paramètres!$A$1:$I$89,3,0)*VLOOKUP('Données projet'!$B$9,Paramètres!$A$1:$I$89,5,0)</f>
        <v>281.35660800000022</v>
      </c>
      <c r="P77" s="13">
        <f t="shared" si="87"/>
        <v>67.253618453644265</v>
      </c>
      <c r="Q77" s="20">
        <f t="shared" si="54"/>
        <v>607.16281107343082</v>
      </c>
      <c r="R77" s="59">
        <f t="shared" si="55"/>
        <v>875.38884017638168</v>
      </c>
      <c r="S77" s="59">
        <f ca="1">AVERAGE(OFFSET($R$3,0,0,'Données projet'!$E$9+1,1))-AVERAGE(OFFSET($H$3,0,0,'Données projet'!$E$9+1,1))</f>
        <v>681.47578137804555</v>
      </c>
      <c r="T77" s="59">
        <f t="shared" si="88"/>
        <v>300.88511065995885</v>
      </c>
      <c r="U77" s="15">
        <f>IF(ISNA(VLOOKUP(A77,'Données projet'!$A$35:$I$55,3,0)),0,VLOOKUP(A77,'Données projet'!$A$35:$I$55,3,0))</f>
        <v>5</v>
      </c>
      <c r="V77" s="15">
        <f>IF(ISNA(VLOOKUP(A77,'Données projet'!$A$35:$I$55,4,0)),0,VLOOKUP(A77,'Données projet'!$A$35:$I$55,4,0))</f>
        <v>51.339999999999975</v>
      </c>
      <c r="W77" s="16">
        <f>IF(ISNA(VLOOKUP(A77,'Données projet'!$A$35:$I$55,5,0)),0%,VLOOKUP(A77,'Données projet'!$A$35:$I$55,5,0)*VLOOKUP('Données projet'!$B$9,Paramètres!$A$1:$I$89,7,0))</f>
        <v>0.15049999999999999</v>
      </c>
      <c r="X77" s="16">
        <f>IF(ISNA(VLOOKUP(A77,'Données projet'!$A$35:$I$55,6,0)),0%,VLOOKUP(A77,'Données projet'!$A$35:$I$55,6,0)*VLOOKUP('Données projet'!$B$9,Paramètres!$A$1:$I$89,7,0))</f>
        <v>8.6000000000000007E-2</v>
      </c>
      <c r="Y77" s="16">
        <f>IF(ISNA(VLOOKUP(A77,'Données projet'!$A$35:$I$55,7,0)),0%,VLOOKUP(A77,'Données projet'!$A$35:$I$55,7,0))</f>
        <v>0.1</v>
      </c>
      <c r="Z77" s="21">
        <f>EXP(-LN(2)/35)*Z76+(1-EXP(-LN(2)/35))/(LN(2)/35)*V77*W77*VLOOKUP('Données projet'!$B$9,Paramètres!$A$1:$I$89,3,0)*0.475*44/12</f>
        <v>14.625152268757301</v>
      </c>
      <c r="AA77" s="21">
        <f>EXP(-LN(2)/25)*AA76+(1-EXP(-LN(2)/25))/(LN(2)/25)*Calculateur!V77*Calculateur!X77*VLOOKUP('Données projet'!$B$9,Paramètres!$A$1:$I$89,3,0)*0.475*44/12</f>
        <v>31.489340968528012</v>
      </c>
      <c r="AB77" s="21">
        <f>EXP(-LN(2)/2)*AB76+(1-EXP(-LN(2)/2))/(LN(2)/2)*V77*Y77*VLOOKUP('Données projet'!$B$9,Paramètres!$A$1:$I$89,3,0)*0.475*44/12</f>
        <v>4.7028840054751821</v>
      </c>
      <c r="AC77" s="22">
        <f t="shared" si="57"/>
        <v>50.8173772427605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11.327500000000001</v>
      </c>
      <c r="AI77" s="13">
        <f>IF('Données projet'!$A$62&gt;35,AI76+AH77-AQ76,IF(A77&lt;'Données projet'!$A$62,$AF$205^A77,IF(A77='Données projet'!$A$62,'Données projet'!$B$62,AI76+AH77-AQ76)))</f>
        <v>384.18249999999989</v>
      </c>
      <c r="AJ77" s="13">
        <f>AI77*VLOOKUP('Données projet'!$B$10,Paramètres!$A$1:$I$89,3,0)*VLOOKUP('Données projet'!$B$10,Paramètres!$A$1:$I$89,5,0)</f>
        <v>179.79740999999993</v>
      </c>
      <c r="AK77" s="13">
        <f t="shared" si="89"/>
        <v>45.277110670389604</v>
      </c>
      <c r="AL77" s="20">
        <f t="shared" si="58"/>
        <v>392.00479016759505</v>
      </c>
      <c r="AM77" s="59">
        <f t="shared" si="59"/>
        <v>660.23081927054591</v>
      </c>
      <c r="AN77" s="59">
        <f ca="1">AVERAGE(OFFSET($AM$3,0,0,'Données projet'!$E$10+1,1))-AVERAGE(OFFSET($H$3,0,0,'Données projet'!$E$10+1,1))</f>
        <v>325.45940224919184</v>
      </c>
      <c r="AO77" s="59">
        <f t="shared" si="90"/>
        <v>256.30046621034876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24.544557859180397</v>
      </c>
      <c r="AV77" s="21">
        <f>EXP(-LN(2)/25)*AV76+(1-EXP(-LN(2)/25))/(LN(2)/25)*Calculateur!AQ77*Calculateur!AS77*VLOOKUP('Données projet'!$B$10,Paramètres!$A$1:$I$89,3,0)*0.475*44/12</f>
        <v>12.551837696802931</v>
      </c>
      <c r="AW77" s="21">
        <f>EXP(-LN(2)/2)*AW76+(1-EXP(-LN(2)/2))/(LN(2)/2)*AQ77*AT77*VLOOKUP('Données projet'!$B$10,Paramètres!$A$1:$I$89,3,0)*0.475*44/12</f>
        <v>0.27774855783939995</v>
      </c>
      <c r="AX77" s="21">
        <f t="shared" si="60"/>
        <v>37.37414411382273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6.7437500000000021</v>
      </c>
      <c r="BD77" s="12">
        <f>IF('Données projet'!$A$88&gt;35,BD76+BC77-BL76,IF(A77&lt;'Données projet'!$A$88,$BA$205^A77,IF(A77='Données projet'!$A$88,'Données projet'!$B$88,BD76+BC77-BL76)))</f>
        <v>182.28875000000002</v>
      </c>
      <c r="BE77" s="13">
        <f>BD77*VLOOKUP('Données projet'!$B$11,Paramètres!$A$1:$I$89,3,0)*VLOOKUP('Données projet'!$B$11,Paramètres!$A$1:$I$89,5,0)</f>
        <v>184.84079250000005</v>
      </c>
      <c r="BF77" s="13">
        <f t="shared" si="91"/>
        <v>46.397504256544451</v>
      </c>
      <c r="BG77" s="20">
        <f t="shared" si="61"/>
        <v>402.74003351764833</v>
      </c>
      <c r="BH77" s="59">
        <f t="shared" si="62"/>
        <v>670.96606262059913</v>
      </c>
      <c r="BI77" s="59">
        <f ca="1">AVERAGE(OFFSET($BH$3,0,0,'Données projet'!$E$11+1,1))-AVERAGE(OFFSET($H$3,0,0,'Données projet'!$E$11+1,1))</f>
        <v>580.02848304986492</v>
      </c>
      <c r="BJ77" s="59">
        <f t="shared" si="92"/>
        <v>281.68891895586728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0</v>
      </c>
      <c r="BQ77" s="21">
        <f>EXP(-LN(2)/25)*BQ76+(1-EXP(-LN(2)/25))/(LN(2)/25)*Calculateur!BL77*Calculateur!BN77*VLOOKUP('Données projet'!$B$11,Paramètres!$A$1:$I$89,3,0)*0.475*44/12</f>
        <v>33.101628177132312</v>
      </c>
      <c r="BR77" s="21">
        <f>EXP(-LN(2)/2)*BR76+(1-EXP(-LN(2)/2))/(LN(2)/2)*BL77*BO77*VLOOKUP('Données projet'!$B$11,Paramètres!$A$1:$I$89,3,0)*0.475*44/12</f>
        <v>1.537055968966526</v>
      </c>
      <c r="BS77" s="22">
        <f t="shared" si="63"/>
        <v>34.638684146098839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4.2</v>
      </c>
      <c r="BY77" s="12">
        <f>IF('Données projet'!$A$114&gt;35,BY76+BX77-CG76,IF(A77&lt;'Données projet'!$A$114,$BV$205^A77,IF(A77='Données projet'!$A$114,'Données projet'!$B$114,BY76+BX77-CG76)))</f>
        <v>319.7999999999999</v>
      </c>
      <c r="BZ77" s="13">
        <f>BY77*VLOOKUP('Données projet'!$B$12,Paramètres!$A$1:$I$89,3,0)*VLOOKUP('Données projet'!$B$12,Paramètres!$A$1:$I$89,5,0)</f>
        <v>304.3216799999999</v>
      </c>
      <c r="CA77" s="13">
        <f t="shared" si="93"/>
        <v>72.081698055002335</v>
      </c>
      <c r="CB77" s="20">
        <f t="shared" si="64"/>
        <v>655.56921677912885</v>
      </c>
      <c r="CC77" s="59">
        <f t="shared" si="65"/>
        <v>923.79524588207971</v>
      </c>
      <c r="CD77" s="59">
        <f ca="1">AVERAGE(OFFSET($CC$3,0,0,'Données projet'!$E$12+1,1))-AVERAGE(OFFSET($H$3,0,0,'Données projet'!$E$12+1,1))</f>
        <v>439.15394290667945</v>
      </c>
      <c r="CE77" s="59">
        <f t="shared" si="94"/>
        <v>423.56554025351068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13.396964098144597</v>
      </c>
      <c r="CL77" s="21">
        <f>EXP(-LN(2)/25)*CL76+(1-EXP(-LN(2)/25))/(LN(2)/25)*Calculateur!CG77*Calculateur!CI77*VLOOKUP('Données projet'!$B$12,Paramètres!$A$1:$I$89,3,0)*0.475*44/12</f>
        <v>13.53000856963188</v>
      </c>
      <c r="CM77" s="21">
        <f>EXP(-LN(2)/2)*CM76+(1-EXP(-LN(2)/2))/(LN(2)/2)*CG77*CJ77*VLOOKUP('Données projet'!$B$12,Paramètres!$A$1:$I$89,3,0)*0.475*44/12</f>
        <v>0.88932945697910648</v>
      </c>
      <c r="CN77" s="22">
        <f t="shared" si="66"/>
        <v>27.81630212475558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4.2</v>
      </c>
      <c r="CT77" s="12">
        <f>IF('Données projet'!$A$140&gt;35,CT76+CS77-DB76,IF(A77&lt;'Données projet'!$A$140,$CQ$205^A77,IF(A77='Données projet'!$A$140,'Données projet'!$B$140,CT76+CS77-DB76)))</f>
        <v>319.7999999999999</v>
      </c>
      <c r="CU77" s="17">
        <f>CT77*VLOOKUP('Données projet'!$B$13,Paramètres!$A$1:$I$89,3,0)*VLOOKUP('Données projet'!$B$13,Paramètres!$A$1:$I$89,5,0)</f>
        <v>279.37727999999993</v>
      </c>
      <c r="CV77" s="13">
        <f t="shared" si="95"/>
        <v>66.835393196206056</v>
      </c>
      <c r="CW77" s="20">
        <f t="shared" si="67"/>
        <v>602.98707248339201</v>
      </c>
      <c r="CX77" s="59">
        <f t="shared" si="68"/>
        <v>871.21310158634287</v>
      </c>
      <c r="CY77" s="59">
        <f ca="1">AVERAGE(OFFSET($CX$3,0,0,'Données projet'!$E$13+1,1))-AVERAGE(OFFSET($H$3,0,0,'Données projet'!$E$13+1,1))</f>
        <v>408.246209980743</v>
      </c>
      <c r="CZ77" s="59">
        <f t="shared" si="96"/>
        <v>394.10236303013903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>
        <f>EXP(-LN(2)/35)*DF76+(1-EXP(-LN(2)/35))/(LN(2)/35)*DB77*DC77*VLOOKUP('Données projet'!$B$13,Paramètres!$A$1:$I$89,3,0)*0.475*44/12</f>
        <v>15.159050493058782</v>
      </c>
      <c r="DG77" s="21">
        <f>EXP(-LN(2)/25)*DG76+(1-EXP(-LN(2)/25))/(LN(2)/25)*Calculateur!DB77*Calculateur!DD77*VLOOKUP('Données projet'!$B$13,Paramètres!$A$1:$I$89,3,0)*0.475*44/12</f>
        <v>15.309594142076792</v>
      </c>
      <c r="DH77" s="21">
        <f>EXP(-LN(2)/2)*DH76+(1-EXP(-LN(2)/2))/(LN(2)/2)*DB77*DE77*VLOOKUP('Données projet'!$B$13,Paramètres!$A$1:$I$89,3,0)*0.475*44/12</f>
        <v>0.81643359984967145</v>
      </c>
      <c r="DI77" s="22">
        <f t="shared" si="69"/>
        <v>31.285078234985246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4.2</v>
      </c>
      <c r="DO77" s="12">
        <f>IF('Données projet'!$A$166&gt;35,DO76+DN77-DW76,IF(A77&lt;'Données projet'!$A$166,$DL$205^A77,IF(A77='Données projet'!$A$166,'Données projet'!$B$166,DO76+DN77-DW76)))</f>
        <v>319.7999999999999</v>
      </c>
      <c r="DP77" s="17">
        <f>DO77*VLOOKUP('Données projet'!$B$14,Paramètres!$A$1:$I$89,3,0)*VLOOKUP('Données projet'!$B$14,Paramètres!$A$1:$I$89,5,0)</f>
        <v>249.44399999999993</v>
      </c>
      <c r="DQ77" s="13">
        <f t="shared" si="97"/>
        <v>60.466866397117599</v>
      </c>
      <c r="DR77" s="20">
        <f t="shared" si="70"/>
        <v>539.76142564164627</v>
      </c>
      <c r="DS77" s="59">
        <f t="shared" si="71"/>
        <v>807.98745474459713</v>
      </c>
      <c r="DT77" s="59">
        <f ca="1">AVERAGE(OFFSET($DS$3,0,0,'Données projet'!$E$14+1,1))-AVERAGE(OFFSET($H$3,0,0,'Données projet'!$E$14+1,1))</f>
        <v>371.07993287480366</v>
      </c>
      <c r="DU77" s="59">
        <f t="shared" si="98"/>
        <v>358.67120540290637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>
        <f>EXP(-LN(2)/35)*EA76+(1-EXP(-LN(2)/35))/(LN(2)/35)*DW77*DX77*VLOOKUP('Données projet'!$B$14,Paramètres!$A$1:$I$89,3,0)*0.475*44/12</f>
        <v>10.981118113233276</v>
      </c>
      <c r="EB77" s="21">
        <f>EXP(-LN(2)/25)*EB76+(1-EXP(-LN(2)/25))/(LN(2)/25)*Calculateur!DW77*Calculateur!DY77*VLOOKUP('Données projet'!$B$14,Paramètres!$A$1:$I$89,3,0)*0.475*44/12</f>
        <v>11.090170958714655</v>
      </c>
      <c r="EC77" s="21">
        <f>EXP(-LN(2)/2)*EC76+(1-EXP(-LN(2)/2))/(LN(2)/2)*DW77*DZ77*VLOOKUP('Données projet'!$B$14,Paramètres!$A$1:$I$89,3,0)*0.475*44/12</f>
        <v>0.72895857129434971</v>
      </c>
      <c r="ED77" s="22">
        <f t="shared" si="72"/>
        <v>22.80024764324228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45">
      <c r="A78" s="10">
        <f t="shared" si="85"/>
        <v>75</v>
      </c>
      <c r="B78" s="73">
        <f>'Scénario référence'!$B$16*5+'Scénario référence'!$B$17*0+'Scénario référence'!$B$18*5</f>
        <v>5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1">
        <f t="shared" si="86"/>
        <v>0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18.333333333333332</v>
      </c>
      <c r="H78" s="67">
        <f t="shared" si="56"/>
        <v>183.33333333333334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9.546999999999997</v>
      </c>
      <c r="N78" s="13">
        <f>IF('Données projet'!$A$36&gt;35,N77+M78-V77,IF(A78&lt;'Données projet'!$A$36,$K$205^A78,IF(A78='Données projet'!$A$36,'Données projet'!$B$36,N77+M78-V77)))</f>
        <v>269.16700000000031</v>
      </c>
      <c r="O78" s="13">
        <f>N78*VLOOKUP('Données projet'!$B$9,Paramètres!$A$1:$I$89,3,0)*VLOOKUP('Données projet'!$B$9,Paramètres!$A$1:$I$89,5,0)</f>
        <v>243.54230160000029</v>
      </c>
      <c r="P78" s="13">
        <f t="shared" si="87"/>
        <v>59.201022808040776</v>
      </c>
      <c r="Q78" s="20">
        <f t="shared" si="54"/>
        <v>527.27795667733812</v>
      </c>
      <c r="R78" s="59">
        <f t="shared" si="55"/>
        <v>795.93954137716287</v>
      </c>
      <c r="S78" s="59">
        <f ca="1">AVERAGE(OFFSET($R$3,0,0,'Données projet'!$E$9+1,1))-AVERAGE(OFFSET($H$3,0,0,'Données projet'!$E$9+1,1))</f>
        <v>681.47578137804555</v>
      </c>
      <c r="T78" s="59">
        <f t="shared" si="88"/>
        <v>300.88511065995885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14.338361953229031</v>
      </c>
      <c r="AA78" s="21">
        <f>EXP(-LN(2)/25)*AA77+(1-EXP(-LN(2)/25))/(LN(2)/25)*Calculateur!V78*Calculateur!X78*VLOOKUP('Données projet'!$B$9,Paramètres!$A$1:$I$89,3,0)*0.475*44/12</f>
        <v>30.628263283791142</v>
      </c>
      <c r="AB78" s="21">
        <f>EXP(-LN(2)/2)*AB77+(1-EXP(-LN(2)/2))/(LN(2)/2)*V78*Y78*VLOOKUP('Données projet'!$B$9,Paramètres!$A$1:$I$89,3,0)*0.475*44/12</f>
        <v>3.3254411714052541</v>
      </c>
      <c r="AC78" s="22">
        <f t="shared" si="57"/>
        <v>48.292066408425427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>
        <f>VLOOKUP(A78,'Données projet'!$A$61:$I$81,2,0)</f>
        <v>395.51</v>
      </c>
      <c r="AG78" s="12">
        <f>VLOOKUP(A78,'Données projet'!$A$61:$I$81,9,0)</f>
        <v>11.327500000000001</v>
      </c>
      <c r="AH78" s="12">
        <f t="array" ref="AH78">INDEX(AG:AG,MIN(IF(ISNUMBER(AG78:AG274),ROW(AG78:AG274),"")))</f>
        <v>11.327500000000001</v>
      </c>
      <c r="AI78" s="13">
        <f>IF('Données projet'!$A$62&gt;35,AI77+AH78-AQ77,IF(A78&lt;'Données projet'!$A$62,$AF$205^A78,IF(A78='Données projet'!$A$62,'Données projet'!$B$62,AI77+AH78-AQ77)))</f>
        <v>395.50999999999988</v>
      </c>
      <c r="AJ78" s="13">
        <f>AI78*VLOOKUP('Données projet'!$B$10,Paramètres!$A$1:$I$89,3,0)*VLOOKUP('Données projet'!$B$10,Paramètres!$A$1:$I$89,5,0)</f>
        <v>185.09867999999994</v>
      </c>
      <c r="AK78" s="13">
        <f t="shared" si="89"/>
        <v>46.454697871845575</v>
      </c>
      <c r="AL78" s="20">
        <f t="shared" si="58"/>
        <v>403.28879979346425</v>
      </c>
      <c r="AM78" s="59">
        <f t="shared" si="59"/>
        <v>671.95038449328899</v>
      </c>
      <c r="AN78" s="59">
        <f ca="1">AVERAGE(OFFSET($AM$3,0,0,'Données projet'!$E$10+1,1))-AVERAGE(OFFSET($H$3,0,0,'Données projet'!$E$10+1,1))</f>
        <v>325.45940224919184</v>
      </c>
      <c r="AO78" s="59">
        <f t="shared" si="90"/>
        <v>256.30046621034876</v>
      </c>
      <c r="AP78" s="15">
        <f>IF(ISNA(VLOOKUP(A78,'Données projet'!$A$61:$I$81,3,0)),0,VLOOKUP(A78,'Données projet'!$A$61:$I$81,3,0))</f>
        <v>3</v>
      </c>
      <c r="AQ78" s="15">
        <f>IF(ISNA(VLOOKUP(A78,'Données projet'!$A$61:$I$81,4,0)),0,VLOOKUP(A78,'Données projet'!$A$61:$I$81,4,0))</f>
        <v>93.759999999999991</v>
      </c>
      <c r="AR78" s="16">
        <f>IF(ISNA(VLOOKUP(A78,'Données projet'!$A$61:$I$81,5,0)),0%,VLOOKUP(A78,'Données projet'!$A$61:$I$81,5,0)*VLOOKUP('Données projet'!$B$10,Paramètres!$A$1:$I$89,7,0))</f>
        <v>0.33</v>
      </c>
      <c r="AS78" s="16">
        <f>IF(ISNA(VLOOKUP(A78,'Données projet'!$A$61:$I$81,6,0)),0%,VLOOKUP(A78,'Données projet'!$A$61:$I$81,6,0)*VLOOKUP('Données projet'!$B$10,Paramètres!$A$1:$I$89,7,0))</f>
        <v>0.11000000000000001</v>
      </c>
      <c r="AT78" s="16">
        <f>IF(ISNA(VLOOKUP(A78,'Données projet'!$A$61:$I$81,7,0)),0%,VLOOKUP(A78,'Données projet'!$A$61:$I$81,7,0))</f>
        <v>0.2</v>
      </c>
      <c r="AU78" s="21">
        <f>EXP(-LN(2)/35)*AU77+(1-EXP(-LN(2)/35))/(LN(2)/35)*AQ78*AR78*VLOOKUP('Données projet'!$B$10,Paramètres!$A$1:$I$89,3,0)*0.475*44/12</f>
        <v>43.272297905604148</v>
      </c>
      <c r="AV78" s="21">
        <f>EXP(-LN(2)/25)*AV77+(1-EXP(-LN(2)/25))/(LN(2)/25)*Calculateur!AQ78*Calculateur!AS78*VLOOKUP('Données projet'!$B$10,Paramètres!$A$1:$I$89,3,0)*0.475*44/12</f>
        <v>18.586410545065469</v>
      </c>
      <c r="AW78" s="21">
        <f>EXP(-LN(2)/2)*AW77+(1-EXP(-LN(2)/2))/(LN(2)/2)*AQ78*AT78*VLOOKUP('Données projet'!$B$10,Paramètres!$A$1:$I$89,3,0)*0.475*44/12</f>
        <v>10.132796068938246</v>
      </c>
      <c r="AX78" s="21">
        <f t="shared" si="60"/>
        <v>71.991504519607858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6.7437500000000021</v>
      </c>
      <c r="BD78" s="12">
        <f>IF('Données projet'!$A$88&gt;35,BD77+BC78-BL77,IF(A78&lt;'Données projet'!$A$88,$BA$205^A78,IF(A78='Données projet'!$A$88,'Données projet'!$B$88,BD77+BC78-BL77)))</f>
        <v>189.03250000000003</v>
      </c>
      <c r="BE78" s="13">
        <f>BD78*VLOOKUP('Données projet'!$B$11,Paramètres!$A$1:$I$89,3,0)*VLOOKUP('Données projet'!$B$11,Paramètres!$A$1:$I$89,5,0)</f>
        <v>191.67895500000003</v>
      </c>
      <c r="BF78" s="13">
        <f t="shared" si="91"/>
        <v>47.910955687340916</v>
      </c>
      <c r="BG78" s="20">
        <f t="shared" si="61"/>
        <v>417.28576111378544</v>
      </c>
      <c r="BH78" s="59">
        <f t="shared" si="62"/>
        <v>685.94734581361024</v>
      </c>
      <c r="BI78" s="59">
        <f ca="1">AVERAGE(OFFSET($BH$3,0,0,'Données projet'!$E$11+1,1))-AVERAGE(OFFSET($H$3,0,0,'Données projet'!$E$11+1,1))</f>
        <v>580.02848304986492</v>
      </c>
      <c r="BJ78" s="59">
        <f t="shared" si="92"/>
        <v>281.68891895586728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0</v>
      </c>
      <c r="BQ78" s="21">
        <f>EXP(-LN(2)/25)*BQ77+(1-EXP(-LN(2)/25))/(LN(2)/25)*Calculateur!BL78*Calculateur!BN78*VLOOKUP('Données projet'!$B$11,Paramètres!$A$1:$I$89,3,0)*0.475*44/12</f>
        <v>32.196462413889655</v>
      </c>
      <c r="BR78" s="21">
        <f>EXP(-LN(2)/2)*BR77+(1-EXP(-LN(2)/2))/(LN(2)/2)*BL78*BO78*VLOOKUP('Données projet'!$B$11,Paramètres!$A$1:$I$89,3,0)*0.475*44/12</f>
        <v>1.08686269871949</v>
      </c>
      <c r="BS78" s="22">
        <f t="shared" si="63"/>
        <v>33.283325112609148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>
        <f>VLOOKUP(A78,'Données projet'!$A$113:$I$133,2,0)</f>
        <v>324</v>
      </c>
      <c r="BW78" s="12">
        <f>VLOOKUP(A78,'Données projet'!$A$113:$I$133,9,0)</f>
        <v>4.2</v>
      </c>
      <c r="BX78" s="12">
        <f t="array" ref="BX78">INDEX(BW:BW,MIN(IF(ISNUMBER(BW78:BW274),ROW(BW78:BW274),"")))</f>
        <v>4.2</v>
      </c>
      <c r="BY78" s="12">
        <f>IF('Données projet'!$A$114&gt;35,BY77+BX78-CG77,IF(A78&lt;'Données projet'!$A$114,$BV$205^A78,IF(A78='Données projet'!$A$114,'Données projet'!$B$114,BY77+BX78-CG77)))</f>
        <v>323.99999999999989</v>
      </c>
      <c r="BZ78" s="13">
        <f>BY78*VLOOKUP('Données projet'!$B$12,Paramètres!$A$1:$I$89,3,0)*VLOOKUP('Données projet'!$B$12,Paramètres!$A$1:$I$89,5,0)</f>
        <v>308.31839999999988</v>
      </c>
      <c r="CA78" s="13">
        <f t="shared" si="93"/>
        <v>72.917534066293882</v>
      </c>
      <c r="CB78" s="20">
        <f t="shared" si="64"/>
        <v>663.98591849879494</v>
      </c>
      <c r="CC78" s="59">
        <f t="shared" si="65"/>
        <v>932.64750319861969</v>
      </c>
      <c r="CD78" s="59">
        <f ca="1">AVERAGE(OFFSET($CC$3,0,0,'Données projet'!$E$12+1,1))-AVERAGE(OFFSET($H$3,0,0,'Données projet'!$E$12+1,1))</f>
        <v>439.15394290667945</v>
      </c>
      <c r="CE78" s="59">
        <f t="shared" si="94"/>
        <v>423.56554025351068</v>
      </c>
      <c r="CF78" s="15">
        <f>IF(ISNA(VLOOKUP(A78,'Données projet'!$A$113:$I$133,3,0)),0,VLOOKUP(A78,'Données projet'!$A$113:$I$133,3,0))</f>
        <v>13</v>
      </c>
      <c r="CG78" s="15">
        <f>IF(ISNA(VLOOKUP(A78,'Données projet'!$A$113:$I$133,4,0)),0,VLOOKUP(A78,'Données projet'!$A$113:$I$133,4,0))</f>
        <v>12</v>
      </c>
      <c r="CH78" s="16">
        <f>IF(ISNA(VLOOKUP(A78,'Données projet'!$A$113:$I$133,5,0)),0%,VLOOKUP(A78,'Données projet'!$A$113:$I$133,5,0)*VLOOKUP('Données projet'!$B$12,Paramètres!$A$1:$I$89,7,0))</f>
        <v>0.1075</v>
      </c>
      <c r="CI78" s="16">
        <f>IF(ISNA(VLOOKUP(A78,'Données projet'!$A$113:$I$133,6,0)),0%,VLOOKUP(A78,'Données projet'!$A$113:$I$133,6,0)*VLOOKUP('Données projet'!$B$12,Paramètres!$A$1:$I$89,7,0))</f>
        <v>0.1075</v>
      </c>
      <c r="CJ78" s="16">
        <f>IF(ISNA(VLOOKUP(A78,'Données projet'!$A$113:$I$133,7,0)),0%,VLOOKUP(A78,'Données projet'!$A$113:$I$133,7,0))</f>
        <v>0.25</v>
      </c>
      <c r="CK78" s="21">
        <f>EXP(-LN(2)/35)*CK77+(1-EXP(-LN(2)/35))/(LN(2)/35)*CG78*CH78*VLOOKUP('Données projet'!$B$12,Paramètres!$A$1:$I$89,3,0)*0.475*44/12</f>
        <v>14.491293444502215</v>
      </c>
      <c r="CL78" s="21">
        <f>EXP(-LN(2)/25)*CL77+(1-EXP(-LN(2)/25))/(LN(2)/25)*Calculateur!CG78*Calculateur!CI78*VLOOKUP('Données projet'!$B$12,Paramètres!$A$1:$I$89,3,0)*0.475*44/12</f>
        <v>14.511722248374397</v>
      </c>
      <c r="CM78" s="21">
        <f>EXP(-LN(2)/2)*CM77+(1-EXP(-LN(2)/2))/(LN(2)/2)*CG78*CJ78*VLOOKUP('Données projet'!$B$12,Paramètres!$A$1:$I$89,3,0)*0.475*44/12</f>
        <v>3.3224315255543391</v>
      </c>
      <c r="CN78" s="22">
        <f t="shared" si="66"/>
        <v>32.325447218430952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>
        <f>VLOOKUP(A78,'Données projet'!$A$139:$I$159,2,0)</f>
        <v>324</v>
      </c>
      <c r="CR78" s="12">
        <f>VLOOKUP(A78,'Données projet'!$A$139:$I$159,9,0)</f>
        <v>4.2</v>
      </c>
      <c r="CS78" s="12">
        <f t="array" ref="CS78">INDEX(CR:CR,MIN(IF(ISNUMBER(CR78:CR274),ROW(CR78:CR274),"")))</f>
        <v>4.2</v>
      </c>
      <c r="CT78" s="12">
        <f>IF('Données projet'!$A$140&gt;35,CT77+CS78-DB77,IF(A78&lt;'Données projet'!$A$140,$CQ$205^A78,IF(A78='Données projet'!$A$140,'Données projet'!$B$140,CT77+CS78-DB77)))</f>
        <v>323.99999999999989</v>
      </c>
      <c r="CU78" s="17">
        <f>CT78*VLOOKUP('Données projet'!$B$13,Paramètres!$A$1:$I$89,3,0)*VLOOKUP('Données projet'!$B$13,Paramètres!$A$1:$I$89,5,0)</f>
        <v>283.04639999999989</v>
      </c>
      <c r="CV78" s="13">
        <f t="shared" si="95"/>
        <v>67.610394756513259</v>
      </c>
      <c r="CW78" s="20">
        <f t="shared" si="67"/>
        <v>610.72725086759363</v>
      </c>
      <c r="CX78" s="59">
        <f t="shared" si="68"/>
        <v>879.38883556741848</v>
      </c>
      <c r="CY78" s="59">
        <f ca="1">AVERAGE(OFFSET($CX$3,0,0,'Données projet'!$E$13+1,1))-AVERAGE(OFFSET($H$3,0,0,'Données projet'!$E$13+1,1))</f>
        <v>408.246209980743</v>
      </c>
      <c r="CZ78" s="59">
        <f t="shared" si="96"/>
        <v>394.10236303013903</v>
      </c>
      <c r="DA78" s="15">
        <f>IF(ISNA(VLOOKUP(A78,'Données projet'!$A$139:$I$159,3,0)),0,VLOOKUP(A78,'Données projet'!$A$139:$I$159,3,0))</f>
        <v>13</v>
      </c>
      <c r="DB78" s="15">
        <f>IF(ISNA(VLOOKUP(A78,'Données projet'!$A$139:$I$159,4,0)),0,VLOOKUP(A78,'Données projet'!$A$139:$I$159,4,0))</f>
        <v>12</v>
      </c>
      <c r="DC78" s="16">
        <f>IF(ISNA(VLOOKUP(A78,'Données projet'!$A$139:$I$159,5,0)),0%,VLOOKUP(A78,'Données projet'!$A$139:$I$159,5,0)*VLOOKUP('Données projet'!$B$13,Paramètres!$A$1:$I$89,7,0))</f>
        <v>0.13250000000000001</v>
      </c>
      <c r="DD78" s="16">
        <f>IF(ISNA(VLOOKUP(A78,'Données projet'!$A$139:$I$159,6,0)),0%,VLOOKUP(A78,'Données projet'!$A$139:$I$159,6,0)*VLOOKUP('Données projet'!$B$13,Paramètres!$A$1:$I$89,7,0))</f>
        <v>0.13250000000000001</v>
      </c>
      <c r="DE78" s="16">
        <f>IF(ISNA(VLOOKUP(A78,'Données projet'!$A$139:$I$159,7,0)),0%,VLOOKUP(A78,'Données projet'!$A$139:$I$159,7,0))</f>
        <v>0.25</v>
      </c>
      <c r="DF78" s="21">
        <f>EXP(-LN(2)/35)*DF77+(1-EXP(-LN(2)/35))/(LN(2)/35)*DB78*DC78*VLOOKUP('Données projet'!$B$13,Paramètres!$A$1:$I$89,3,0)*0.475*44/12</f>
        <v>16.3973156474581</v>
      </c>
      <c r="DG78" s="21">
        <f>EXP(-LN(2)/25)*DG77+(1-EXP(-LN(2)/25))/(LN(2)/25)*Calculateur!DB78*Calculateur!DD78*VLOOKUP('Données projet'!$B$13,Paramètres!$A$1:$I$89,3,0)*0.475*44/12</f>
        <v>16.420431427058794</v>
      </c>
      <c r="DH78" s="21">
        <f>EXP(-LN(2)/2)*DH77+(1-EXP(-LN(2)/2))/(LN(2)/2)*DB78*DE78*VLOOKUP('Données projet'!$B$13,Paramètres!$A$1:$I$89,3,0)*0.475*44/12</f>
        <v>3.0501010726400488</v>
      </c>
      <c r="DI78" s="22">
        <f t="shared" si="69"/>
        <v>35.867848147156941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>
        <f>VLOOKUP(A78,'Données projet'!$A$165:$I$185,2,0)</f>
        <v>324</v>
      </c>
      <c r="DM78" s="12">
        <f>VLOOKUP(A78,'Données projet'!$A$165:$I$185,9,0)</f>
        <v>4.2</v>
      </c>
      <c r="DN78" s="12">
        <f t="array" ref="DN78">INDEX(DM:DM,MIN(IF(ISNUMBER(DM78:DM274),ROW(DM78:DM274),"")))</f>
        <v>4.2</v>
      </c>
      <c r="DO78" s="12">
        <f>IF('Données projet'!$A$166&gt;35,DO77+DN78-DW77,IF(A78&lt;'Données projet'!$A$166,$DL$205^A78,IF(A78='Données projet'!$A$166,'Données projet'!$B$166,DO77+DN78-DW77)))</f>
        <v>323.99999999999989</v>
      </c>
      <c r="DP78" s="17">
        <f>DO78*VLOOKUP('Données projet'!$B$14,Paramètres!$A$1:$I$89,3,0)*VLOOKUP('Données projet'!$B$14,Paramètres!$A$1:$I$89,5,0)</f>
        <v>252.71999999999991</v>
      </c>
      <c r="DQ78" s="13">
        <f t="shared" si="97"/>
        <v>61.168020584496823</v>
      </c>
      <c r="DR78" s="20">
        <f t="shared" si="70"/>
        <v>546.68830251799852</v>
      </c>
      <c r="DS78" s="59">
        <f t="shared" si="71"/>
        <v>815.34988721782338</v>
      </c>
      <c r="DT78" s="59">
        <f ca="1">AVERAGE(OFFSET($DS$3,0,0,'Données projet'!$E$14+1,1))-AVERAGE(OFFSET($H$3,0,0,'Données projet'!$E$14+1,1))</f>
        <v>371.07993287480366</v>
      </c>
      <c r="DU78" s="59">
        <f t="shared" si="98"/>
        <v>358.67120540290637</v>
      </c>
      <c r="DV78" s="15">
        <f>IF(ISNA(VLOOKUP(A78,'Données projet'!$A$165:$I$185,3,0)),0,VLOOKUP(A78,'Données projet'!$A$165:$I$185,3,0))</f>
        <v>13</v>
      </c>
      <c r="DW78" s="15">
        <f>IF(ISNA(VLOOKUP(A78,'Données projet'!$A$165:$I$185,4,0)),0,VLOOKUP(A78,'Données projet'!$A$165:$I$185,4,0))</f>
        <v>12</v>
      </c>
      <c r="DX78" s="16">
        <f>IF(ISNA(VLOOKUP(A78,'Données projet'!$A$165:$I$185,5,0)),0%,VLOOKUP(A78,'Données projet'!$A$165:$I$185,5,0)*VLOOKUP('Données projet'!$B$14,Paramètres!$A$1:$I$89,7,0))</f>
        <v>0.1075</v>
      </c>
      <c r="DY78" s="16">
        <f>IF(ISNA(VLOOKUP(A78,'Données projet'!$A$165:$I$185,6,0)),0%,VLOOKUP(A78,'Données projet'!$A$165:$I$185,6,0)*VLOOKUP('Données projet'!$B$14,Paramètres!$A$1:$I$89,7,0))</f>
        <v>0.1075</v>
      </c>
      <c r="DZ78" s="16">
        <f>IF(ISNA(VLOOKUP(A78,'Données projet'!$A$165:$I$185,7,0)),0%,VLOOKUP(A78,'Données projet'!$A$165:$I$185,7,0))</f>
        <v>0.25</v>
      </c>
      <c r="EA78" s="21">
        <f>EXP(-LN(2)/35)*EA77+(1-EXP(-LN(2)/35))/(LN(2)/35)*DW78*DX78*VLOOKUP('Données projet'!$B$14,Paramètres!$A$1:$I$89,3,0)*0.475*44/12</f>
        <v>11.87810938073952</v>
      </c>
      <c r="EB78" s="21">
        <f>EXP(-LN(2)/25)*EB77+(1-EXP(-LN(2)/25))/(LN(2)/25)*Calculateur!DW78*Calculateur!DY78*VLOOKUP('Données projet'!$B$14,Paramètres!$A$1:$I$89,3,0)*0.475*44/12</f>
        <v>11.894854301946225</v>
      </c>
      <c r="EC78" s="21">
        <f>EXP(-LN(2)/2)*EC77+(1-EXP(-LN(2)/2))/(LN(2)/2)*DW78*DZ78*VLOOKUP('Données projet'!$B$14,Paramètres!$A$1:$I$89,3,0)*0.475*44/12</f>
        <v>2.7233045291429003</v>
      </c>
      <c r="ED78" s="22">
        <f t="shared" si="72"/>
        <v>26.496268211828646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45">
      <c r="A79" s="10">
        <f t="shared" si="85"/>
        <v>76</v>
      </c>
      <c r="B79" s="73">
        <f>'Scénario référence'!$B$16*5+'Scénario référence'!$B$17*0+'Scénario référence'!$B$18*5</f>
        <v>5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1">
        <f t="shared" si="86"/>
        <v>0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18.333333333333332</v>
      </c>
      <c r="H79" s="67">
        <f t="shared" si="56"/>
        <v>183.33333333333334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9.546999999999997</v>
      </c>
      <c r="N79" s="13">
        <f>IF('Données projet'!$A$36&gt;35,N78+M79-V78,IF(A79&lt;'Données projet'!$A$36,$K$205^A79,IF(A79='Données projet'!$A$36,'Données projet'!$B$36,N78+M79-V78)))</f>
        <v>278.71400000000028</v>
      </c>
      <c r="O79" s="13">
        <f>N79*VLOOKUP('Données projet'!$B$9,Paramètres!$A$1:$I$89,3,0)*VLOOKUP('Données projet'!$B$9,Paramètres!$A$1:$I$89,5,0)</f>
        <v>252.18042720000025</v>
      </c>
      <c r="P79" s="13">
        <f t="shared" si="87"/>
        <v>61.052610283141384</v>
      </c>
      <c r="Q79" s="20">
        <f t="shared" si="54"/>
        <v>545.54754028313835</v>
      </c>
      <c r="R79" s="59">
        <f t="shared" si="55"/>
        <v>814.63712466398783</v>
      </c>
      <c r="S79" s="59">
        <f ca="1">AVERAGE(OFFSET($R$3,0,0,'Données projet'!$E$9+1,1))-AVERAGE(OFFSET($H$3,0,0,'Données projet'!$E$9+1,1))</f>
        <v>681.47578137804555</v>
      </c>
      <c r="T79" s="59">
        <f t="shared" si="88"/>
        <v>300.88511065995885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14.057195420863451</v>
      </c>
      <c r="AA79" s="21">
        <f>EXP(-LN(2)/25)*AA78+(1-EXP(-LN(2)/25))/(LN(2)/25)*Calculateur!V79*Calculateur!X79*VLOOKUP('Données projet'!$B$9,Paramètres!$A$1:$I$89,3,0)*0.475*44/12</f>
        <v>29.790731813625509</v>
      </c>
      <c r="AB79" s="21">
        <f>EXP(-LN(2)/2)*AB78+(1-EXP(-LN(2)/2))/(LN(2)/2)*V79*Y79*VLOOKUP('Données projet'!$B$9,Paramètres!$A$1:$I$89,3,0)*0.475*44/12</f>
        <v>2.3514420027375915</v>
      </c>
      <c r="AC79" s="22">
        <f t="shared" si="57"/>
        <v>46.199369237226556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10.417499999999999</v>
      </c>
      <c r="AI79" s="13">
        <f>IF('Données projet'!$A$62&gt;35,AI78+AH79-AQ78,IF(A79&lt;'Données projet'!$A$62,$AF$205^A79,IF(A79='Données projet'!$A$62,'Données projet'!$B$62,AI78+AH79-AQ78)))</f>
        <v>312.1674999999999</v>
      </c>
      <c r="AJ79" s="13">
        <f>AI79*VLOOKUP('Données projet'!$B$10,Paramètres!$A$1:$I$89,3,0)*VLOOKUP('Données projet'!$B$10,Paramètres!$A$1:$I$89,5,0)</f>
        <v>146.09438999999995</v>
      </c>
      <c r="AK79" s="13">
        <f t="shared" si="89"/>
        <v>37.689663525323951</v>
      </c>
      <c r="AL79" s="20">
        <f t="shared" si="58"/>
        <v>320.09055988993907</v>
      </c>
      <c r="AM79" s="59">
        <f t="shared" si="59"/>
        <v>589.18014427078856</v>
      </c>
      <c r="AN79" s="59">
        <f ca="1">AVERAGE(OFFSET($AM$3,0,0,'Données projet'!$E$10+1,1))-AVERAGE(OFFSET($H$3,0,0,'Données projet'!$E$10+1,1))</f>
        <v>325.45940224919184</v>
      </c>
      <c r="AO79" s="59">
        <f t="shared" si="90"/>
        <v>256.30046621034876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42.423754537170829</v>
      </c>
      <c r="AV79" s="21">
        <f>EXP(-LN(2)/25)*AV78+(1-EXP(-LN(2)/25))/(LN(2)/25)*Calculateur!AQ79*Calculateur!AS79*VLOOKUP('Données projet'!$B$10,Paramètres!$A$1:$I$89,3,0)*0.475*44/12</f>
        <v>18.078164171293803</v>
      </c>
      <c r="AW79" s="21">
        <f>EXP(-LN(2)/2)*AW78+(1-EXP(-LN(2)/2))/(LN(2)/2)*AQ79*AT79*VLOOKUP('Données projet'!$B$10,Paramètres!$A$1:$I$89,3,0)*0.475*44/12</f>
        <v>7.1649688127266256</v>
      </c>
      <c r="AX79" s="21">
        <f t="shared" si="60"/>
        <v>67.666887521191256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6.7437500000000021</v>
      </c>
      <c r="BD79" s="12">
        <f>IF('Données projet'!$A$88&gt;35,BD78+BC79-BL78,IF(A79&lt;'Données projet'!$A$88,$BA$205^A79,IF(A79='Données projet'!$A$88,'Données projet'!$B$88,BD78+BC79-BL78)))</f>
        <v>195.77625000000003</v>
      </c>
      <c r="BE79" s="13">
        <f>BD79*VLOOKUP('Données projet'!$B$11,Paramètres!$A$1:$I$89,3,0)*VLOOKUP('Données projet'!$B$11,Paramètres!$A$1:$I$89,5,0)</f>
        <v>198.51711750000004</v>
      </c>
      <c r="BF79" s="13">
        <f t="shared" si="91"/>
        <v>49.41813401590116</v>
      </c>
      <c r="BG79" s="20">
        <f t="shared" si="61"/>
        <v>431.8205630568612</v>
      </c>
      <c r="BH79" s="59">
        <f t="shared" si="62"/>
        <v>700.91014743771063</v>
      </c>
      <c r="BI79" s="59">
        <f ca="1">AVERAGE(OFFSET($BH$3,0,0,'Données projet'!$E$11+1,1))-AVERAGE(OFFSET($H$3,0,0,'Données projet'!$E$11+1,1))</f>
        <v>580.02848304986492</v>
      </c>
      <c r="BJ79" s="59">
        <f t="shared" si="92"/>
        <v>281.68891895586728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0</v>
      </c>
      <c r="BQ79" s="21">
        <f>EXP(-LN(2)/25)*BQ78+(1-EXP(-LN(2)/25))/(LN(2)/25)*Calculateur!BL79*Calculateur!BN79*VLOOKUP('Données projet'!$B$11,Paramètres!$A$1:$I$89,3,0)*0.475*44/12</f>
        <v>31.316048456043472</v>
      </c>
      <c r="BR79" s="21">
        <f>EXP(-LN(2)/2)*BR78+(1-EXP(-LN(2)/2))/(LN(2)/2)*BL79*BO79*VLOOKUP('Données projet'!$B$11,Paramètres!$A$1:$I$89,3,0)*0.475*44/12</f>
        <v>0.76852798448326298</v>
      </c>
      <c r="BS79" s="22">
        <f t="shared" si="63"/>
        <v>32.084576440526732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3.6</v>
      </c>
      <c r="BY79" s="12">
        <f>IF('Données projet'!$A$114&gt;35,BY78+BX79-CG78,IF(A79&lt;'Données projet'!$A$114,$BV$205^A79,IF(A79='Données projet'!$A$114,'Données projet'!$B$114,BY78+BX79-CG78)))</f>
        <v>315.59999999999991</v>
      </c>
      <c r="BZ79" s="13">
        <f>BY79*VLOOKUP('Données projet'!$B$12,Paramètres!$A$1:$I$89,3,0)*VLOOKUP('Données projet'!$B$12,Paramètres!$A$1:$I$89,5,0)</f>
        <v>300.32495999999992</v>
      </c>
      <c r="CA79" s="13">
        <f t="shared" si="93"/>
        <v>71.244583280574048</v>
      </c>
      <c r="CB79" s="20">
        <f t="shared" si="64"/>
        <v>647.15028788033294</v>
      </c>
      <c r="CC79" s="59">
        <f t="shared" si="65"/>
        <v>916.23987226118243</v>
      </c>
      <c r="CD79" s="59">
        <f ca="1">AVERAGE(OFFSET($CC$3,0,0,'Données projet'!$E$12+1,1))-AVERAGE(OFFSET($H$3,0,0,'Données projet'!$E$12+1,1))</f>
        <v>439.15394290667945</v>
      </c>
      <c r="CE79" s="59">
        <f t="shared" si="94"/>
        <v>423.56554025351068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14.207128018871767</v>
      </c>
      <c r="CL79" s="21">
        <f>EXP(-LN(2)/25)*CL78+(1-EXP(-LN(2)/25))/(LN(2)/25)*Calculateur!CG79*Calculateur!CI79*VLOOKUP('Données projet'!$B$12,Paramètres!$A$1:$I$89,3,0)*0.475*44/12</f>
        <v>14.114898440354294</v>
      </c>
      <c r="CM79" s="21">
        <f>EXP(-LN(2)/2)*CM78+(1-EXP(-LN(2)/2))/(LN(2)/2)*CG79*CJ79*VLOOKUP('Données projet'!$B$12,Paramètres!$A$1:$I$89,3,0)*0.475*44/12</f>
        <v>2.3493138617474396</v>
      </c>
      <c r="CN79" s="22">
        <f t="shared" si="66"/>
        <v>30.671340320973499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3.6</v>
      </c>
      <c r="CT79" s="12">
        <f>IF('Données projet'!$A$140&gt;35,CT78+CS79-DB78,IF(A79&lt;'Données projet'!$A$140,$CQ$205^A79,IF(A79='Données projet'!$A$140,'Données projet'!$B$140,CT78+CS79-DB78)))</f>
        <v>315.59999999999991</v>
      </c>
      <c r="CU79" s="17">
        <f>CT79*VLOOKUP('Données projet'!$B$13,Paramètres!$A$1:$I$89,3,0)*VLOOKUP('Données projet'!$B$13,Paramètres!$A$1:$I$89,5,0)</f>
        <v>275.70815999999996</v>
      </c>
      <c r="CV79" s="13">
        <f t="shared" si="95"/>
        <v>66.05920594467139</v>
      </c>
      <c r="CW79" s="20">
        <f t="shared" si="67"/>
        <v>595.24482902030275</v>
      </c>
      <c r="CX79" s="59">
        <f t="shared" si="68"/>
        <v>864.33441340115223</v>
      </c>
      <c r="CY79" s="59">
        <f ca="1">AVERAGE(OFFSET($CX$3,0,0,'Données projet'!$E$13+1,1))-AVERAGE(OFFSET($H$3,0,0,'Données projet'!$E$13+1,1))</f>
        <v>408.246209980743</v>
      </c>
      <c r="CZ79" s="59">
        <f t="shared" si="96"/>
        <v>394.10236303013903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>
        <f>EXP(-LN(2)/35)*DF78+(1-EXP(-LN(2)/35))/(LN(2)/35)*DB79*DC79*VLOOKUP('Données projet'!$B$13,Paramètres!$A$1:$I$89,3,0)*0.475*44/12</f>
        <v>16.075774288986437</v>
      </c>
      <c r="DG79" s="21">
        <f>EXP(-LN(2)/25)*DG78+(1-EXP(-LN(2)/25))/(LN(2)/25)*Calculateur!DB79*Calculateur!DD79*VLOOKUP('Données projet'!$B$13,Paramètres!$A$1:$I$89,3,0)*0.475*44/12</f>
        <v>15.971413866172913</v>
      </c>
      <c r="DH79" s="21">
        <f>EXP(-LN(2)/2)*DH78+(1-EXP(-LN(2)/2))/(LN(2)/2)*DB79*DE79*VLOOKUP('Données projet'!$B$13,Paramètres!$A$1:$I$89,3,0)*0.475*44/12</f>
        <v>2.1567471517681409</v>
      </c>
      <c r="DI79" s="22">
        <f t="shared" si="69"/>
        <v>34.203935306927491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3.6</v>
      </c>
      <c r="DO79" s="12">
        <f>IF('Données projet'!$A$166&gt;35,DO78+DN79-DW78,IF(A79&lt;'Données projet'!$A$166,$DL$205^A79,IF(A79='Données projet'!$A$166,'Données projet'!$B$166,DO78+DN79-DW78)))</f>
        <v>315.59999999999991</v>
      </c>
      <c r="DP79" s="17">
        <f>DO79*VLOOKUP('Données projet'!$B$14,Paramètres!$A$1:$I$89,3,0)*VLOOKUP('Données projet'!$B$14,Paramètres!$A$1:$I$89,5,0)</f>
        <v>246.16799999999995</v>
      </c>
      <c r="DQ79" s="13">
        <f t="shared" si="97"/>
        <v>59.764639499163827</v>
      </c>
      <c r="DR79" s="20">
        <f t="shared" si="70"/>
        <v>532.83268046104354</v>
      </c>
      <c r="DS79" s="59">
        <f t="shared" si="71"/>
        <v>801.92226484189291</v>
      </c>
      <c r="DT79" s="59">
        <f ca="1">AVERAGE(OFFSET($DS$3,0,0,'Données projet'!$E$14+1,1))-AVERAGE(OFFSET($H$3,0,0,'Données projet'!$E$14+1,1))</f>
        <v>371.07993287480366</v>
      </c>
      <c r="DU79" s="59">
        <f t="shared" si="98"/>
        <v>358.67120540290637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>
        <f>EXP(-LN(2)/35)*EA78+(1-EXP(-LN(2)/35))/(LN(2)/35)*DW79*DX79*VLOOKUP('Données projet'!$B$14,Paramètres!$A$1:$I$89,3,0)*0.475*44/12</f>
        <v>11.645186900714563</v>
      </c>
      <c r="EB79" s="21">
        <f>EXP(-LN(2)/25)*EB78+(1-EXP(-LN(2)/25))/(LN(2)/25)*Calculateur!DW79*Calculateur!DY79*VLOOKUP('Données projet'!$B$14,Paramètres!$A$1:$I$89,3,0)*0.475*44/12</f>
        <v>11.569588885536303</v>
      </c>
      <c r="EC79" s="21">
        <f>EXP(-LN(2)/2)*EC78+(1-EXP(-LN(2)/2))/(LN(2)/2)*DW79*DZ79*VLOOKUP('Données projet'!$B$14,Paramètres!$A$1:$I$89,3,0)*0.475*44/12</f>
        <v>1.9256670997929828</v>
      </c>
      <c r="ED79" s="22">
        <f t="shared" si="72"/>
        <v>25.14044288604385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45">
      <c r="A80" s="10">
        <f t="shared" si="85"/>
        <v>77</v>
      </c>
      <c r="B80" s="73">
        <f>'Scénario référence'!$B$16*5+'Scénario référence'!$B$17*0+'Scénario référence'!$B$18*5</f>
        <v>5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1">
        <f t="shared" si="86"/>
        <v>0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18.333333333333332</v>
      </c>
      <c r="H80" s="67">
        <f t="shared" si="56"/>
        <v>183.33333333333334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9.546999999999997</v>
      </c>
      <c r="N80" s="13">
        <f>IF('Données projet'!$A$36&gt;35,N79+M80-V79,IF(A80&lt;'Données projet'!$A$36,$K$205^A80,IF(A80='Données projet'!$A$36,'Données projet'!$B$36,N79+M80-V79)))</f>
        <v>288.26100000000031</v>
      </c>
      <c r="O80" s="13">
        <f>N80*VLOOKUP('Données projet'!$B$9,Paramètres!$A$1:$I$89,3,0)*VLOOKUP('Données projet'!$B$9,Paramètres!$A$1:$I$89,5,0)</f>
        <v>260.8185528000003</v>
      </c>
      <c r="P80" s="13">
        <f t="shared" si="87"/>
        <v>62.896828401660521</v>
      </c>
      <c r="Q80" s="20">
        <f t="shared" si="54"/>
        <v>563.80428892622592</v>
      </c>
      <c r="R80" s="59">
        <f t="shared" si="55"/>
        <v>833.31444815049827</v>
      </c>
      <c r="S80" s="59">
        <f ca="1">AVERAGE(OFFSET($R$3,0,0,'Données projet'!$E$9+1,1))-AVERAGE(OFFSET($H$3,0,0,'Données projet'!$E$9+1,1))</f>
        <v>681.47578137804555</v>
      </c>
      <c r="T80" s="59">
        <f t="shared" si="88"/>
        <v>300.88511065995885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13.781542392702908</v>
      </c>
      <c r="AA80" s="21">
        <f>EXP(-LN(2)/25)*AA79+(1-EXP(-LN(2)/25))/(LN(2)/25)*Calculateur!V80*Calculateur!X80*VLOOKUP('Données projet'!$B$9,Paramètres!$A$1:$I$89,3,0)*0.475*44/12</f>
        <v>28.976102685555421</v>
      </c>
      <c r="AB80" s="21">
        <f>EXP(-LN(2)/2)*AB79+(1-EXP(-LN(2)/2))/(LN(2)/2)*V80*Y80*VLOOKUP('Données projet'!$B$9,Paramètres!$A$1:$I$89,3,0)*0.475*44/12</f>
        <v>1.6627205857026273</v>
      </c>
      <c r="AC80" s="22">
        <f t="shared" si="57"/>
        <v>44.420365663960958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10.417499999999999</v>
      </c>
      <c r="AI80" s="13">
        <f>IF('Données projet'!$A$62&gt;35,AI79+AH80-AQ79,IF(A80&lt;'Données projet'!$A$62,$AF$205^A80,IF(A80='Données projet'!$A$62,'Données projet'!$B$62,AI79+AH80-AQ79)))</f>
        <v>322.58499999999992</v>
      </c>
      <c r="AJ80" s="13">
        <f>AI80*VLOOKUP('Données projet'!$B$10,Paramètres!$A$1:$I$89,3,0)*VLOOKUP('Données projet'!$B$10,Paramètres!$A$1:$I$89,5,0)</f>
        <v>150.96977999999996</v>
      </c>
      <c r="AK80" s="13">
        <f t="shared" si="89"/>
        <v>38.798888878952567</v>
      </c>
      <c r="AL80" s="20">
        <f t="shared" si="58"/>
        <v>330.51376496417566</v>
      </c>
      <c r="AM80" s="59">
        <f t="shared" si="59"/>
        <v>600.02392418844795</v>
      </c>
      <c r="AN80" s="59">
        <f ca="1">AVERAGE(OFFSET($AM$3,0,0,'Données projet'!$E$10+1,1))-AVERAGE(OFFSET($H$3,0,0,'Données projet'!$E$10+1,1))</f>
        <v>325.45940224919184</v>
      </c>
      <c r="AO80" s="59">
        <f t="shared" si="90"/>
        <v>256.30046621034876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41.591850586632141</v>
      </c>
      <c r="AV80" s="21">
        <f>EXP(-LN(2)/25)*AV79+(1-EXP(-LN(2)/25))/(LN(2)/25)*Calculateur!AQ80*Calculateur!AS80*VLOOKUP('Données projet'!$B$10,Paramètres!$A$1:$I$89,3,0)*0.475*44/12</f>
        <v>17.583815821340437</v>
      </c>
      <c r="AW80" s="21">
        <f>EXP(-LN(2)/2)*AW79+(1-EXP(-LN(2)/2))/(LN(2)/2)*AQ80*AT80*VLOOKUP('Données projet'!$B$10,Paramètres!$A$1:$I$89,3,0)*0.475*44/12</f>
        <v>5.066398034469124</v>
      </c>
      <c r="AX80" s="21">
        <f t="shared" si="60"/>
        <v>64.242064442441702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>
        <f>VLOOKUP(A80,'Données projet'!$A$87:$I$107,2,0)</f>
        <v>202.52</v>
      </c>
      <c r="BB80" s="12">
        <f>VLOOKUP(A80,'Données projet'!$A$87:$I$107,9,0)</f>
        <v>6.7437500000000021</v>
      </c>
      <c r="BC80" s="12">
        <f t="array" ref="BC80">INDEX(BB:BB,MIN(IF(ISNUMBER(BB80:BB276),ROW(BB80:BB276),"")))</f>
        <v>6.7437500000000021</v>
      </c>
      <c r="BD80" s="12">
        <f>IF('Données projet'!$A$88&gt;35,BD79+BC80-BL79,IF(A80&lt;'Données projet'!$A$88,$BA$205^A80,IF(A80='Données projet'!$A$88,'Données projet'!$B$88,BD79+BC80-BL79)))</f>
        <v>202.52000000000004</v>
      </c>
      <c r="BE80" s="13">
        <f>BD80*VLOOKUP('Données projet'!$B$11,Paramètres!$A$1:$I$89,3,0)*VLOOKUP('Données projet'!$B$11,Paramètres!$A$1:$I$89,5,0)</f>
        <v>205.35528000000005</v>
      </c>
      <c r="BF80" s="13">
        <f t="shared" si="91"/>
        <v>50.919280092893707</v>
      </c>
      <c r="BG80" s="20">
        <f t="shared" si="61"/>
        <v>446.34485882845661</v>
      </c>
      <c r="BH80" s="59">
        <f t="shared" si="62"/>
        <v>715.85501805272884</v>
      </c>
      <c r="BI80" s="59">
        <f ca="1">AVERAGE(OFFSET($BH$3,0,0,'Données projet'!$E$11+1,1))-AVERAGE(OFFSET($H$3,0,0,'Données projet'!$E$11+1,1))</f>
        <v>580.02848304986492</v>
      </c>
      <c r="BJ80" s="59">
        <f t="shared" si="92"/>
        <v>281.68891895586728</v>
      </c>
      <c r="BK80" s="15">
        <f>IF(ISNA(VLOOKUP(A80,'Données projet'!$A$87:$I$107,3,0)),0,VLOOKUP(A80,'Données projet'!$A$87:$I$107,3,0))</f>
        <v>3</v>
      </c>
      <c r="BL80" s="15">
        <f>IF(ISNA(VLOOKUP(A80,'Données projet'!$A$87:$I$107,4,0)),0,VLOOKUP(A80,'Données projet'!$A$87:$I$107,4,0))</f>
        <v>33.950000000000017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0.34400000000000003</v>
      </c>
      <c r="BO80" s="16">
        <f>IF(ISNA(VLOOKUP(A80,'Données projet'!$A$87:$I$107,7,0)),0%,VLOOKUP(A80,'Données projet'!$A$87:$I$107,7,0))</f>
        <v>0.2</v>
      </c>
      <c r="BP80" s="21">
        <f>EXP(-LN(2)/35)*BP79+(1-EXP(-LN(2)/35))/(LN(2)/35)*BL80*BM80*VLOOKUP('Données projet'!$B$11,Paramètres!$A$1:$I$89,3,0)*0.475*44/12</f>
        <v>0</v>
      </c>
      <c r="BQ80" s="21">
        <f>EXP(-LN(2)/25)*BQ79+(1-EXP(-LN(2)/25))/(LN(2)/25)*Calculateur!BL80*Calculateur!BN80*VLOOKUP('Données projet'!$B$11,Paramètres!$A$1:$I$89,3,0)*0.475*44/12</f>
        <v>43.499479380258421</v>
      </c>
      <c r="BR80" s="21">
        <f>EXP(-LN(2)/2)*BR79+(1-EXP(-LN(2)/2))/(LN(2)/2)*BL80*BO80*VLOOKUP('Données projet'!$B$11,Paramètres!$A$1:$I$89,3,0)*0.475*44/12</f>
        <v>7.0396707680327228</v>
      </c>
      <c r="BS80" s="22">
        <f t="shared" si="63"/>
        <v>50.539150148291142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3.6</v>
      </c>
      <c r="BY80" s="12">
        <f>IF('Données projet'!$A$114&gt;35,BY79+BX80-CG79,IF(A80&lt;'Données projet'!$A$114,$BV$205^A80,IF(A80='Données projet'!$A$114,'Données projet'!$B$114,BY79+BX80-CG79)))</f>
        <v>319.19999999999993</v>
      </c>
      <c r="BZ80" s="13">
        <f>BY80*VLOOKUP('Données projet'!$B$12,Paramètres!$A$1:$I$89,3,0)*VLOOKUP('Données projet'!$B$12,Paramètres!$A$1:$I$89,5,0)</f>
        <v>303.75071999999994</v>
      </c>
      <c r="CA80" s="13">
        <f t="shared" si="93"/>
        <v>71.962188959446379</v>
      </c>
      <c r="CB80" s="20">
        <f t="shared" si="64"/>
        <v>654.36664977103567</v>
      </c>
      <c r="CC80" s="59">
        <f t="shared" si="65"/>
        <v>923.87680899530801</v>
      </c>
      <c r="CD80" s="59">
        <f ca="1">AVERAGE(OFFSET($CC$3,0,0,'Données projet'!$E$12+1,1))-AVERAGE(OFFSET($H$3,0,0,'Données projet'!$E$12+1,1))</f>
        <v>439.15394290667945</v>
      </c>
      <c r="CE80" s="59">
        <f t="shared" si="94"/>
        <v>423.56554025351068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13.928534903914137</v>
      </c>
      <c r="CL80" s="21">
        <f>EXP(-LN(2)/25)*CL79+(1-EXP(-LN(2)/25))/(LN(2)/25)*Calculateur!CG80*Calculateur!CI80*VLOOKUP('Données projet'!$B$12,Paramètres!$A$1:$I$89,3,0)*0.475*44/12</f>
        <v>13.728925800232556</v>
      </c>
      <c r="CM80" s="21">
        <f>EXP(-LN(2)/2)*CM79+(1-EXP(-LN(2)/2))/(LN(2)/2)*CG80*CJ80*VLOOKUP('Données projet'!$B$12,Paramètres!$A$1:$I$89,3,0)*0.475*44/12</f>
        <v>1.6612157627771698</v>
      </c>
      <c r="CN80" s="22">
        <f t="shared" si="66"/>
        <v>29.318676466923861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3.6</v>
      </c>
      <c r="CT80" s="12">
        <f>IF('Données projet'!$A$140&gt;35,CT79+CS80-DB79,IF(A80&lt;'Données projet'!$A$140,$CQ$205^A80,IF(A80='Données projet'!$A$140,'Données projet'!$B$140,CT79+CS80-DB79)))</f>
        <v>319.19999999999993</v>
      </c>
      <c r="CU80" s="17">
        <f>CT80*VLOOKUP('Données projet'!$B$13,Paramètres!$A$1:$I$89,3,0)*VLOOKUP('Données projet'!$B$13,Paramètres!$A$1:$I$89,5,0)</f>
        <v>278.85311999999999</v>
      </c>
      <c r="CV80" s="13">
        <f t="shared" si="95"/>
        <v>66.724582302351905</v>
      </c>
      <c r="CW80" s="20">
        <f t="shared" si="67"/>
        <v>601.88116484326292</v>
      </c>
      <c r="CX80" s="59">
        <f t="shared" si="68"/>
        <v>871.39132406753515</v>
      </c>
      <c r="CY80" s="59">
        <f ca="1">AVERAGE(OFFSET($CX$3,0,0,'Données projet'!$E$13+1,1))-AVERAGE(OFFSET($H$3,0,0,'Données projet'!$E$13+1,1))</f>
        <v>408.246209980743</v>
      </c>
      <c r="CZ80" s="59">
        <f t="shared" si="96"/>
        <v>394.10236303013903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>
        <f>EXP(-LN(2)/35)*DF79+(1-EXP(-LN(2)/35))/(LN(2)/35)*DB80*DC80*VLOOKUP('Données projet'!$B$13,Paramètres!$A$1:$I$89,3,0)*0.475*44/12</f>
        <v>15.760538160433541</v>
      </c>
      <c r="DG80" s="21">
        <f>EXP(-LN(2)/25)*DG79+(1-EXP(-LN(2)/25))/(LN(2)/25)*Calculateur!DB80*Calculateur!DD80*VLOOKUP('Données projet'!$B$13,Paramètres!$A$1:$I$89,3,0)*0.475*44/12</f>
        <v>15.534674714102263</v>
      </c>
      <c r="DH80" s="21">
        <f>EXP(-LN(2)/2)*DH79+(1-EXP(-LN(2)/2))/(LN(2)/2)*DB80*DE80*VLOOKUP('Données projet'!$B$13,Paramètres!$A$1:$I$89,3,0)*0.475*44/12</f>
        <v>1.5250505363200246</v>
      </c>
      <c r="DI80" s="22">
        <f t="shared" si="69"/>
        <v>32.82026341085583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3.6</v>
      </c>
      <c r="DO80" s="12">
        <f>IF('Données projet'!$A$166&gt;35,DO79+DN80-DW79,IF(A80&lt;'Données projet'!$A$166,$DL$205^A80,IF(A80='Données projet'!$A$166,'Données projet'!$B$166,DO79+DN80-DW79)))</f>
        <v>319.19999999999993</v>
      </c>
      <c r="DP80" s="17">
        <f>DO80*VLOOKUP('Données projet'!$B$14,Paramètres!$A$1:$I$89,3,0)*VLOOKUP('Données projet'!$B$14,Paramètres!$A$1:$I$89,5,0)</f>
        <v>248.97599999999994</v>
      </c>
      <c r="DQ80" s="13">
        <f t="shared" si="97"/>
        <v>60.366614312202735</v>
      </c>
      <c r="DR80" s="20">
        <f t="shared" si="70"/>
        <v>538.77171992708634</v>
      </c>
      <c r="DS80" s="59">
        <f t="shared" si="71"/>
        <v>808.28187915135868</v>
      </c>
      <c r="DT80" s="59">
        <f ca="1">AVERAGE(OFFSET($DS$3,0,0,'Données projet'!$E$14+1,1))-AVERAGE(OFFSET($H$3,0,0,'Données projet'!$E$14+1,1))</f>
        <v>371.07993287480366</v>
      </c>
      <c r="DU80" s="59">
        <f t="shared" si="98"/>
        <v>358.67120540290637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>
        <f>EXP(-LN(2)/35)*EA79+(1-EXP(-LN(2)/35))/(LN(2)/35)*DW80*DX80*VLOOKUP('Données projet'!$B$14,Paramètres!$A$1:$I$89,3,0)*0.475*44/12</f>
        <v>11.41683188845421</v>
      </c>
      <c r="EB80" s="21">
        <f>EXP(-LN(2)/25)*EB79+(1-EXP(-LN(2)/25))/(LN(2)/25)*Calculateur!DW80*Calculateur!DY80*VLOOKUP('Données projet'!$B$14,Paramètres!$A$1:$I$89,3,0)*0.475*44/12</f>
        <v>11.253217869043077</v>
      </c>
      <c r="EC80" s="21">
        <f>EXP(-LN(2)/2)*EC79+(1-EXP(-LN(2)/2))/(LN(2)/2)*DW80*DZ80*VLOOKUP('Données projet'!$B$14,Paramètres!$A$1:$I$89,3,0)*0.475*44/12</f>
        <v>1.3616522645714504</v>
      </c>
      <c r="ED80" s="22">
        <f t="shared" si="72"/>
        <v>24.031702022068739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45">
      <c r="A81" s="10">
        <f t="shared" si="85"/>
        <v>78</v>
      </c>
      <c r="B81" s="73">
        <f>'Scénario référence'!$B$16*5+'Scénario référence'!$B$17*0+'Scénario référence'!$B$18*5</f>
        <v>5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1">
        <f t="shared" si="86"/>
        <v>0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18.333333333333332</v>
      </c>
      <c r="H81" s="67">
        <f t="shared" si="56"/>
        <v>183.33333333333334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9.546999999999997</v>
      </c>
      <c r="N81" s="13">
        <f>IF('Données projet'!$A$36&gt;35,N80+M81-V80,IF(A81&lt;'Données projet'!$A$36,$K$205^A81,IF(A81='Données projet'!$A$36,'Données projet'!$B$36,N80+M81-V80)))</f>
        <v>297.80800000000033</v>
      </c>
      <c r="O81" s="13">
        <f>N81*VLOOKUP('Données projet'!$B$9,Paramètres!$A$1:$I$89,3,0)*VLOOKUP('Données projet'!$B$9,Paramètres!$A$1:$I$89,5,0)</f>
        <v>269.45667840000027</v>
      </c>
      <c r="P81" s="13">
        <f t="shared" si="87"/>
        <v>64.733949217436958</v>
      </c>
      <c r="Q81" s="20">
        <f t="shared" si="54"/>
        <v>582.04867643370324</v>
      </c>
      <c r="R81" s="59">
        <f t="shared" si="55"/>
        <v>851.97211446812946</v>
      </c>
      <c r="S81" s="59">
        <f ca="1">AVERAGE(OFFSET($R$3,0,0,'Données projet'!$E$9+1,1))-AVERAGE(OFFSET($H$3,0,0,'Données projet'!$E$9+1,1))</f>
        <v>681.47578137804555</v>
      </c>
      <c r="T81" s="59">
        <f t="shared" si="88"/>
        <v>300.88511065995885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13.51129475229285</v>
      </c>
      <c r="AA81" s="21">
        <f>EXP(-LN(2)/25)*AA80+(1-EXP(-LN(2)/25))/(LN(2)/25)*Calculateur!V81*Calculateur!X81*VLOOKUP('Données projet'!$B$9,Paramètres!$A$1:$I$89,3,0)*0.475*44/12</f>
        <v>28.183749633831894</v>
      </c>
      <c r="AB81" s="21">
        <f>EXP(-LN(2)/2)*AB80+(1-EXP(-LN(2)/2))/(LN(2)/2)*V81*Y81*VLOOKUP('Données projet'!$B$9,Paramètres!$A$1:$I$89,3,0)*0.475*44/12</f>
        <v>1.175721001368796</v>
      </c>
      <c r="AC81" s="22">
        <f t="shared" si="57"/>
        <v>42.870765387493535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10.417499999999999</v>
      </c>
      <c r="AI81" s="13">
        <f>IF('Données projet'!$A$62&gt;35,AI80+AH81-AQ80,IF(A81&lt;'Données projet'!$A$62,$AF$205^A81,IF(A81='Données projet'!$A$62,'Données projet'!$B$62,AI80+AH81-AQ80)))</f>
        <v>333.00249999999994</v>
      </c>
      <c r="AJ81" s="13">
        <f>AI81*VLOOKUP('Données projet'!$B$10,Paramètres!$A$1:$I$89,3,0)*VLOOKUP('Données projet'!$B$10,Paramètres!$A$1:$I$89,5,0)</f>
        <v>155.84516999999997</v>
      </c>
      <c r="AK81" s="13">
        <f t="shared" si="89"/>
        <v>39.903951717068814</v>
      </c>
      <c r="AL81" s="20">
        <f t="shared" si="58"/>
        <v>340.9297203238948</v>
      </c>
      <c r="AM81" s="59">
        <f t="shared" si="59"/>
        <v>610.85315835832102</v>
      </c>
      <c r="AN81" s="59">
        <f ca="1">AVERAGE(OFFSET($AM$3,0,0,'Données projet'!$E$10+1,1))-AVERAGE(OFFSET($H$3,0,0,'Données projet'!$E$10+1,1))</f>
        <v>325.45940224919184</v>
      </c>
      <c r="AO81" s="59">
        <f t="shared" si="90"/>
        <v>256.30046621034876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40.776259765152211</v>
      </c>
      <c r="AV81" s="21">
        <f>EXP(-LN(2)/25)*AV80+(1-EXP(-LN(2)/25))/(LN(2)/25)*Calculateur!AQ81*Calculateur!AS81*VLOOKUP('Données projet'!$B$10,Paramètres!$A$1:$I$89,3,0)*0.475*44/12</f>
        <v>17.102985453013197</v>
      </c>
      <c r="AW81" s="21">
        <f>EXP(-LN(2)/2)*AW80+(1-EXP(-LN(2)/2))/(LN(2)/2)*AQ81*AT81*VLOOKUP('Données projet'!$B$10,Paramètres!$A$1:$I$89,3,0)*0.475*44/12</f>
        <v>3.5824844063633137</v>
      </c>
      <c r="AX81" s="21">
        <f t="shared" si="60"/>
        <v>61.461729624528722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6.7444444444444462</v>
      </c>
      <c r="BD81" s="12">
        <f>IF('Données projet'!$A$88&gt;35,BD80+BC81-BL80,IF(A81&lt;'Données projet'!$A$88,$BA$205^A81,IF(A81='Données projet'!$A$88,'Données projet'!$B$88,BD80+BC81-BL80)))</f>
        <v>175.31444444444446</v>
      </c>
      <c r="BE81" s="13">
        <f>BD81*VLOOKUP('Données projet'!$B$11,Paramètres!$A$1:$I$89,3,0)*VLOOKUP('Données projet'!$B$11,Paramètres!$A$1:$I$89,5,0)</f>
        <v>177.76884666666669</v>
      </c>
      <c r="BF81" s="13">
        <f t="shared" si="91"/>
        <v>44.825435894521945</v>
      </c>
      <c r="BG81" s="20">
        <f t="shared" si="61"/>
        <v>387.68504212740351</v>
      </c>
      <c r="BH81" s="59">
        <f t="shared" si="62"/>
        <v>657.60848016182968</v>
      </c>
      <c r="BI81" s="59">
        <f ca="1">AVERAGE(OFFSET($BH$3,0,0,'Données projet'!$E$11+1,1))-AVERAGE(OFFSET($H$3,0,0,'Données projet'!$E$11+1,1))</f>
        <v>580.02848304986492</v>
      </c>
      <c r="BJ81" s="59">
        <f t="shared" si="92"/>
        <v>281.68891895586728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0</v>
      </c>
      <c r="BQ81" s="21">
        <f>EXP(-LN(2)/25)*BQ80+(1-EXP(-LN(2)/25))/(LN(2)/25)*Calculateur!BL81*Calculateur!BN81*VLOOKUP('Données projet'!$B$11,Paramètres!$A$1:$I$89,3,0)*0.475*44/12</f>
        <v>42.30998382906705</v>
      </c>
      <c r="BR81" s="21">
        <f>EXP(-LN(2)/2)*BR80+(1-EXP(-LN(2)/2))/(LN(2)/2)*BL81*BO81*VLOOKUP('Données projet'!$B$11,Paramètres!$A$1:$I$89,3,0)*0.475*44/12</f>
        <v>4.97779893739665</v>
      </c>
      <c r="BS81" s="22">
        <f t="shared" si="63"/>
        <v>47.2877827664637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3.6</v>
      </c>
      <c r="BY81" s="12">
        <f>IF('Données projet'!$A$114&gt;35,BY80+BX81-CG80,IF(A81&lt;'Données projet'!$A$114,$BV$205^A81,IF(A81='Données projet'!$A$114,'Données projet'!$B$114,BY80+BX81-CG80)))</f>
        <v>322.79999999999995</v>
      </c>
      <c r="BZ81" s="13">
        <f>BY81*VLOOKUP('Données projet'!$B$12,Paramètres!$A$1:$I$89,3,0)*VLOOKUP('Données projet'!$B$12,Paramètres!$A$1:$I$89,5,0)</f>
        <v>307.17647999999997</v>
      </c>
      <c r="CA81" s="13">
        <f t="shared" si="93"/>
        <v>72.67885317551476</v>
      </c>
      <c r="CB81" s="20">
        <f t="shared" si="64"/>
        <v>661.5813719473548</v>
      </c>
      <c r="CC81" s="59">
        <f t="shared" si="65"/>
        <v>931.50480998178102</v>
      </c>
      <c r="CD81" s="59">
        <f ca="1">AVERAGE(OFFSET($CC$3,0,0,'Données projet'!$E$12+1,1))-AVERAGE(OFFSET($H$3,0,0,'Données projet'!$E$12+1,1))</f>
        <v>439.15394290667945</v>
      </c>
      <c r="CE81" s="59">
        <f t="shared" si="94"/>
        <v>423.56554025351068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13.655404830015804</v>
      </c>
      <c r="CL81" s="21">
        <f>EXP(-LN(2)/25)*CL80+(1-EXP(-LN(2)/25))/(LN(2)/25)*Calculateur!CG81*Calculateur!CI81*VLOOKUP('Données projet'!$B$12,Paramètres!$A$1:$I$89,3,0)*0.475*44/12</f>
        <v>13.353507602252368</v>
      </c>
      <c r="CM81" s="21">
        <f>EXP(-LN(2)/2)*CM80+(1-EXP(-LN(2)/2))/(LN(2)/2)*CG81*CJ81*VLOOKUP('Données projet'!$B$12,Paramètres!$A$1:$I$89,3,0)*0.475*44/12</f>
        <v>1.1746569308737198</v>
      </c>
      <c r="CN81" s="22">
        <f t="shared" si="66"/>
        <v>28.183569363141892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3.6</v>
      </c>
      <c r="CT81" s="12">
        <f>IF('Données projet'!$A$140&gt;35,CT80+CS81-DB80,IF(A81&lt;'Données projet'!$A$140,$CQ$205^A81,IF(A81='Données projet'!$A$140,'Données projet'!$B$140,CT80+CS81-DB80)))</f>
        <v>322.79999999999995</v>
      </c>
      <c r="CU81" s="17">
        <f>CT81*VLOOKUP('Données projet'!$B$13,Paramètres!$A$1:$I$89,3,0)*VLOOKUP('Données projet'!$B$13,Paramètres!$A$1:$I$89,5,0)</f>
        <v>281.99808000000002</v>
      </c>
      <c r="CV81" s="13">
        <f t="shared" si="95"/>
        <v>67.389085719488818</v>
      </c>
      <c r="CW81" s="20">
        <f t="shared" si="67"/>
        <v>608.51598029477634</v>
      </c>
      <c r="CX81" s="59">
        <f t="shared" si="68"/>
        <v>878.43941832920257</v>
      </c>
      <c r="CY81" s="59">
        <f ca="1">AVERAGE(OFFSET($CX$3,0,0,'Données projet'!$E$13+1,1))-AVERAGE(OFFSET($H$3,0,0,'Données projet'!$E$13+1,1))</f>
        <v>408.246209980743</v>
      </c>
      <c r="CZ81" s="59">
        <f t="shared" si="96"/>
        <v>394.10236303013903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>
        <f>EXP(-LN(2)/35)*DF80+(1-EXP(-LN(2)/35))/(LN(2)/35)*DB81*DC81*VLOOKUP('Données projet'!$B$13,Paramètres!$A$1:$I$89,3,0)*0.475*44/12</f>
        <v>15.451483620086513</v>
      </c>
      <c r="DG81" s="21">
        <f>EXP(-LN(2)/25)*DG80+(1-EXP(-LN(2)/25))/(LN(2)/25)*Calculateur!DB81*Calculateur!DD81*VLOOKUP('Données projet'!$B$13,Paramètres!$A$1:$I$89,3,0)*0.475*44/12</f>
        <v>15.109878217112097</v>
      </c>
      <c r="DH81" s="21">
        <f>EXP(-LN(2)/2)*DH80+(1-EXP(-LN(2)/2))/(LN(2)/2)*DB81*DE81*VLOOKUP('Données projet'!$B$13,Paramètres!$A$1:$I$89,3,0)*0.475*44/12</f>
        <v>1.0783735758840707</v>
      </c>
      <c r="DI81" s="22">
        <f t="shared" si="69"/>
        <v>31.639735413082683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3.6</v>
      </c>
      <c r="DO81" s="12">
        <f>IF('Données projet'!$A$166&gt;35,DO80+DN81-DW80,IF(A81&lt;'Données projet'!$A$166,$DL$205^A81,IF(A81='Données projet'!$A$166,'Données projet'!$B$166,DO80+DN81-DW80)))</f>
        <v>322.79999999999995</v>
      </c>
      <c r="DP81" s="17">
        <f>DO81*VLOOKUP('Données projet'!$B$14,Paramètres!$A$1:$I$89,3,0)*VLOOKUP('Données projet'!$B$14,Paramètres!$A$1:$I$89,5,0)</f>
        <v>251.78399999999996</v>
      </c>
      <c r="DQ81" s="13">
        <f t="shared" si="97"/>
        <v>60.967799364357568</v>
      </c>
      <c r="DR81" s="20">
        <f t="shared" si="70"/>
        <v>544.70938389292269</v>
      </c>
      <c r="DS81" s="59">
        <f t="shared" si="71"/>
        <v>814.63282192734891</v>
      </c>
      <c r="DT81" s="59">
        <f ca="1">AVERAGE(OFFSET($DS$3,0,0,'Données projet'!$E$14+1,1))-AVERAGE(OFFSET($H$3,0,0,'Données projet'!$E$14+1,1))</f>
        <v>371.07993287480366</v>
      </c>
      <c r="DU81" s="59">
        <f t="shared" si="98"/>
        <v>358.67120540290637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>
        <f>EXP(-LN(2)/35)*EA80+(1-EXP(-LN(2)/35))/(LN(2)/35)*DW81*DX81*VLOOKUP('Données projet'!$B$14,Paramètres!$A$1:$I$89,3,0)*0.475*44/12</f>
        <v>11.192954778701479</v>
      </c>
      <c r="EB81" s="21">
        <f>EXP(-LN(2)/25)*EB80+(1-EXP(-LN(2)/25))/(LN(2)/25)*Calculateur!DW81*Calculateur!DY81*VLOOKUP('Données projet'!$B$14,Paramètres!$A$1:$I$89,3,0)*0.475*44/12</f>
        <v>10.945498034633086</v>
      </c>
      <c r="EC81" s="21">
        <f>EXP(-LN(2)/2)*EC80+(1-EXP(-LN(2)/2))/(LN(2)/2)*DW81*DZ81*VLOOKUP('Données projet'!$B$14,Paramètres!$A$1:$I$89,3,0)*0.475*44/12</f>
        <v>0.9628335498964915</v>
      </c>
      <c r="ED81" s="22">
        <f t="shared" si="72"/>
        <v>23.101286363231058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45">
      <c r="A82" s="10">
        <f t="shared" si="85"/>
        <v>79</v>
      </c>
      <c r="B82" s="73">
        <f>'Scénario référence'!$B$16*5+'Scénario référence'!$B$17*0+'Scénario référence'!$B$18*5</f>
        <v>5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1">
        <f t="shared" si="86"/>
        <v>0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18.333333333333332</v>
      </c>
      <c r="H82" s="67">
        <f t="shared" si="56"/>
        <v>183.33333333333334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9.546999999999997</v>
      </c>
      <c r="N82" s="13">
        <f>IF('Données projet'!$A$36&gt;35,N81+M82-V81,IF(A82&lt;'Données projet'!$A$36,$K$205^A82,IF(A82='Données projet'!$A$36,'Données projet'!$B$36,N81+M82-V81)))</f>
        <v>307.35500000000036</v>
      </c>
      <c r="O82" s="13">
        <f>N82*VLOOKUP('Données projet'!$B$9,Paramètres!$A$1:$I$89,3,0)*VLOOKUP('Données projet'!$B$9,Paramètres!$A$1:$I$89,5,0)</f>
        <v>278.09480400000029</v>
      </c>
      <c r="P82" s="13">
        <f t="shared" si="87"/>
        <v>66.564226351179173</v>
      </c>
      <c r="Q82" s="20">
        <f t="shared" si="54"/>
        <v>600.28114452830425</v>
      </c>
      <c r="R82" s="59">
        <f t="shared" si="55"/>
        <v>870.61069190948115</v>
      </c>
      <c r="S82" s="59">
        <f ca="1">AVERAGE(OFFSET($R$3,0,0,'Données projet'!$E$9+1,1))-AVERAGE(OFFSET($H$3,0,0,'Données projet'!$E$9+1,1))</f>
        <v>681.47578137804555</v>
      </c>
      <c r="T82" s="59">
        <f t="shared" si="88"/>
        <v>300.88511065995885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13.246346503276447</v>
      </c>
      <c r="AA82" s="21">
        <f>EXP(-LN(2)/25)*AA81+(1-EXP(-LN(2)/25))/(LN(2)/25)*Calculateur!V82*Calculateur!X82*VLOOKUP('Données projet'!$B$9,Paramètres!$A$1:$I$89,3,0)*0.475*44/12</f>
        <v>27.413063517975782</v>
      </c>
      <c r="AB82" s="21">
        <f>EXP(-LN(2)/2)*AB81+(1-EXP(-LN(2)/2))/(LN(2)/2)*V82*Y82*VLOOKUP('Données projet'!$B$9,Paramètres!$A$1:$I$89,3,0)*0.475*44/12</f>
        <v>0.83136029285131385</v>
      </c>
      <c r="AC82" s="22">
        <f t="shared" si="57"/>
        <v>41.490770314103543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10.417499999999999</v>
      </c>
      <c r="AI82" s="13">
        <f>IF('Données projet'!$A$62&gt;35,AI81+AH82-AQ81,IF(A82&lt;'Données projet'!$A$62,$AF$205^A82,IF(A82='Données projet'!$A$62,'Données projet'!$B$62,AI81+AH82-AQ81)))</f>
        <v>343.41999999999996</v>
      </c>
      <c r="AJ82" s="13">
        <f>AI82*VLOOKUP('Données projet'!$B$10,Paramètres!$A$1:$I$89,3,0)*VLOOKUP('Données projet'!$B$10,Paramètres!$A$1:$I$89,5,0)</f>
        <v>160.72055999999998</v>
      </c>
      <c r="AK82" s="13">
        <f t="shared" si="89"/>
        <v>41.004997199014468</v>
      </c>
      <c r="AL82" s="20">
        <f t="shared" si="58"/>
        <v>351.33867878828346</v>
      </c>
      <c r="AM82" s="59">
        <f t="shared" si="59"/>
        <v>621.66822616946047</v>
      </c>
      <c r="AN82" s="59">
        <f ca="1">AVERAGE(OFFSET($AM$3,0,0,'Données projet'!$E$10+1,1))-AVERAGE(OFFSET($H$3,0,0,'Données projet'!$E$10+1,1))</f>
        <v>325.45940224919184</v>
      </c>
      <c r="AO82" s="59">
        <f t="shared" si="90"/>
        <v>256.30046621034876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39.976662182220217</v>
      </c>
      <c r="AV82" s="21">
        <f>EXP(-LN(2)/25)*AV81+(1-EXP(-LN(2)/25))/(LN(2)/25)*Calculateur!AQ82*Calculateur!AS82*VLOOKUP('Données projet'!$B$10,Paramètres!$A$1:$I$89,3,0)*0.475*44/12</f>
        <v>16.635303416393636</v>
      </c>
      <c r="AW82" s="21">
        <f>EXP(-LN(2)/2)*AW81+(1-EXP(-LN(2)/2))/(LN(2)/2)*AQ82*AT82*VLOOKUP('Données projet'!$B$10,Paramètres!$A$1:$I$89,3,0)*0.475*44/12</f>
        <v>2.5331990172345624</v>
      </c>
      <c r="AX82" s="21">
        <f t="shared" si="60"/>
        <v>59.145164615848415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6.7444444444444462</v>
      </c>
      <c r="BD82" s="12">
        <f>IF('Données projet'!$A$88&gt;35,BD81+BC82-BL81,IF(A82&lt;'Données projet'!$A$88,$BA$205^A82,IF(A82='Données projet'!$A$88,'Données projet'!$B$88,BD81+BC82-BL81)))</f>
        <v>182.0588888888889</v>
      </c>
      <c r="BE82" s="13">
        <f>BD82*VLOOKUP('Données projet'!$B$11,Paramètres!$A$1:$I$89,3,0)*VLOOKUP('Données projet'!$B$11,Paramètres!$A$1:$I$89,5,0)</f>
        <v>184.60771333333335</v>
      </c>
      <c r="BF82" s="13">
        <f t="shared" si="91"/>
        <v>46.345804577336679</v>
      </c>
      <c r="BG82" s="20">
        <f t="shared" si="61"/>
        <v>402.24404369441692</v>
      </c>
      <c r="BH82" s="59">
        <f t="shared" si="62"/>
        <v>672.57359107559387</v>
      </c>
      <c r="BI82" s="59">
        <f ca="1">AVERAGE(OFFSET($BH$3,0,0,'Données projet'!$E$11+1,1))-AVERAGE(OFFSET($H$3,0,0,'Données projet'!$E$11+1,1))</f>
        <v>580.02848304986492</v>
      </c>
      <c r="BJ82" s="59">
        <f t="shared" si="92"/>
        <v>281.68891895586728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0</v>
      </c>
      <c r="BQ82" s="21">
        <f>EXP(-LN(2)/25)*BQ81+(1-EXP(-LN(2)/25))/(LN(2)/25)*Calculateur!BL82*Calculateur!BN82*VLOOKUP('Données projet'!$B$11,Paramètres!$A$1:$I$89,3,0)*0.475*44/12</f>
        <v>41.153015096275865</v>
      </c>
      <c r="BR82" s="21">
        <f>EXP(-LN(2)/2)*BR81+(1-EXP(-LN(2)/2))/(LN(2)/2)*BL82*BO82*VLOOKUP('Données projet'!$B$11,Paramètres!$A$1:$I$89,3,0)*0.475*44/12</f>
        <v>3.5198353840163619</v>
      </c>
      <c r="BS82" s="22">
        <f t="shared" si="63"/>
        <v>44.672850480292226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3.6</v>
      </c>
      <c r="BY82" s="12">
        <f>IF('Données projet'!$A$114&gt;35,BY81+BX82-CG81,IF(A82&lt;'Données projet'!$A$114,$BV$205^A82,IF(A82='Données projet'!$A$114,'Données projet'!$B$114,BY81+BX82-CG81)))</f>
        <v>326.39999999999998</v>
      </c>
      <c r="BZ82" s="13">
        <f>BY82*VLOOKUP('Données projet'!$B$12,Paramètres!$A$1:$I$89,3,0)*VLOOKUP('Données projet'!$B$12,Paramètres!$A$1:$I$89,5,0)</f>
        <v>310.60223999999999</v>
      </c>
      <c r="CA82" s="13">
        <f t="shared" si="93"/>
        <v>73.394587643399319</v>
      </c>
      <c r="CB82" s="20">
        <f t="shared" si="64"/>
        <v>668.79447481225372</v>
      </c>
      <c r="CC82" s="59">
        <f t="shared" si="65"/>
        <v>939.12402219343062</v>
      </c>
      <c r="CD82" s="59">
        <f ca="1">AVERAGE(OFFSET($CC$3,0,0,'Données projet'!$E$12+1,1))-AVERAGE(OFFSET($H$3,0,0,'Données projet'!$E$12+1,1))</f>
        <v>439.15394290667945</v>
      </c>
      <c r="CE82" s="59">
        <f t="shared" si="94"/>
        <v>423.56554025351068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13.387630670273722</v>
      </c>
      <c r="CL82" s="21">
        <f>EXP(-LN(2)/25)*CL81+(1-EXP(-LN(2)/25))/(LN(2)/25)*Calculateur!CG82*Calculateur!CI82*VLOOKUP('Données projet'!$B$12,Paramètres!$A$1:$I$89,3,0)*0.475*44/12</f>
        <v>12.988355234638332</v>
      </c>
      <c r="CM82" s="21">
        <f>EXP(-LN(2)/2)*CM81+(1-EXP(-LN(2)/2))/(LN(2)/2)*CG82*CJ82*VLOOKUP('Données projet'!$B$12,Paramètres!$A$1:$I$89,3,0)*0.475*44/12</f>
        <v>0.83060788138858488</v>
      </c>
      <c r="CN82" s="22">
        <f t="shared" si="66"/>
        <v>27.20659378630064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3.6</v>
      </c>
      <c r="CT82" s="12">
        <f>IF('Données projet'!$A$140&gt;35,CT81+CS82-DB81,IF(A82&lt;'Données projet'!$A$140,$CQ$205^A82,IF(A82='Données projet'!$A$140,'Données projet'!$B$140,CT81+CS82-DB81)))</f>
        <v>326.39999999999998</v>
      </c>
      <c r="CU82" s="17">
        <f>CT82*VLOOKUP('Données projet'!$B$13,Paramètres!$A$1:$I$89,3,0)*VLOOKUP('Données projet'!$B$13,Paramètres!$A$1:$I$89,5,0)</f>
        <v>285.14303999999998</v>
      </c>
      <c r="CV82" s="13">
        <f t="shared" si="95"/>
        <v>68.052727058079924</v>
      </c>
      <c r="CW82" s="20">
        <f t="shared" si="67"/>
        <v>615.14929429282256</v>
      </c>
      <c r="CX82" s="59">
        <f t="shared" si="68"/>
        <v>885.47884167399957</v>
      </c>
      <c r="CY82" s="59">
        <f ca="1">AVERAGE(OFFSET($CX$3,0,0,'Données projet'!$E$13+1,1))-AVERAGE(OFFSET($H$3,0,0,'Données projet'!$E$13+1,1))</f>
        <v>408.246209980743</v>
      </c>
      <c r="CZ82" s="59">
        <f t="shared" si="96"/>
        <v>394.10236303013903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>
        <f>EXP(-LN(2)/35)*DF81+(1-EXP(-LN(2)/35))/(LN(2)/35)*DB82*DC82*VLOOKUP('Données projet'!$B$13,Paramètres!$A$1:$I$89,3,0)*0.475*44/12</f>
        <v>15.148489450771036</v>
      </c>
      <c r="DG82" s="21">
        <f>EXP(-LN(2)/25)*DG81+(1-EXP(-LN(2)/25))/(LN(2)/25)*Calculateur!DB82*Calculateur!DD82*VLOOKUP('Données projet'!$B$13,Paramètres!$A$1:$I$89,3,0)*0.475*44/12</f>
        <v>14.696697802671206</v>
      </c>
      <c r="DH82" s="21">
        <f>EXP(-LN(2)/2)*DH81+(1-EXP(-LN(2)/2))/(LN(2)/2)*DB82*DE82*VLOOKUP('Données projet'!$B$13,Paramètres!$A$1:$I$89,3,0)*0.475*44/12</f>
        <v>0.76252526816001243</v>
      </c>
      <c r="DI82" s="22">
        <f t="shared" si="69"/>
        <v>30.607712521602252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3.6</v>
      </c>
      <c r="DO82" s="12">
        <f>IF('Données projet'!$A$166&gt;35,DO81+DN82-DW81,IF(A82&lt;'Données projet'!$A$166,$DL$205^A82,IF(A82='Données projet'!$A$166,'Données projet'!$B$166,DO81+DN82-DW81)))</f>
        <v>326.39999999999998</v>
      </c>
      <c r="DP82" s="17">
        <f>DO82*VLOOKUP('Données projet'!$B$14,Paramètres!$A$1:$I$89,3,0)*VLOOKUP('Données projet'!$B$14,Paramètres!$A$1:$I$89,5,0)</f>
        <v>254.59199999999998</v>
      </c>
      <c r="DQ82" s="13">
        <f t="shared" si="97"/>
        <v>61.568204482621567</v>
      </c>
      <c r="DR82" s="20">
        <f t="shared" si="70"/>
        <v>550.64568947389932</v>
      </c>
      <c r="DS82" s="59">
        <f t="shared" si="71"/>
        <v>820.97523685507622</v>
      </c>
      <c r="DT82" s="59">
        <f ca="1">AVERAGE(OFFSET($DS$3,0,0,'Données projet'!$E$14+1,1))-AVERAGE(OFFSET($H$3,0,0,'Données projet'!$E$14+1,1))</f>
        <v>371.07993287480366</v>
      </c>
      <c r="DU82" s="59">
        <f t="shared" si="98"/>
        <v>358.67120540290637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>
        <f>EXP(-LN(2)/35)*EA81+(1-EXP(-LN(2)/35))/(LN(2)/35)*DW82*DX82*VLOOKUP('Données projet'!$B$14,Paramètres!$A$1:$I$89,3,0)*0.475*44/12</f>
        <v>10.973467762519444</v>
      </c>
      <c r="EB82" s="21">
        <f>EXP(-LN(2)/25)*EB81+(1-EXP(-LN(2)/25))/(LN(2)/25)*Calculateur!DW82*Calculateur!DY82*VLOOKUP('Données projet'!$B$14,Paramètres!$A$1:$I$89,3,0)*0.475*44/12</f>
        <v>10.646192815277319</v>
      </c>
      <c r="EC82" s="21">
        <f>EXP(-LN(2)/2)*EC81+(1-EXP(-LN(2)/2))/(LN(2)/2)*DW82*DZ82*VLOOKUP('Données projet'!$B$14,Paramètres!$A$1:$I$89,3,0)*0.475*44/12</f>
        <v>0.68082613228572531</v>
      </c>
      <c r="ED82" s="22">
        <f t="shared" si="72"/>
        <v>22.300486710082492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45">
      <c r="A83" s="10">
        <f t="shared" si="85"/>
        <v>80</v>
      </c>
      <c r="B83" s="73">
        <f>'Scénario référence'!$B$16*5+'Scénario référence'!$B$17*0+'Scénario référence'!$B$18*5</f>
        <v>5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1">
        <f t="shared" si="86"/>
        <v>0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18.333333333333332</v>
      </c>
      <c r="H83" s="67">
        <f t="shared" si="56"/>
        <v>183.33333333333334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9.546999999999997</v>
      </c>
      <c r="N83" s="13">
        <f>IF('Données projet'!$A$36&gt;35,N82+M83-V82,IF(A83&lt;'Données projet'!$A$36,$K$205^A83,IF(A83='Données projet'!$A$36,'Données projet'!$B$36,N82+M83-V82)))</f>
        <v>316.90200000000038</v>
      </c>
      <c r="O83" s="13">
        <f>N83*VLOOKUP('Données projet'!$B$9,Paramètres!$A$1:$I$89,3,0)*VLOOKUP('Données projet'!$B$9,Paramètres!$A$1:$I$89,5,0)</f>
        <v>286.73292960000038</v>
      </c>
      <c r="P83" s="13">
        <f t="shared" si="87"/>
        <v>68.387896772756079</v>
      </c>
      <c r="Q83" s="20">
        <f t="shared" si="54"/>
        <v>618.50210593255088</v>
      </c>
      <c r="R83" s="59">
        <f t="shared" si="55"/>
        <v>889.23071757123694</v>
      </c>
      <c r="S83" s="59">
        <f ca="1">AVERAGE(OFFSET($R$3,0,0,'Données projet'!$E$9+1,1))-AVERAGE(OFFSET($H$3,0,0,'Données projet'!$E$9+1,1))</f>
        <v>681.47578137804555</v>
      </c>
      <c r="T83" s="59">
        <f t="shared" si="88"/>
        <v>300.88511065995885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12.986593727820781</v>
      </c>
      <c r="AA83" s="21">
        <f>EXP(-LN(2)/25)*AA82+(1-EXP(-LN(2)/25))/(LN(2)/25)*Calculateur!V83*Calculateur!X83*VLOOKUP('Données projet'!$B$9,Paramètres!$A$1:$I$89,3,0)*0.475*44/12</f>
        <v>26.663451854486379</v>
      </c>
      <c r="AB83" s="21">
        <f>EXP(-LN(2)/2)*AB82+(1-EXP(-LN(2)/2))/(LN(2)/2)*V83*Y83*VLOOKUP('Données projet'!$B$9,Paramètres!$A$1:$I$89,3,0)*0.475*44/12</f>
        <v>0.5878605006843981</v>
      </c>
      <c r="AC83" s="22">
        <f t="shared" si="57"/>
        <v>40.237906082991557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10.417499999999999</v>
      </c>
      <c r="AI83" s="13">
        <f>IF('Données projet'!$A$62&gt;35,AI82+AH83-AQ82,IF(A83&lt;'Données projet'!$A$62,$AF$205^A83,IF(A83='Données projet'!$A$62,'Données projet'!$B$62,AI82+AH83-AQ82)))</f>
        <v>353.83749999999998</v>
      </c>
      <c r="AJ83" s="13">
        <f>AI83*VLOOKUP('Données projet'!$B$10,Paramètres!$A$1:$I$89,3,0)*VLOOKUP('Données projet'!$B$10,Paramètres!$A$1:$I$89,5,0)</f>
        <v>165.59594999999999</v>
      </c>
      <c r="AK83" s="13">
        <f t="shared" si="89"/>
        <v>42.102161176994215</v>
      </c>
      <c r="AL83" s="20">
        <f t="shared" si="58"/>
        <v>361.74087696659825</v>
      </c>
      <c r="AM83" s="59">
        <f t="shared" si="59"/>
        <v>632.46948860528437</v>
      </c>
      <c r="AN83" s="59">
        <f ca="1">AVERAGE(OFFSET($AM$3,0,0,'Données projet'!$E$10+1,1))-AVERAGE(OFFSET($H$3,0,0,'Données projet'!$E$10+1,1))</f>
        <v>325.45940224919184</v>
      </c>
      <c r="AO83" s="59">
        <f t="shared" si="90"/>
        <v>256.30046621034876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39.192744220183151</v>
      </c>
      <c r="AV83" s="21">
        <f>EXP(-LN(2)/25)*AV82+(1-EXP(-LN(2)/25))/(LN(2)/25)*Calculateur!AQ83*Calculateur!AS83*VLOOKUP('Données projet'!$B$10,Paramètres!$A$1:$I$89,3,0)*0.475*44/12</f>
        <v>16.180410169659766</v>
      </c>
      <c r="AW83" s="21">
        <f>EXP(-LN(2)/2)*AW82+(1-EXP(-LN(2)/2))/(LN(2)/2)*AQ83*AT83*VLOOKUP('Données projet'!$B$10,Paramètres!$A$1:$I$89,3,0)*0.475*44/12</f>
        <v>1.7912422031816571</v>
      </c>
      <c r="AX83" s="21">
        <f t="shared" si="60"/>
        <v>57.164396593024577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6.7444444444444462</v>
      </c>
      <c r="BD83" s="12">
        <f>IF('Données projet'!$A$88&gt;35,BD82+BC83-BL82,IF(A83&lt;'Données projet'!$A$88,$BA$205^A83,IF(A83='Données projet'!$A$88,'Données projet'!$B$88,BD82+BC83-BL82)))</f>
        <v>188.80333333333334</v>
      </c>
      <c r="BE83" s="13">
        <f>BD83*VLOOKUP('Données projet'!$B$11,Paramètres!$A$1:$I$89,3,0)*VLOOKUP('Données projet'!$B$11,Paramètres!$A$1:$I$89,5,0)</f>
        <v>191.44658000000004</v>
      </c>
      <c r="BF83" s="13">
        <f t="shared" si="91"/>
        <v>47.859629835500797</v>
      </c>
      <c r="BG83" s="20">
        <f t="shared" si="61"/>
        <v>416.79164879683066</v>
      </c>
      <c r="BH83" s="59">
        <f t="shared" si="62"/>
        <v>687.52026043551678</v>
      </c>
      <c r="BI83" s="59">
        <f ca="1">AVERAGE(OFFSET($BH$3,0,0,'Données projet'!$E$11+1,1))-AVERAGE(OFFSET($H$3,0,0,'Données projet'!$E$11+1,1))</f>
        <v>580.02848304986492</v>
      </c>
      <c r="BJ83" s="59">
        <f t="shared" si="92"/>
        <v>281.68891895586728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0</v>
      </c>
      <c r="BQ83" s="21">
        <f>EXP(-LN(2)/25)*BQ82+(1-EXP(-LN(2)/25))/(LN(2)/25)*Calculateur!BL83*Calculateur!BN83*VLOOKUP('Données projet'!$B$11,Paramètres!$A$1:$I$89,3,0)*0.475*44/12</f>
        <v>40.027683734325194</v>
      </c>
      <c r="BR83" s="21">
        <f>EXP(-LN(2)/2)*BR82+(1-EXP(-LN(2)/2))/(LN(2)/2)*BL83*BO83*VLOOKUP('Données projet'!$B$11,Paramètres!$A$1:$I$89,3,0)*0.475*44/12</f>
        <v>2.4888994686983255</v>
      </c>
      <c r="BS83" s="22">
        <f t="shared" si="63"/>
        <v>42.516583203023522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>
        <f>VLOOKUP(A83,'Données projet'!$A$113:$I$133,2,0)</f>
        <v>330</v>
      </c>
      <c r="BW83" s="12">
        <f>VLOOKUP(A83,'Données projet'!$A$113:$I$133,9,0)</f>
        <v>3.6</v>
      </c>
      <c r="BX83" s="12">
        <f t="array" ref="BX83">INDEX(BW:BW,MIN(IF(ISNUMBER(BW83:BW279),ROW(BW83:BW279),"")))</f>
        <v>3.6</v>
      </c>
      <c r="BY83" s="12">
        <f>IF('Données projet'!$A$114&gt;35,BY82+BX83-CG82,IF(A83&lt;'Données projet'!$A$114,$BV$205^A83,IF(A83='Données projet'!$A$114,'Données projet'!$B$114,BY82+BX83-CG82)))</f>
        <v>330</v>
      </c>
      <c r="BZ83" s="13">
        <f>BY83*VLOOKUP('Données projet'!$B$12,Paramètres!$A$1:$I$89,3,0)*VLOOKUP('Données projet'!$B$12,Paramètres!$A$1:$I$89,5,0)</f>
        <v>314.02799999999996</v>
      </c>
      <c r="CA83" s="13">
        <f t="shared" si="93"/>
        <v>74.109403804428752</v>
      </c>
      <c r="CB83" s="20">
        <f t="shared" si="64"/>
        <v>676.00597829271317</v>
      </c>
      <c r="CC83" s="59">
        <f t="shared" si="65"/>
        <v>946.73458993139934</v>
      </c>
      <c r="CD83" s="59">
        <f ca="1">AVERAGE(OFFSET($CC$3,0,0,'Données projet'!$E$12+1,1))-AVERAGE(OFFSET($H$3,0,0,'Données projet'!$E$12+1,1))</f>
        <v>439.15394290667945</v>
      </c>
      <c r="CE83" s="59">
        <f t="shared" si="94"/>
        <v>423.56554025351068</v>
      </c>
      <c r="CF83" s="15">
        <f>IF(ISNA(VLOOKUP(A83,'Données projet'!$A$113:$I$133,3,0)),0,VLOOKUP(A83,'Données projet'!$A$113:$I$133,3,0))</f>
        <v>14</v>
      </c>
      <c r="CG83" s="15">
        <f>IF(ISNA(VLOOKUP(A83,'Données projet'!$A$113:$I$133,4,0)),0,VLOOKUP(A83,'Données projet'!$A$113:$I$133,4,0))</f>
        <v>330</v>
      </c>
      <c r="CH83" s="16">
        <f>IF(ISNA(VLOOKUP(A83,'Données projet'!$A$113:$I$133,5,0)),0%,VLOOKUP(A83,'Données projet'!$A$113:$I$133,5,0)*VLOOKUP('Données projet'!$B$12,Paramètres!$A$1:$I$89,7,0))</f>
        <v>0.1075</v>
      </c>
      <c r="CI83" s="16">
        <f>IF(ISNA(VLOOKUP(A83,'Données projet'!$A$113:$I$133,6,0)),0%,VLOOKUP(A83,'Données projet'!$A$113:$I$133,6,0)*VLOOKUP('Données projet'!$B$12,Paramètres!$A$1:$I$89,7,0))</f>
        <v>0.1075</v>
      </c>
      <c r="CJ83" s="16">
        <f>IF(ISNA(VLOOKUP(A83,'Données projet'!$A$113:$I$133,7,0)),0%,VLOOKUP(A83,'Données projet'!$A$113:$I$133,7,0))</f>
        <v>0.25</v>
      </c>
      <c r="CK83" s="21">
        <f>EXP(-LN(2)/35)*CK82+(1-EXP(-LN(2)/35))/(LN(2)/35)*CG83*CH83*VLOOKUP('Données projet'!$B$12,Paramètres!$A$1:$I$89,3,0)*0.475*44/12</f>
        <v>50.4435875254552</v>
      </c>
      <c r="CL83" s="21">
        <f>EXP(-LN(2)/25)*CL82+(1-EXP(-LN(2)/25))/(LN(2)/25)*Calculateur!CG83*Calculateur!CI83*VLOOKUP('Données projet'!$B$12,Paramètres!$A$1:$I$89,3,0)*0.475*44/12</f>
        <v>49.804731028980733</v>
      </c>
      <c r="CM83" s="21">
        <f>EXP(-LN(2)/2)*CM82+(1-EXP(-LN(2)/2))/(LN(2)/2)*CG83*CJ83*VLOOKUP('Données projet'!$B$12,Paramètres!$A$1:$I$89,3,0)*0.475*44/12</f>
        <v>74.660795950362072</v>
      </c>
      <c r="CN83" s="22">
        <f t="shared" si="66"/>
        <v>174.90911450479803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>
        <f>VLOOKUP(A83,'Données projet'!$A$139:$I$159,2,0)</f>
        <v>330</v>
      </c>
      <c r="CR83" s="12">
        <f>VLOOKUP(A83,'Données projet'!$A$139:$I$159,9,0)</f>
        <v>3.6</v>
      </c>
      <c r="CS83" s="12">
        <f t="array" ref="CS83">INDEX(CR:CR,MIN(IF(ISNUMBER(CR83:CR279),ROW(CR83:CR279),"")))</f>
        <v>3.6</v>
      </c>
      <c r="CT83" s="12">
        <f>IF('Données projet'!$A$140&gt;35,CT82+CS83-DB82,IF(A83&lt;'Données projet'!$A$140,$CQ$205^A83,IF(A83='Données projet'!$A$140,'Données projet'!$B$140,CT82+CS83-DB82)))</f>
        <v>330</v>
      </c>
      <c r="CU83" s="17">
        <f>CT83*VLOOKUP('Données projet'!$B$13,Paramètres!$A$1:$I$89,3,0)*VLOOKUP('Données projet'!$B$13,Paramètres!$A$1:$I$89,5,0)</f>
        <v>288.28800000000001</v>
      </c>
      <c r="CV83" s="13">
        <f t="shared" si="95"/>
        <v>68.715516926722444</v>
      </c>
      <c r="CW83" s="20">
        <f t="shared" si="67"/>
        <v>621.78112531404156</v>
      </c>
      <c r="CX83" s="59">
        <f t="shared" si="68"/>
        <v>892.50973695272774</v>
      </c>
      <c r="CY83" s="59">
        <f ca="1">AVERAGE(OFFSET($CX$3,0,0,'Données projet'!$E$13+1,1))-AVERAGE(OFFSET($H$3,0,0,'Données projet'!$E$13+1,1))</f>
        <v>408.246209980743</v>
      </c>
      <c r="CZ83" s="59">
        <f t="shared" si="96"/>
        <v>394.10236303013903</v>
      </c>
      <c r="DA83" s="15">
        <f>IF(ISNA(VLOOKUP(A83,'Données projet'!$A$139:$I$159,3,0)),0,VLOOKUP(A83,'Données projet'!$A$139:$I$159,3,0))</f>
        <v>14</v>
      </c>
      <c r="DB83" s="15">
        <f>IF(ISNA(VLOOKUP(A83,'Données projet'!$A$139:$I$159,4,0)),0,VLOOKUP(A83,'Données projet'!$A$139:$I$159,4,0))</f>
        <v>330</v>
      </c>
      <c r="DC83" s="16">
        <f>IF(ISNA(VLOOKUP(A83,'Données projet'!$A$139:$I$159,5,0)),0%,VLOOKUP(A83,'Données projet'!$A$139:$I$159,5,0)*VLOOKUP('Données projet'!$B$13,Paramètres!$A$1:$I$89,7,0))</f>
        <v>0.13250000000000001</v>
      </c>
      <c r="DD83" s="16">
        <f>IF(ISNA(VLOOKUP(A83,'Données projet'!$A$139:$I$159,6,0)),0%,VLOOKUP(A83,'Données projet'!$A$139:$I$159,6,0)*VLOOKUP('Données projet'!$B$13,Paramètres!$A$1:$I$89,7,0))</f>
        <v>0.13250000000000001</v>
      </c>
      <c r="DE83" s="16">
        <f>IF(ISNA(VLOOKUP(A83,'Données projet'!$A$139:$I$159,7,0)),0%,VLOOKUP(A83,'Données projet'!$A$139:$I$159,7,0))</f>
        <v>0.25</v>
      </c>
      <c r="DF83" s="21">
        <f>EXP(-LN(2)/35)*DF82+(1-EXP(-LN(2)/35))/(LN(2)/35)*DB83*DC83*VLOOKUP('Données projet'!$B$13,Paramètres!$A$1:$I$89,3,0)*0.475*44/12</f>
        <v>57.078371244968004</v>
      </c>
      <c r="DG83" s="21">
        <f>EXP(-LN(2)/25)*DG82+(1-EXP(-LN(2)/25))/(LN(2)/25)*Calculateur!DB83*Calculateur!DD83*VLOOKUP('Données projet'!$B$13,Paramètres!$A$1:$I$89,3,0)*0.475*44/12</f>
        <v>56.35548673046695</v>
      </c>
      <c r="DH83" s="21">
        <f>EXP(-LN(2)/2)*DH82+(1-EXP(-LN(2)/2))/(LN(2)/2)*DB83*DE83*VLOOKUP('Données projet'!$B$13,Paramètres!$A$1:$I$89,3,0)*0.475*44/12</f>
        <v>68.541058577381563</v>
      </c>
      <c r="DI83" s="22">
        <f t="shared" si="69"/>
        <v>181.97491655281652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>
        <f>VLOOKUP(A83,'Données projet'!$A$165:$I$185,2,0)</f>
        <v>330</v>
      </c>
      <c r="DM83" s="12">
        <f>VLOOKUP(A83,'Données projet'!$A$165:$I$185,9,0)</f>
        <v>3.6</v>
      </c>
      <c r="DN83" s="12">
        <f t="array" ref="DN83">INDEX(DM:DM,MIN(IF(ISNUMBER(DM83:DM279),ROW(DM83:DM279),"")))</f>
        <v>3.6</v>
      </c>
      <c r="DO83" s="12">
        <f>IF('Données projet'!$A$166&gt;35,DO82+DN83-DW82,IF(A83&lt;'Données projet'!$A$166,$DL$205^A83,IF(A83='Données projet'!$A$166,'Données projet'!$B$166,DO82+DN83-DW82)))</f>
        <v>330</v>
      </c>
      <c r="DP83" s="17">
        <f>DO83*VLOOKUP('Données projet'!$B$14,Paramètres!$A$1:$I$89,3,0)*VLOOKUP('Données projet'!$B$14,Paramètres!$A$1:$I$89,5,0)</f>
        <v>257.40000000000003</v>
      </c>
      <c r="DQ83" s="13">
        <f t="shared" si="97"/>
        <v>62.167839264733466</v>
      </c>
      <c r="DR83" s="20">
        <f t="shared" si="70"/>
        <v>556.58065338607753</v>
      </c>
      <c r="DS83" s="59">
        <f t="shared" si="71"/>
        <v>827.30926502476359</v>
      </c>
      <c r="DT83" s="59">
        <f ca="1">AVERAGE(OFFSET($DS$3,0,0,'Données projet'!$E$14+1,1))-AVERAGE(OFFSET($H$3,0,0,'Données projet'!$E$14+1,1))</f>
        <v>371.07993287480366</v>
      </c>
      <c r="DU83" s="59">
        <f t="shared" si="98"/>
        <v>358.67120540290637</v>
      </c>
      <c r="DV83" s="15">
        <f>IF(ISNA(VLOOKUP(A83,'Données projet'!$A$165:$I$185,3,0)),0,VLOOKUP(A83,'Données projet'!$A$165:$I$185,3,0))</f>
        <v>14</v>
      </c>
      <c r="DW83" s="15">
        <f>IF(ISNA(VLOOKUP(A83,'Données projet'!$A$165:$I$185,4,0)),0,VLOOKUP(A83,'Données projet'!$A$165:$I$185,4,0))</f>
        <v>330</v>
      </c>
      <c r="DX83" s="16">
        <f>IF(ISNA(VLOOKUP(A83,'Données projet'!$A$165:$I$185,5,0)),0%,VLOOKUP(A83,'Données projet'!$A$165:$I$185,5,0)*VLOOKUP('Données projet'!$B$14,Paramètres!$A$1:$I$89,7,0))</f>
        <v>0.1075</v>
      </c>
      <c r="DY83" s="16">
        <f>IF(ISNA(VLOOKUP(A83,'Données projet'!$A$165:$I$185,6,0)),0%,VLOOKUP(A83,'Données projet'!$A$165:$I$185,6,0)*VLOOKUP('Données projet'!$B$14,Paramètres!$A$1:$I$89,7,0))</f>
        <v>0.1075</v>
      </c>
      <c r="DZ83" s="16">
        <f>IF(ISNA(VLOOKUP(A83,'Données projet'!$A$165:$I$185,7,0)),0%,VLOOKUP(A83,'Données projet'!$A$165:$I$185,7,0))</f>
        <v>0.25</v>
      </c>
      <c r="EA83" s="21">
        <f>EXP(-LN(2)/35)*EA82+(1-EXP(-LN(2)/35))/(LN(2)/35)*DW83*DX83*VLOOKUP('Données projet'!$B$14,Paramètres!$A$1:$I$89,3,0)*0.475*44/12</f>
        <v>41.34720288971738</v>
      </c>
      <c r="EB83" s="21">
        <f>EXP(-LN(2)/25)*EB82+(1-EXP(-LN(2)/25))/(LN(2)/25)*Calculateur!DW83*Calculateur!DY83*VLOOKUP('Données projet'!$B$14,Paramètres!$A$1:$I$89,3,0)*0.475*44/12</f>
        <v>40.823550023754692</v>
      </c>
      <c r="EC83" s="21">
        <f>EXP(-LN(2)/2)*EC82+(1-EXP(-LN(2)/2))/(LN(2)/2)*DW83*DZ83*VLOOKUP('Données projet'!$B$14,Paramètres!$A$1:$I$89,3,0)*0.475*44/12</f>
        <v>61.197373729804973</v>
      </c>
      <c r="ED83" s="22">
        <f t="shared" si="72"/>
        <v>143.36812664327704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45">
      <c r="A84" s="10">
        <f t="shared" si="85"/>
        <v>81</v>
      </c>
      <c r="B84" s="73">
        <f>'Scénario référence'!$B$16*5+'Scénario référence'!$B$17*0+'Scénario référence'!$B$18*5</f>
        <v>5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1">
        <f t="shared" si="86"/>
        <v>0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18.333333333333332</v>
      </c>
      <c r="H84" s="67">
        <f t="shared" si="56"/>
        <v>183.33333333333334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9.546999999999997</v>
      </c>
      <c r="N84" s="13">
        <f>IF('Données projet'!$A$36&gt;35,N83+M84-V83,IF(A84&lt;'Données projet'!$A$36,$K$205^A84,IF(A84='Données projet'!$A$36,'Données projet'!$B$36,N83+M84-V83)))</f>
        <v>326.44900000000041</v>
      </c>
      <c r="O84" s="13">
        <f>N84*VLOOKUP('Données projet'!$B$9,Paramètres!$A$1:$I$89,3,0)*VLOOKUP('Données projet'!$B$9,Paramètres!$A$1:$I$89,5,0)</f>
        <v>295.37105520000034</v>
      </c>
      <c r="P84" s="13">
        <f t="shared" si="87"/>
        <v>70.205182362680091</v>
      </c>
      <c r="Q84" s="20">
        <f t="shared" si="54"/>
        <v>636.71194708833502</v>
      </c>
      <c r="R84" s="59">
        <f t="shared" si="55"/>
        <v>907.8327001118364</v>
      </c>
      <c r="S84" s="59">
        <f ca="1">AVERAGE(OFFSET($R$3,0,0,'Données projet'!$E$9+1,1))-AVERAGE(OFFSET($H$3,0,0,'Données projet'!$E$9+1,1))</f>
        <v>681.47578137804555</v>
      </c>
      <c r="T84" s="59">
        <f t="shared" si="88"/>
        <v>300.88511065995885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12.731934545858252</v>
      </c>
      <c r="AA84" s="21">
        <f>EXP(-LN(2)/25)*AA83+(1-EXP(-LN(2)/25))/(LN(2)/25)*Calculateur!V84*Calculateur!X84*VLOOKUP('Données projet'!$B$9,Paramètres!$A$1:$I$89,3,0)*0.475*44/12</f>
        <v>25.934338361355454</v>
      </c>
      <c r="AB84" s="21">
        <f>EXP(-LN(2)/2)*AB83+(1-EXP(-LN(2)/2))/(LN(2)/2)*V84*Y84*VLOOKUP('Données projet'!$B$9,Paramètres!$A$1:$I$89,3,0)*0.475*44/12</f>
        <v>0.41568014642565698</v>
      </c>
      <c r="AC84" s="22">
        <f t="shared" si="57"/>
        <v>39.081953053639367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10.417499999999999</v>
      </c>
      <c r="AI84" s="13">
        <f>IF('Données projet'!$A$62&gt;35,AI83+AH84-AQ83,IF(A84&lt;'Données projet'!$A$62,$AF$205^A84,IF(A84='Données projet'!$A$62,'Données projet'!$B$62,AI83+AH84-AQ83)))</f>
        <v>364.255</v>
      </c>
      <c r="AJ84" s="13">
        <f>AI84*VLOOKUP('Données projet'!$B$10,Paramètres!$A$1:$I$89,3,0)*VLOOKUP('Données projet'!$B$10,Paramètres!$A$1:$I$89,5,0)</f>
        <v>170.47134</v>
      </c>
      <c r="AK84" s="13">
        <f t="shared" si="89"/>
        <v>43.195571049057939</v>
      </c>
      <c r="AL84" s="20">
        <f t="shared" si="58"/>
        <v>372.13653674377588</v>
      </c>
      <c r="AM84" s="59">
        <f t="shared" si="59"/>
        <v>643.25728976727737</v>
      </c>
      <c r="AN84" s="59">
        <f ca="1">AVERAGE(OFFSET($AM$3,0,0,'Données projet'!$E$10+1,1))-AVERAGE(OFFSET($H$3,0,0,'Données projet'!$E$10+1,1))</f>
        <v>325.45940224919184</v>
      </c>
      <c r="AO84" s="59">
        <f t="shared" si="90"/>
        <v>256.30046621034876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38.424198411238891</v>
      </c>
      <c r="AV84" s="21">
        <f>EXP(-LN(2)/25)*AV83+(1-EXP(-LN(2)/25))/(LN(2)/25)*Calculateur!AQ84*Calculateur!AS84*VLOOKUP('Données projet'!$B$10,Paramètres!$A$1:$I$89,3,0)*0.475*44/12</f>
        <v>15.737956002679629</v>
      </c>
      <c r="AW84" s="21">
        <f>EXP(-LN(2)/2)*AW83+(1-EXP(-LN(2)/2))/(LN(2)/2)*AQ84*AT84*VLOOKUP('Données projet'!$B$10,Paramètres!$A$1:$I$89,3,0)*0.475*44/12</f>
        <v>1.2665995086172814</v>
      </c>
      <c r="AX84" s="21">
        <f t="shared" si="60"/>
        <v>55.428753922535805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6.7444444444444462</v>
      </c>
      <c r="BD84" s="12">
        <f>IF('Données projet'!$A$88&gt;35,BD83+BC84-BL83,IF(A84&lt;'Données projet'!$A$88,$BA$205^A84,IF(A84='Données projet'!$A$88,'Données projet'!$B$88,BD83+BC84-BL83)))</f>
        <v>195.54777777777778</v>
      </c>
      <c r="BE84" s="13">
        <f>BD84*VLOOKUP('Données projet'!$B$11,Paramètres!$A$1:$I$89,3,0)*VLOOKUP('Données projet'!$B$11,Paramètres!$A$1:$I$89,5,0)</f>
        <v>198.28544666666667</v>
      </c>
      <c r="BF84" s="13">
        <f t="shared" si="91"/>
        <v>49.367172192409612</v>
      </c>
      <c r="BG84" s="20">
        <f t="shared" si="61"/>
        <v>431.32831117955783</v>
      </c>
      <c r="BH84" s="59">
        <f t="shared" si="62"/>
        <v>702.44906420305927</v>
      </c>
      <c r="BI84" s="59">
        <f ca="1">AVERAGE(OFFSET($BH$3,0,0,'Données projet'!$E$11+1,1))-AVERAGE(OFFSET($H$3,0,0,'Données projet'!$E$11+1,1))</f>
        <v>580.02848304986492</v>
      </c>
      <c r="BJ84" s="59">
        <f t="shared" si="92"/>
        <v>281.68891895586728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0</v>
      </c>
      <c r="BQ84" s="21">
        <f>EXP(-LN(2)/25)*BQ83+(1-EXP(-LN(2)/25))/(LN(2)/25)*Calculateur!BL84*Calculateur!BN84*VLOOKUP('Données projet'!$B$11,Paramètres!$A$1:$I$89,3,0)*0.475*44/12</f>
        <v>38.933124617645667</v>
      </c>
      <c r="BR84" s="21">
        <f>EXP(-LN(2)/2)*BR83+(1-EXP(-LN(2)/2))/(LN(2)/2)*BL84*BO84*VLOOKUP('Données projet'!$B$11,Paramètres!$A$1:$I$89,3,0)*0.475*44/12</f>
        <v>1.7599176920081814</v>
      </c>
      <c r="BS84" s="22">
        <f t="shared" si="63"/>
        <v>40.693042309653848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>
        <f>BY84*VLOOKUP('Données projet'!$B$12,Paramètres!$A$1:$I$89,3,0)*VLOOKUP('Données projet'!$B$12,Paramètres!$A$1:$I$89,5,0)</f>
        <v>0</v>
      </c>
      <c r="CA84" s="13" t="e">
        <f t="shared" si="93"/>
        <v>#NUM!</v>
      </c>
      <c r="CB84" s="20" t="e">
        <f t="shared" si="64"/>
        <v>#NUM!</v>
      </c>
      <c r="CC84" s="59" t="e">
        <f t="shared" si="65"/>
        <v>#NUM!</v>
      </c>
      <c r="CD84" s="59">
        <f ca="1">AVERAGE(OFFSET($CC$3,0,0,'Données projet'!$E$12+1,1))-AVERAGE(OFFSET($H$3,0,0,'Données projet'!$E$12+1,1))</f>
        <v>439.15394290667945</v>
      </c>
      <c r="CE84" s="59">
        <f t="shared" si="94"/>
        <v>423.56554025351068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49.454419541631374</v>
      </c>
      <c r="CL84" s="21">
        <f>EXP(-LN(2)/25)*CL83+(1-EXP(-LN(2)/25))/(LN(2)/25)*Calculateur!CG84*Calculateur!CI84*VLOOKUP('Données projet'!$B$12,Paramètres!$A$1:$I$89,3,0)*0.475*44/12</f>
        <v>48.442818039876279</v>
      </c>
      <c r="CM84" s="21">
        <f>EXP(-LN(2)/2)*CM83+(1-EXP(-LN(2)/2))/(LN(2)/2)*CG84*CJ84*VLOOKUP('Données projet'!$B$12,Paramètres!$A$1:$I$89,3,0)*0.475*44/12</f>
        <v>52.793155105286154</v>
      </c>
      <c r="CN84" s="22">
        <f t="shared" si="66"/>
        <v>150.69039268679381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>
        <f>CT84*VLOOKUP('Données projet'!$B$13,Paramètres!$A$1:$I$89,3,0)*VLOOKUP('Données projet'!$B$13,Paramètres!$A$1:$I$89,5,0)</f>
        <v>0</v>
      </c>
      <c r="CV84" s="13" t="e">
        <f t="shared" si="95"/>
        <v>#NUM!</v>
      </c>
      <c r="CW84" s="20" t="e">
        <f t="shared" si="67"/>
        <v>#NUM!</v>
      </c>
      <c r="CX84" s="59" t="e">
        <f t="shared" si="68"/>
        <v>#NUM!</v>
      </c>
      <c r="CY84" s="59">
        <f ca="1">AVERAGE(OFFSET($CX$3,0,0,'Données projet'!$E$13+1,1))-AVERAGE(OFFSET($H$3,0,0,'Données projet'!$E$13+1,1))</f>
        <v>408.246209980743</v>
      </c>
      <c r="CZ84" s="59">
        <f t="shared" si="96"/>
        <v>394.10236303013903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>
        <f>EXP(-LN(2)/35)*DF83+(1-EXP(-LN(2)/35))/(LN(2)/35)*DB84*DC84*VLOOKUP('Données projet'!$B$13,Paramètres!$A$1:$I$89,3,0)*0.475*44/12</f>
        <v>55.959099199223004</v>
      </c>
      <c r="DG84" s="21">
        <f>EXP(-LN(2)/25)*DG83+(1-EXP(-LN(2)/25))/(LN(2)/25)*Calculateur!DB84*Calculateur!DD84*VLOOKUP('Données projet'!$B$13,Paramètres!$A$1:$I$89,3,0)*0.475*44/12</f>
        <v>54.814442982216086</v>
      </c>
      <c r="DH84" s="21">
        <f>EXP(-LN(2)/2)*DH83+(1-EXP(-LN(2)/2))/(LN(2)/2)*DB84*DE84*VLOOKUP('Données projet'!$B$13,Paramètres!$A$1:$I$89,3,0)*0.475*44/12</f>
        <v>48.465847309770886</v>
      </c>
      <c r="DI84" s="22">
        <f t="shared" si="69"/>
        <v>159.23938949120998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>
        <f>DO84*VLOOKUP('Données projet'!$B$14,Paramètres!$A$1:$I$89,3,0)*VLOOKUP('Données projet'!$B$14,Paramètres!$A$1:$I$89,5,0)</f>
        <v>0</v>
      </c>
      <c r="DQ84" s="13" t="e">
        <f t="shared" si="97"/>
        <v>#NUM!</v>
      </c>
      <c r="DR84" s="20" t="e">
        <f t="shared" si="70"/>
        <v>#NUM!</v>
      </c>
      <c r="DS84" s="59" t="e">
        <f t="shared" si="71"/>
        <v>#NUM!</v>
      </c>
      <c r="DT84" s="59">
        <f ca="1">AVERAGE(OFFSET($DS$3,0,0,'Données projet'!$E$14+1,1))-AVERAGE(OFFSET($H$3,0,0,'Données projet'!$E$14+1,1))</f>
        <v>371.07993287480366</v>
      </c>
      <c r="DU84" s="59">
        <f t="shared" si="98"/>
        <v>358.67120540290637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>
        <f>EXP(-LN(2)/35)*EA83+(1-EXP(-LN(2)/35))/(LN(2)/35)*DW84*DX84*VLOOKUP('Données projet'!$B$14,Paramètres!$A$1:$I$89,3,0)*0.475*44/12</f>
        <v>40.536409460353589</v>
      </c>
      <c r="EB84" s="21">
        <f>EXP(-LN(2)/25)*EB83+(1-EXP(-LN(2)/25))/(LN(2)/25)*Calculateur!DW84*Calculateur!DY84*VLOOKUP('Données projet'!$B$14,Paramètres!$A$1:$I$89,3,0)*0.475*44/12</f>
        <v>39.707227901537927</v>
      </c>
      <c r="EC84" s="21">
        <f>EXP(-LN(2)/2)*EC83+(1-EXP(-LN(2)/2))/(LN(2)/2)*DW84*DZ84*VLOOKUP('Données projet'!$B$14,Paramètres!$A$1:$I$89,3,0)*0.475*44/12</f>
        <v>43.27307795515258</v>
      </c>
      <c r="ED84" s="22">
        <f t="shared" si="72"/>
        <v>123.51671531704409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45">
      <c r="A85" s="10">
        <f t="shared" si="85"/>
        <v>82</v>
      </c>
      <c r="B85" s="73">
        <f>'Scénario référence'!$B$16*5+'Scénario référence'!$B$17*0+'Scénario référence'!$B$18*5</f>
        <v>5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1">
        <f t="shared" si="86"/>
        <v>0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18.333333333333332</v>
      </c>
      <c r="H85" s="67">
        <f t="shared" si="56"/>
        <v>183.33333333333334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9.546999999999997</v>
      </c>
      <c r="N85" s="13">
        <f>IF('Données projet'!$A$36&gt;35,N84+M85-V84,IF(A85&lt;'Données projet'!$A$36,$K$205^A85,IF(A85='Données projet'!$A$36,'Données projet'!$B$36,N84+M85-V84)))</f>
        <v>335.99600000000044</v>
      </c>
      <c r="O85" s="13">
        <f>N85*VLOOKUP('Données projet'!$B$9,Paramètres!$A$1:$I$89,3,0)*VLOOKUP('Données projet'!$B$9,Paramètres!$A$1:$I$89,5,0)</f>
        <v>304.00918080000037</v>
      </c>
      <c r="P85" s="13">
        <f t="shared" si="87"/>
        <v>72.016291285794935</v>
      </c>
      <c r="Q85" s="20">
        <f t="shared" si="54"/>
        <v>654.91103054942675</v>
      </c>
      <c r="R85" s="59">
        <f t="shared" si="55"/>
        <v>926.41712218141379</v>
      </c>
      <c r="S85" s="59">
        <f ca="1">AVERAGE(OFFSET($R$3,0,0,'Données projet'!$E$9+1,1))-AVERAGE(OFFSET($H$3,0,0,'Données projet'!$E$9+1,1))</f>
        <v>681.47578137804555</v>
      </c>
      <c r="T85" s="59">
        <f t="shared" si="88"/>
        <v>300.88511065995885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12.482269075127244</v>
      </c>
      <c r="AA85" s="21">
        <f>EXP(-LN(2)/25)*AA84+(1-EXP(-LN(2)/25))/(LN(2)/25)*Calculateur!V85*Calculateur!X85*VLOOKUP('Données projet'!$B$9,Paramètres!$A$1:$I$89,3,0)*0.475*44/12</f>
        <v>25.225162515036608</v>
      </c>
      <c r="AB85" s="21">
        <f>EXP(-LN(2)/2)*AB84+(1-EXP(-LN(2)/2))/(LN(2)/2)*V85*Y85*VLOOKUP('Données projet'!$B$9,Paramètres!$A$1:$I$89,3,0)*0.475*44/12</f>
        <v>0.29393025034219911</v>
      </c>
      <c r="AC85" s="22">
        <f t="shared" si="57"/>
        <v>38.00136184050605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10.417499999999999</v>
      </c>
      <c r="AI85" s="13">
        <f>IF('Données projet'!$A$62&gt;35,AI84+AH85-AQ84,IF(A85&lt;'Données projet'!$A$62,$AF$205^A85,IF(A85='Données projet'!$A$62,'Données projet'!$B$62,AI84+AH85-AQ84)))</f>
        <v>374.67250000000001</v>
      </c>
      <c r="AJ85" s="13">
        <f>AI85*VLOOKUP('Données projet'!$B$10,Paramètres!$A$1:$I$89,3,0)*VLOOKUP('Données projet'!$B$10,Paramètres!$A$1:$I$89,5,0)</f>
        <v>175.34673000000001</v>
      </c>
      <c r="AK85" s="13">
        <f t="shared" si="89"/>
        <v>44.285346511760764</v>
      </c>
      <c r="AL85" s="20">
        <f t="shared" si="58"/>
        <v>382.52586659131663</v>
      </c>
      <c r="AM85" s="59">
        <f t="shared" si="59"/>
        <v>654.03195822330372</v>
      </c>
      <c r="AN85" s="59">
        <f ca="1">AVERAGE(OFFSET($AM$3,0,0,'Données projet'!$E$10+1,1))-AVERAGE(OFFSET($H$3,0,0,'Données projet'!$E$10+1,1))</f>
        <v>325.45940224919184</v>
      </c>
      <c r="AO85" s="59">
        <f t="shared" si="90"/>
        <v>256.30046621034876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37.670723316841368</v>
      </c>
      <c r="AV85" s="21">
        <f>EXP(-LN(2)/25)*AV84+(1-EXP(-LN(2)/25))/(LN(2)/25)*Calculateur!AQ85*Calculateur!AS85*VLOOKUP('Données projet'!$B$10,Paramètres!$A$1:$I$89,3,0)*0.475*44/12</f>
        <v>15.307600768163219</v>
      </c>
      <c r="AW85" s="21">
        <f>EXP(-LN(2)/2)*AW84+(1-EXP(-LN(2)/2))/(LN(2)/2)*AQ85*AT85*VLOOKUP('Données projet'!$B$10,Paramètres!$A$1:$I$89,3,0)*0.475*44/12</f>
        <v>0.89562110159082875</v>
      </c>
      <c r="AX85" s="21">
        <f t="shared" si="60"/>
        <v>53.873945186595414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6.7444444444444462</v>
      </c>
      <c r="BD85" s="12">
        <f>IF('Données projet'!$A$88&gt;35,BD84+BC85-BL84,IF(A85&lt;'Données projet'!$A$88,$BA$205^A85,IF(A85='Données projet'!$A$88,'Données projet'!$B$88,BD84+BC85-BL84)))</f>
        <v>202.29222222222222</v>
      </c>
      <c r="BE85" s="13">
        <f>BD85*VLOOKUP('Données projet'!$B$11,Paramètres!$A$1:$I$89,3,0)*VLOOKUP('Données projet'!$B$11,Paramètres!$A$1:$I$89,5,0)</f>
        <v>205.12431333333336</v>
      </c>
      <c r="BF85" s="13">
        <f t="shared" si="91"/>
        <v>50.868673181302917</v>
      </c>
      <c r="BG85" s="20">
        <f t="shared" si="61"/>
        <v>445.85445151299149</v>
      </c>
      <c r="BH85" s="59">
        <f t="shared" si="62"/>
        <v>717.36054314497846</v>
      </c>
      <c r="BI85" s="59">
        <f ca="1">AVERAGE(OFFSET($BH$3,0,0,'Données projet'!$E$11+1,1))-AVERAGE(OFFSET($H$3,0,0,'Données projet'!$E$11+1,1))</f>
        <v>580.02848304986492</v>
      </c>
      <c r="BJ85" s="59">
        <f t="shared" si="92"/>
        <v>281.68891895586728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0</v>
      </c>
      <c r="BQ85" s="21">
        <f>EXP(-LN(2)/25)*BQ84+(1-EXP(-LN(2)/25))/(LN(2)/25)*Calculateur!BL85*Calculateur!BN85*VLOOKUP('Données projet'!$B$11,Paramètres!$A$1:$I$89,3,0)*0.475*44/12</f>
        <v>37.868496277572106</v>
      </c>
      <c r="BR85" s="21">
        <f>EXP(-LN(2)/2)*BR84+(1-EXP(-LN(2)/2))/(LN(2)/2)*BL85*BO85*VLOOKUP('Données projet'!$B$11,Paramètres!$A$1:$I$89,3,0)*0.475*44/12</f>
        <v>1.244449734349163</v>
      </c>
      <c r="BS85" s="22">
        <f t="shared" si="63"/>
        <v>39.112946011921267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>
        <f>BY85*VLOOKUP('Données projet'!$B$12,Paramètres!$A$1:$I$89,3,0)*VLOOKUP('Données projet'!$B$12,Paramètres!$A$1:$I$89,5,0)</f>
        <v>0</v>
      </c>
      <c r="CA85" s="13" t="e">
        <f t="shared" si="93"/>
        <v>#NUM!</v>
      </c>
      <c r="CB85" s="20" t="e">
        <f t="shared" si="64"/>
        <v>#NUM!</v>
      </c>
      <c r="CC85" s="59" t="e">
        <f t="shared" si="65"/>
        <v>#NUM!</v>
      </c>
      <c r="CD85" s="59">
        <f ca="1">AVERAGE(OFFSET($CC$3,0,0,'Données projet'!$E$12+1,1))-AVERAGE(OFFSET($H$3,0,0,'Données projet'!$E$12+1,1))</f>
        <v>439.15394290667945</v>
      </c>
      <c r="CE85" s="59">
        <f t="shared" si="94"/>
        <v>423.56554025351068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48.484648538637437</v>
      </c>
      <c r="CL85" s="21">
        <f>EXP(-LN(2)/25)*CL84+(1-EXP(-LN(2)/25))/(LN(2)/25)*Calculateur!CG85*Calculateur!CI85*VLOOKUP('Données projet'!$B$12,Paramètres!$A$1:$I$89,3,0)*0.475*44/12</f>
        <v>47.11814663307878</v>
      </c>
      <c r="CM85" s="21">
        <f>EXP(-LN(2)/2)*CM84+(1-EXP(-LN(2)/2))/(LN(2)/2)*CG85*CJ85*VLOOKUP('Données projet'!$B$12,Paramètres!$A$1:$I$89,3,0)*0.475*44/12</f>
        <v>37.330397975181043</v>
      </c>
      <c r="CN85" s="22">
        <f t="shared" si="66"/>
        <v>132.93319314689728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>
        <f>CT85*VLOOKUP('Données projet'!$B$13,Paramètres!$A$1:$I$89,3,0)*VLOOKUP('Données projet'!$B$13,Paramètres!$A$1:$I$89,5,0)</f>
        <v>0</v>
      </c>
      <c r="CV85" s="13" t="e">
        <f t="shared" si="95"/>
        <v>#NUM!</v>
      </c>
      <c r="CW85" s="20" t="e">
        <f t="shared" si="67"/>
        <v>#NUM!</v>
      </c>
      <c r="CX85" s="59" t="e">
        <f t="shared" si="68"/>
        <v>#NUM!</v>
      </c>
      <c r="CY85" s="59">
        <f ca="1">AVERAGE(OFFSET($CX$3,0,0,'Données projet'!$E$13+1,1))-AVERAGE(OFFSET($H$3,0,0,'Données projet'!$E$13+1,1))</f>
        <v>408.246209980743</v>
      </c>
      <c r="CZ85" s="59">
        <f t="shared" si="96"/>
        <v>394.10236303013903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>
        <f>EXP(-LN(2)/35)*DF84+(1-EXP(-LN(2)/35))/(LN(2)/35)*DB85*DC85*VLOOKUP('Données projet'!$B$13,Paramètres!$A$1:$I$89,3,0)*0.475*44/12</f>
        <v>54.861775395606529</v>
      </c>
      <c r="DG85" s="21">
        <f>EXP(-LN(2)/25)*DG84+(1-EXP(-LN(2)/25))/(LN(2)/25)*Calculateur!DB85*Calculateur!DD85*VLOOKUP('Données projet'!$B$13,Paramètres!$A$1:$I$89,3,0)*0.475*44/12</f>
        <v>53.315539156301114</v>
      </c>
      <c r="DH85" s="21">
        <f>EXP(-LN(2)/2)*DH84+(1-EXP(-LN(2)/2))/(LN(2)/2)*DB85*DE85*VLOOKUP('Données projet'!$B$13,Paramètres!$A$1:$I$89,3,0)*0.475*44/12</f>
        <v>34.270529288690788</v>
      </c>
      <c r="DI85" s="22">
        <f t="shared" si="69"/>
        <v>142.44784384059844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>
        <f>DO85*VLOOKUP('Données projet'!$B$14,Paramètres!$A$1:$I$89,3,0)*VLOOKUP('Données projet'!$B$14,Paramètres!$A$1:$I$89,5,0)</f>
        <v>0</v>
      </c>
      <c r="DQ85" s="13" t="e">
        <f t="shared" si="97"/>
        <v>#NUM!</v>
      </c>
      <c r="DR85" s="20" t="e">
        <f t="shared" si="70"/>
        <v>#NUM!</v>
      </c>
      <c r="DS85" s="59" t="e">
        <f t="shared" si="71"/>
        <v>#NUM!</v>
      </c>
      <c r="DT85" s="59">
        <f ca="1">AVERAGE(OFFSET($DS$3,0,0,'Données projet'!$E$14+1,1))-AVERAGE(OFFSET($H$3,0,0,'Données projet'!$E$14+1,1))</f>
        <v>371.07993287480366</v>
      </c>
      <c r="DU85" s="59">
        <f t="shared" si="98"/>
        <v>358.67120540290637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>
        <f>EXP(-LN(2)/35)*EA84+(1-EXP(-LN(2)/35))/(LN(2)/35)*DW85*DX85*VLOOKUP('Données projet'!$B$14,Paramètres!$A$1:$I$89,3,0)*0.475*44/12</f>
        <v>39.741515195604457</v>
      </c>
      <c r="EB85" s="21">
        <f>EXP(-LN(2)/25)*EB84+(1-EXP(-LN(2)/25))/(LN(2)/25)*Calculateur!DW85*Calculateur!DY85*VLOOKUP('Données projet'!$B$14,Paramètres!$A$1:$I$89,3,0)*0.475*44/12</f>
        <v>38.621431666458008</v>
      </c>
      <c r="EC85" s="21">
        <f>EXP(-LN(2)/2)*EC84+(1-EXP(-LN(2)/2))/(LN(2)/2)*DW85*DZ85*VLOOKUP('Données projet'!$B$14,Paramètres!$A$1:$I$89,3,0)*0.475*44/12</f>
        <v>30.59868686490249</v>
      </c>
      <c r="ED85" s="22">
        <f t="shared" si="72"/>
        <v>108.96163372696496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45">
      <c r="A86" s="10">
        <f t="shared" si="85"/>
        <v>83</v>
      </c>
      <c r="B86" s="73">
        <f>'Scénario référence'!$B$16*5+'Scénario référence'!$B$17*0+'Scénario référence'!$B$18*5</f>
        <v>5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1">
        <f t="shared" si="86"/>
        <v>0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18.333333333333332</v>
      </c>
      <c r="H86" s="67">
        <f t="shared" si="56"/>
        <v>183.33333333333334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9.546999999999997</v>
      </c>
      <c r="N86" s="13">
        <f>IF('Données projet'!$A$36&gt;35,N85+M86-V85,IF(A86&lt;'Données projet'!$A$36,$K$205^A86,IF(A86='Données projet'!$A$36,'Données projet'!$B$36,N85+M86-V85)))</f>
        <v>345.54300000000046</v>
      </c>
      <c r="O86" s="13">
        <f>N86*VLOOKUP('Données projet'!$B$9,Paramètres!$A$1:$I$89,3,0)*VLOOKUP('Données projet'!$B$9,Paramètres!$A$1:$I$89,5,0)</f>
        <v>312.64730640000039</v>
      </c>
      <c r="P86" s="13">
        <f t="shared" si="87"/>
        <v>73.821419204446315</v>
      </c>
      <c r="Q86" s="20">
        <f t="shared" si="54"/>
        <v>673.09969709441123</v>
      </c>
      <c r="R86" s="59">
        <f t="shared" si="55"/>
        <v>944.98444257151471</v>
      </c>
      <c r="S86" s="59">
        <f ca="1">AVERAGE(OFFSET($R$3,0,0,'Données projet'!$E$9+1,1))-AVERAGE(OFFSET($H$3,0,0,'Données projet'!$E$9+1,1))</f>
        <v>681.47578137804555</v>
      </c>
      <c r="T86" s="59">
        <f t="shared" si="88"/>
        <v>300.88511065995885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12.237499391996371</v>
      </c>
      <c r="AA86" s="21">
        <f>EXP(-LN(2)/25)*AA85+(1-EXP(-LN(2)/25))/(LN(2)/25)*Calculateur!V86*Calculateur!X86*VLOOKUP('Données projet'!$B$9,Paramètres!$A$1:$I$89,3,0)*0.475*44/12</f>
        <v>24.535379119529289</v>
      </c>
      <c r="AB86" s="21">
        <f>EXP(-LN(2)/2)*AB85+(1-EXP(-LN(2)/2))/(LN(2)/2)*V86*Y86*VLOOKUP('Données projet'!$B$9,Paramètres!$A$1:$I$89,3,0)*0.475*44/12</f>
        <v>0.20784007321282855</v>
      </c>
      <c r="AC86" s="22">
        <f t="shared" si="57"/>
        <v>36.98071858473849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10.417499999999999</v>
      </c>
      <c r="AI86" s="13">
        <f>IF('Données projet'!$A$62&gt;35,AI85+AH86-AQ85,IF(A86&lt;'Données projet'!$A$62,$AF$205^A86,IF(A86='Données projet'!$A$62,'Données projet'!$B$62,AI85+AH86-AQ85)))</f>
        <v>385.09000000000003</v>
      </c>
      <c r="AJ86" s="13">
        <f>AI86*VLOOKUP('Données projet'!$B$10,Paramètres!$A$1:$I$89,3,0)*VLOOKUP('Données projet'!$B$10,Paramètres!$A$1:$I$89,5,0)</f>
        <v>180.22212000000002</v>
      </c>
      <c r="AK86" s="13">
        <f t="shared" si="89"/>
        <v>45.371600226761309</v>
      </c>
      <c r="AL86" s="20">
        <f t="shared" si="58"/>
        <v>392.90906272827596</v>
      </c>
      <c r="AM86" s="59">
        <f t="shared" si="59"/>
        <v>664.79380820537949</v>
      </c>
      <c r="AN86" s="59">
        <f ca="1">AVERAGE(OFFSET($AM$3,0,0,'Données projet'!$E$10+1,1))-AVERAGE(OFFSET($H$3,0,0,'Données projet'!$E$10+1,1))</f>
        <v>325.45940224919184</v>
      </c>
      <c r="AO86" s="59">
        <f t="shared" si="90"/>
        <v>256.30046621034876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36.932023409470553</v>
      </c>
      <c r="AV86" s="21">
        <f>EXP(-LN(2)/25)*AV85+(1-EXP(-LN(2)/25))/(LN(2)/25)*Calculateur!AQ86*Calculateur!AS86*VLOOKUP('Données projet'!$B$10,Paramètres!$A$1:$I$89,3,0)*0.475*44/12</f>
        <v>14.889013620166057</v>
      </c>
      <c r="AW86" s="21">
        <f>EXP(-LN(2)/2)*AW85+(1-EXP(-LN(2)/2))/(LN(2)/2)*AQ86*AT86*VLOOKUP('Données projet'!$B$10,Paramètres!$A$1:$I$89,3,0)*0.475*44/12</f>
        <v>0.63329975430864083</v>
      </c>
      <c r="AX86" s="21">
        <f t="shared" si="60"/>
        <v>52.454336783945251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6.7444444444444462</v>
      </c>
      <c r="BD86" s="12">
        <f>IF('Données projet'!$A$88&gt;35,BD85+BC86-BL85,IF(A86&lt;'Données projet'!$A$88,$BA$205^A86,IF(A86='Données projet'!$A$88,'Données projet'!$B$88,BD85+BC86-BL85)))</f>
        <v>209.03666666666666</v>
      </c>
      <c r="BE86" s="13">
        <f>BD86*VLOOKUP('Données projet'!$B$11,Paramètres!$A$1:$I$89,3,0)*VLOOKUP('Données projet'!$B$11,Paramètres!$A$1:$I$89,5,0)</f>
        <v>211.96317999999999</v>
      </c>
      <c r="BF86" s="13">
        <f t="shared" si="91"/>
        <v>52.364357316031814</v>
      </c>
      <c r="BG86" s="20">
        <f t="shared" si="61"/>
        <v>460.37046082542201</v>
      </c>
      <c r="BH86" s="59">
        <f t="shared" si="62"/>
        <v>732.25520630252549</v>
      </c>
      <c r="BI86" s="59">
        <f ca="1">AVERAGE(OFFSET($BH$3,0,0,'Données projet'!$E$11+1,1))-AVERAGE(OFFSET($H$3,0,0,'Données projet'!$E$11+1,1))</f>
        <v>580.02848304986492</v>
      </c>
      <c r="BJ86" s="59">
        <f t="shared" si="92"/>
        <v>281.68891895586728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0</v>
      </c>
      <c r="BQ86" s="21">
        <f>EXP(-LN(2)/25)*BQ85+(1-EXP(-LN(2)/25))/(LN(2)/25)*Calculateur!BL86*Calculateur!BN86*VLOOKUP('Données projet'!$B$11,Paramètres!$A$1:$I$89,3,0)*0.475*44/12</f>
        <v>36.832980255444227</v>
      </c>
      <c r="BR86" s="21">
        <f>EXP(-LN(2)/2)*BR85+(1-EXP(-LN(2)/2))/(LN(2)/2)*BL86*BO86*VLOOKUP('Données projet'!$B$11,Paramètres!$A$1:$I$89,3,0)*0.475*44/12</f>
        <v>0.8799588460040908</v>
      </c>
      <c r="BS86" s="22">
        <f t="shared" si="63"/>
        <v>37.71293910144832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>
        <f>BY86*VLOOKUP('Données projet'!$B$12,Paramètres!$A$1:$I$89,3,0)*VLOOKUP('Données projet'!$B$12,Paramètres!$A$1:$I$89,5,0)</f>
        <v>0</v>
      </c>
      <c r="CA86" s="13" t="e">
        <f t="shared" si="93"/>
        <v>#NUM!</v>
      </c>
      <c r="CB86" s="20" t="e">
        <f t="shared" si="64"/>
        <v>#NUM!</v>
      </c>
      <c r="CC86" s="59" t="e">
        <f t="shared" si="65"/>
        <v>#NUM!</v>
      </c>
      <c r="CD86" s="59">
        <f ca="1">AVERAGE(OFFSET($CC$3,0,0,'Données projet'!$E$12+1,1))-AVERAGE(OFFSET($H$3,0,0,'Données projet'!$E$12+1,1))</f>
        <v>439.15394290667945</v>
      </c>
      <c r="CE86" s="59">
        <f t="shared" si="94"/>
        <v>423.56554025351068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47.533894153510303</v>
      </c>
      <c r="CL86" s="21">
        <f>EXP(-LN(2)/25)*CL85+(1-EXP(-LN(2)/25))/(LN(2)/25)*Calculateur!CG86*Calculateur!CI86*VLOOKUP('Données projet'!$B$12,Paramètres!$A$1:$I$89,3,0)*0.475*44/12</f>
        <v>45.829698435561596</v>
      </c>
      <c r="CM86" s="21">
        <f>EXP(-LN(2)/2)*CM85+(1-EXP(-LN(2)/2))/(LN(2)/2)*CG86*CJ86*VLOOKUP('Données projet'!$B$12,Paramètres!$A$1:$I$89,3,0)*0.475*44/12</f>
        <v>26.39657755264308</v>
      </c>
      <c r="CN86" s="22">
        <f t="shared" si="66"/>
        <v>119.76017014171498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>
        <f>CT86*VLOOKUP('Données projet'!$B$13,Paramètres!$A$1:$I$89,3,0)*VLOOKUP('Données projet'!$B$13,Paramètres!$A$1:$I$89,5,0)</f>
        <v>0</v>
      </c>
      <c r="CV86" s="13" t="e">
        <f t="shared" si="95"/>
        <v>#NUM!</v>
      </c>
      <c r="CW86" s="20" t="e">
        <f t="shared" si="67"/>
        <v>#NUM!</v>
      </c>
      <c r="CX86" s="59" t="e">
        <f t="shared" si="68"/>
        <v>#NUM!</v>
      </c>
      <c r="CY86" s="59">
        <f ca="1">AVERAGE(OFFSET($CX$3,0,0,'Données projet'!$E$13+1,1))-AVERAGE(OFFSET($H$3,0,0,'Données projet'!$E$13+1,1))</f>
        <v>408.246209980743</v>
      </c>
      <c r="CZ86" s="59">
        <f t="shared" si="96"/>
        <v>394.10236303013903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>
        <f>EXP(-LN(2)/35)*DF85+(1-EXP(-LN(2)/35))/(LN(2)/35)*DB86*DC86*VLOOKUP('Données projet'!$B$13,Paramètres!$A$1:$I$89,3,0)*0.475*44/12</f>
        <v>53.785969442477537</v>
      </c>
      <c r="DG86" s="21">
        <f>EXP(-LN(2)/25)*DG85+(1-EXP(-LN(2)/25))/(LN(2)/25)*Calculateur!DB86*Calculateur!DD86*VLOOKUP('Données projet'!$B$13,Paramètres!$A$1:$I$89,3,0)*0.475*44/12</f>
        <v>51.857622934329711</v>
      </c>
      <c r="DH86" s="21">
        <f>EXP(-LN(2)/2)*DH85+(1-EXP(-LN(2)/2))/(LN(2)/2)*DB86*DE86*VLOOKUP('Données projet'!$B$13,Paramètres!$A$1:$I$89,3,0)*0.475*44/12</f>
        <v>24.232923654885447</v>
      </c>
      <c r="DI86" s="22">
        <f t="shared" si="69"/>
        <v>129.87651603169269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>
        <f>DO86*VLOOKUP('Données projet'!$B$14,Paramètres!$A$1:$I$89,3,0)*VLOOKUP('Données projet'!$B$14,Paramètres!$A$1:$I$89,5,0)</f>
        <v>0</v>
      </c>
      <c r="DQ86" s="13" t="e">
        <f t="shared" si="97"/>
        <v>#NUM!</v>
      </c>
      <c r="DR86" s="20" t="e">
        <f t="shared" si="70"/>
        <v>#NUM!</v>
      </c>
      <c r="DS86" s="59" t="e">
        <f t="shared" si="71"/>
        <v>#NUM!</v>
      </c>
      <c r="DT86" s="59">
        <f ca="1">AVERAGE(OFFSET($DS$3,0,0,'Données projet'!$E$14+1,1))-AVERAGE(OFFSET($H$3,0,0,'Données projet'!$E$14+1,1))</f>
        <v>371.07993287480366</v>
      </c>
      <c r="DU86" s="59">
        <f t="shared" si="98"/>
        <v>358.67120540290637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>
        <f>EXP(-LN(2)/35)*EA85+(1-EXP(-LN(2)/35))/(LN(2)/35)*DW86*DX86*VLOOKUP('Données projet'!$B$14,Paramètres!$A$1:$I$89,3,0)*0.475*44/12</f>
        <v>38.962208322549429</v>
      </c>
      <c r="EB86" s="21">
        <f>EXP(-LN(2)/25)*EB85+(1-EXP(-LN(2)/25))/(LN(2)/25)*Calculateur!DW86*Calculateur!DY86*VLOOKUP('Données projet'!$B$14,Paramètres!$A$1:$I$89,3,0)*0.475*44/12</f>
        <v>37.565326586525892</v>
      </c>
      <c r="EC86" s="21">
        <f>EXP(-LN(2)/2)*EC85+(1-EXP(-LN(2)/2))/(LN(2)/2)*DW86*DZ86*VLOOKUP('Données projet'!$B$14,Paramètres!$A$1:$I$89,3,0)*0.475*44/12</f>
        <v>21.636538977576294</v>
      </c>
      <c r="ED86" s="22">
        <f t="shared" si="72"/>
        <v>98.164073886651607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45">
      <c r="A87" s="10">
        <f t="shared" si="85"/>
        <v>84</v>
      </c>
      <c r="B87" s="73">
        <f>'Scénario référence'!$B$16*5+'Scénario référence'!$B$17*0+'Scénario référence'!$B$18*5</f>
        <v>5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1">
        <f t="shared" si="86"/>
        <v>0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18.333333333333332</v>
      </c>
      <c r="H87" s="67">
        <f t="shared" si="56"/>
        <v>183.33333333333334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>
        <f>VLOOKUP(A87,'Données projet'!$A$35:$I$55,2,0)</f>
        <v>355.09</v>
      </c>
      <c r="L87" s="12">
        <f>VLOOKUP(A87,'Données projet'!$A$35:$I$55,9,0)</f>
        <v>9.546999999999997</v>
      </c>
      <c r="M87" s="12">
        <f t="array" ref="M87">INDEX(L:L,MIN(IF(ISNUMBER(L87:L283),ROW(L87:L283),"")))</f>
        <v>9.546999999999997</v>
      </c>
      <c r="N87" s="13">
        <f>IF('Données projet'!$A$36&gt;35,N86+M87-V86,IF(A87&lt;'Données projet'!$A$36,$K$205^A87,IF(A87='Données projet'!$A$36,'Données projet'!$B$36,N86+M87-V86)))</f>
        <v>355.09000000000049</v>
      </c>
      <c r="O87" s="13">
        <f>N87*VLOOKUP('Données projet'!$B$9,Paramètres!$A$1:$I$89,3,0)*VLOOKUP('Données projet'!$B$9,Paramètres!$A$1:$I$89,5,0)</f>
        <v>321.28543200000041</v>
      </c>
      <c r="P87" s="13">
        <f t="shared" si="87"/>
        <v>75.620750353808944</v>
      </c>
      <c r="Q87" s="20">
        <f t="shared" si="54"/>
        <v>691.27826759955133</v>
      </c>
      <c r="R87" s="59">
        <f t="shared" si="55"/>
        <v>963.53509812410164</v>
      </c>
      <c r="S87" s="59">
        <f ca="1">AVERAGE(OFFSET($R$3,0,0,'Données projet'!$E$9+1,1))-AVERAGE(OFFSET($H$3,0,0,'Données projet'!$E$9+1,1))</f>
        <v>681.47578137804555</v>
      </c>
      <c r="T87" s="59">
        <f t="shared" si="88"/>
        <v>300.88511065995885</v>
      </c>
      <c r="U87" s="15">
        <f>IF(ISNA(VLOOKUP(A87,'Données projet'!$A$35:$I$55,3,0)),0,VLOOKUP(A87,'Données projet'!$A$35:$I$55,3,0))</f>
        <v>6</v>
      </c>
      <c r="V87" s="15">
        <f>IF(ISNA(VLOOKUP(A87,'Données projet'!$A$35:$I$55,4,0)),0,VLOOKUP(A87,'Données projet'!$A$35:$I$55,4,0))</f>
        <v>66.69</v>
      </c>
      <c r="W87" s="16">
        <f>IF(ISNA(VLOOKUP(A87,'Données projet'!$A$35:$I$55,5,0)),0%,VLOOKUP(A87,'Données projet'!$A$35:$I$55,5,0)*VLOOKUP('Données projet'!$B$9,Paramètres!$A$1:$I$89,7,0))</f>
        <v>0.15049999999999999</v>
      </c>
      <c r="X87" s="16">
        <f>IF(ISNA(VLOOKUP(A87,'Données projet'!$A$35:$I$55,6,0)),0%,VLOOKUP(A87,'Données projet'!$A$35:$I$55,6,0)*VLOOKUP('Données projet'!$B$9,Paramètres!$A$1:$I$89,7,0))</f>
        <v>8.6000000000000007E-2</v>
      </c>
      <c r="Y87" s="16">
        <f>IF(ISNA(VLOOKUP(A87,'Données projet'!$A$35:$I$55,7,0)),0%,VLOOKUP(A87,'Données projet'!$A$35:$I$55,7,0))</f>
        <v>0.1</v>
      </c>
      <c r="Z87" s="21">
        <f>EXP(-LN(2)/35)*Z86+(1-EXP(-LN(2)/35))/(LN(2)/35)*V87*W87*VLOOKUP('Données projet'!$B$9,Paramètres!$A$1:$I$89,3,0)*0.475*44/12</f>
        <v>22.036678946661006</v>
      </c>
      <c r="AA87" s="21">
        <f>EXP(-LN(2)/25)*AA86+(1-EXP(-LN(2)/25))/(LN(2)/25)*Calculateur!V87*Calculateur!X87*VLOOKUP('Données projet'!$B$9,Paramètres!$A$1:$I$89,3,0)*0.475*44/12</f>
        <v>29.578527314097339</v>
      </c>
      <c r="AB87" s="21">
        <f>EXP(-LN(2)/2)*AB86+(1-EXP(-LN(2)/2))/(LN(2)/2)*V87*Y87*VLOOKUP('Données projet'!$B$9,Paramètres!$A$1:$I$89,3,0)*0.475*44/12</f>
        <v>5.8403114480929164</v>
      </c>
      <c r="AC87" s="22">
        <f t="shared" si="57"/>
        <v>57.455517708851261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10.417499999999999</v>
      </c>
      <c r="AI87" s="13">
        <f>IF('Données projet'!$A$62&gt;35,AI86+AH87-AQ86,IF(A87&lt;'Données projet'!$A$62,$AF$205^A87,IF(A87='Données projet'!$A$62,'Données projet'!$B$62,AI86+AH87-AQ86)))</f>
        <v>395.50750000000005</v>
      </c>
      <c r="AJ87" s="13">
        <f>AI87*VLOOKUP('Données projet'!$B$10,Paramètres!$A$1:$I$89,3,0)*VLOOKUP('Données projet'!$B$10,Paramètres!$A$1:$I$89,5,0)</f>
        <v>185.09751</v>
      </c>
      <c r="AK87" s="13">
        <f t="shared" si="89"/>
        <v>46.454438413259567</v>
      </c>
      <c r="AL87" s="20">
        <f t="shared" si="58"/>
        <v>403.28631015309378</v>
      </c>
      <c r="AM87" s="59">
        <f t="shared" si="59"/>
        <v>675.54314067764403</v>
      </c>
      <c r="AN87" s="59">
        <f ca="1">AVERAGE(OFFSET($AM$3,0,0,'Données projet'!$E$10+1,1))-AVERAGE(OFFSET($H$3,0,0,'Données projet'!$E$10+1,1))</f>
        <v>325.45940224919184</v>
      </c>
      <c r="AO87" s="59">
        <f t="shared" si="90"/>
        <v>256.30046621034876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36.207808956720825</v>
      </c>
      <c r="AV87" s="21">
        <f>EXP(-LN(2)/25)*AV86+(1-EXP(-LN(2)/25))/(LN(2)/25)*Calculateur!AQ87*Calculateur!AS87*VLOOKUP('Données projet'!$B$10,Paramètres!$A$1:$I$89,3,0)*0.475*44/12</f>
        <v>14.481872759743419</v>
      </c>
      <c r="AW87" s="21">
        <f>EXP(-LN(2)/2)*AW86+(1-EXP(-LN(2)/2))/(LN(2)/2)*AQ87*AT87*VLOOKUP('Données projet'!$B$10,Paramètres!$A$1:$I$89,3,0)*0.475*44/12</f>
        <v>0.44781055079541443</v>
      </c>
      <c r="AX87" s="21">
        <f t="shared" si="60"/>
        <v>51.13749226725966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6.7444444444444462</v>
      </c>
      <c r="BD87" s="12">
        <f>IF('Données projet'!$A$88&gt;35,BD86+BC87-BL86,IF(A87&lt;'Données projet'!$A$88,$BA$205^A87,IF(A87='Données projet'!$A$88,'Données projet'!$B$88,BD86+BC87-BL86)))</f>
        <v>215.7811111111111</v>
      </c>
      <c r="BE87" s="13">
        <f>BD87*VLOOKUP('Données projet'!$B$11,Paramètres!$A$1:$I$89,3,0)*VLOOKUP('Données projet'!$B$11,Paramètres!$A$1:$I$89,5,0)</f>
        <v>218.80204666666666</v>
      </c>
      <c r="BF87" s="13">
        <f t="shared" si="91"/>
        <v>53.854433800339066</v>
      </c>
      <c r="BG87" s="20">
        <f t="shared" si="61"/>
        <v>474.87670348003502</v>
      </c>
      <c r="BH87" s="59">
        <f t="shared" si="62"/>
        <v>747.13353400458527</v>
      </c>
      <c r="BI87" s="59">
        <f ca="1">AVERAGE(OFFSET($BH$3,0,0,'Données projet'!$E$11+1,1))-AVERAGE(OFFSET($H$3,0,0,'Données projet'!$E$11+1,1))</f>
        <v>580.02848304986492</v>
      </c>
      <c r="BJ87" s="59">
        <f t="shared" si="92"/>
        <v>281.68891895586728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0</v>
      </c>
      <c r="BQ87" s="21">
        <f>EXP(-LN(2)/25)*BQ86+(1-EXP(-LN(2)/25))/(LN(2)/25)*Calculateur!BL87*Calculateur!BN87*VLOOKUP('Données projet'!$B$11,Paramètres!$A$1:$I$89,3,0)*0.475*44/12</f>
        <v>35.825780473396854</v>
      </c>
      <c r="BR87" s="21">
        <f>EXP(-LN(2)/2)*BR86+(1-EXP(-LN(2)/2))/(LN(2)/2)*BL87*BO87*VLOOKUP('Données projet'!$B$11,Paramètres!$A$1:$I$89,3,0)*0.475*44/12</f>
        <v>0.62222486717458159</v>
      </c>
      <c r="BS87" s="22">
        <f t="shared" si="63"/>
        <v>36.448005340571434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>
        <f>BY87*VLOOKUP('Données projet'!$B$12,Paramètres!$A$1:$I$89,3,0)*VLOOKUP('Données projet'!$B$12,Paramètres!$A$1:$I$89,5,0)</f>
        <v>0</v>
      </c>
      <c r="CA87" s="13" t="e">
        <f t="shared" si="93"/>
        <v>#NUM!</v>
      </c>
      <c r="CB87" s="20" t="e">
        <f t="shared" si="64"/>
        <v>#NUM!</v>
      </c>
      <c r="CC87" s="59" t="e">
        <f t="shared" si="65"/>
        <v>#NUM!</v>
      </c>
      <c r="CD87" s="59">
        <f ca="1">AVERAGE(OFFSET($CC$3,0,0,'Données projet'!$E$12+1,1))-AVERAGE(OFFSET($H$3,0,0,'Données projet'!$E$12+1,1))</f>
        <v>439.15394290667945</v>
      </c>
      <c r="CE87" s="59">
        <f t="shared" si="94"/>
        <v>423.56554025351068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46.601783481972596</v>
      </c>
      <c r="CL87" s="21">
        <f>EXP(-LN(2)/25)*CL86+(1-EXP(-LN(2)/25))/(LN(2)/25)*Calculateur!CG87*Calculateur!CI87*VLOOKUP('Données projet'!$B$12,Paramètres!$A$1:$I$89,3,0)*0.475*44/12</f>
        <v>44.576482921762071</v>
      </c>
      <c r="CM87" s="21">
        <f>EXP(-LN(2)/2)*CM86+(1-EXP(-LN(2)/2))/(LN(2)/2)*CG87*CJ87*VLOOKUP('Données projet'!$B$12,Paramètres!$A$1:$I$89,3,0)*0.475*44/12</f>
        <v>18.665198987590525</v>
      </c>
      <c r="CN87" s="22">
        <f t="shared" si="66"/>
        <v>109.8434653913252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>
        <f>CT87*VLOOKUP('Données projet'!$B$13,Paramètres!$A$1:$I$89,3,0)*VLOOKUP('Données projet'!$B$13,Paramètres!$A$1:$I$89,5,0)</f>
        <v>0</v>
      </c>
      <c r="CV87" s="13" t="e">
        <f t="shared" si="95"/>
        <v>#NUM!</v>
      </c>
      <c r="CW87" s="20" t="e">
        <f t="shared" si="67"/>
        <v>#NUM!</v>
      </c>
      <c r="CX87" s="59" t="e">
        <f t="shared" si="68"/>
        <v>#NUM!</v>
      </c>
      <c r="CY87" s="59">
        <f ca="1">AVERAGE(OFFSET($CX$3,0,0,'Données projet'!$E$13+1,1))-AVERAGE(OFFSET($H$3,0,0,'Données projet'!$E$13+1,1))</f>
        <v>408.246209980743</v>
      </c>
      <c r="CZ87" s="59">
        <f t="shared" si="96"/>
        <v>394.10236303013903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>
        <f>EXP(-LN(2)/35)*DF86+(1-EXP(-LN(2)/35))/(LN(2)/35)*DB87*DC87*VLOOKUP('Données projet'!$B$13,Paramètres!$A$1:$I$89,3,0)*0.475*44/12</f>
        <v>52.731259387912566</v>
      </c>
      <c r="DG87" s="21">
        <f>EXP(-LN(2)/25)*DG86+(1-EXP(-LN(2)/25))/(LN(2)/25)*Calculateur!DB87*Calculateur!DD87*VLOOKUP('Données projet'!$B$13,Paramètres!$A$1:$I$89,3,0)*0.475*44/12</f>
        <v>50.439573508116595</v>
      </c>
      <c r="DH87" s="21">
        <f>EXP(-LN(2)/2)*DH86+(1-EXP(-LN(2)/2))/(LN(2)/2)*DB87*DE87*VLOOKUP('Données projet'!$B$13,Paramètres!$A$1:$I$89,3,0)*0.475*44/12</f>
        <v>17.135264644345398</v>
      </c>
      <c r="DI87" s="22">
        <f t="shared" si="69"/>
        <v>120.30609754037457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>
        <f>DO87*VLOOKUP('Données projet'!$B$14,Paramètres!$A$1:$I$89,3,0)*VLOOKUP('Données projet'!$B$14,Paramètres!$A$1:$I$89,5,0)</f>
        <v>0</v>
      </c>
      <c r="DQ87" s="13" t="e">
        <f t="shared" si="97"/>
        <v>#NUM!</v>
      </c>
      <c r="DR87" s="20" t="e">
        <f t="shared" si="70"/>
        <v>#NUM!</v>
      </c>
      <c r="DS87" s="59" t="e">
        <f t="shared" si="71"/>
        <v>#NUM!</v>
      </c>
      <c r="DT87" s="59">
        <f ca="1">AVERAGE(OFFSET($DS$3,0,0,'Données projet'!$E$14+1,1))-AVERAGE(OFFSET($H$3,0,0,'Données projet'!$E$14+1,1))</f>
        <v>371.07993287480366</v>
      </c>
      <c r="DU87" s="59">
        <f t="shared" si="98"/>
        <v>358.67120540290637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>
        <f>EXP(-LN(2)/35)*EA86+(1-EXP(-LN(2)/35))/(LN(2)/35)*DW87*DX87*VLOOKUP('Données projet'!$B$14,Paramètres!$A$1:$I$89,3,0)*0.475*44/12</f>
        <v>38.198183181944749</v>
      </c>
      <c r="EB87" s="21">
        <f>EXP(-LN(2)/25)*EB86+(1-EXP(-LN(2)/25))/(LN(2)/25)*Calculateur!DW87*Calculateur!DY87*VLOOKUP('Données projet'!$B$14,Paramètres!$A$1:$I$89,3,0)*0.475*44/12</f>
        <v>36.538100755542672</v>
      </c>
      <c r="EC87" s="21">
        <f>EXP(-LN(2)/2)*EC86+(1-EXP(-LN(2)/2))/(LN(2)/2)*DW87*DZ87*VLOOKUP('Données projet'!$B$14,Paramètres!$A$1:$I$89,3,0)*0.475*44/12</f>
        <v>15.299343432451249</v>
      </c>
      <c r="ED87" s="22">
        <f t="shared" si="72"/>
        <v>90.03562736993868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45">
      <c r="A88" s="10">
        <f t="shared" si="85"/>
        <v>85</v>
      </c>
      <c r="B88" s="73">
        <f>'Scénario référence'!$B$16*5+'Scénario référence'!$B$17*0+'Scénario référence'!$B$18*5</f>
        <v>5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1">
        <f t="shared" si="86"/>
        <v>0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18.333333333333332</v>
      </c>
      <c r="H88" s="67">
        <f t="shared" si="56"/>
        <v>183.33333333333334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9.1730000000000018</v>
      </c>
      <c r="N88" s="13">
        <f>IF('Données projet'!$A$36&gt;35,N87+M88-V87,IF(A88&lt;'Données projet'!$A$36,$K$205^A88,IF(A88='Données projet'!$A$36,'Données projet'!$B$36,N87+M88-V87)))</f>
        <v>297.57300000000049</v>
      </c>
      <c r="O88" s="13">
        <f>N88*VLOOKUP('Données projet'!$B$9,Paramètres!$A$1:$I$89,3,0)*VLOOKUP('Données projet'!$B$9,Paramètres!$A$1:$I$89,5,0)</f>
        <v>269.24405040000045</v>
      </c>
      <c r="P88" s="13">
        <f t="shared" si="87"/>
        <v>64.688811534365087</v>
      </c>
      <c r="Q88" s="20">
        <f t="shared" si="54"/>
        <v>581.59973453568659</v>
      </c>
      <c r="R88" s="59">
        <f t="shared" si="55"/>
        <v>854.22219526396816</v>
      </c>
      <c r="S88" s="59">
        <f ca="1">AVERAGE(OFFSET($R$3,0,0,'Données projet'!$E$9+1,1))-AVERAGE(OFFSET($H$3,0,0,'Données projet'!$E$9+1,1))</f>
        <v>681.47578137804555</v>
      </c>
      <c r="T88" s="59">
        <f t="shared" si="88"/>
        <v>300.88511065995885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21.604553113563949</v>
      </c>
      <c r="AA88" s="21">
        <f>EXP(-LN(2)/25)*AA87+(1-EXP(-LN(2)/25))/(LN(2)/25)*Calculateur!V88*Calculateur!X88*VLOOKUP('Données projet'!$B$9,Paramètres!$A$1:$I$89,3,0)*0.475*44/12</f>
        <v>28.7697009292262</v>
      </c>
      <c r="AB88" s="21">
        <f>EXP(-LN(2)/2)*AB87+(1-EXP(-LN(2)/2))/(LN(2)/2)*V88*Y88*VLOOKUP('Données projet'!$B$9,Paramètres!$A$1:$I$89,3,0)*0.475*44/12</f>
        <v>4.1297238291879266</v>
      </c>
      <c r="AC88" s="22">
        <f t="shared" si="57"/>
        <v>54.503977871978073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10.417499999999999</v>
      </c>
      <c r="AI88" s="13">
        <f>IF('Données projet'!$A$62&gt;35,AI87+AH88-AQ87,IF(A88&lt;'Données projet'!$A$62,$AF$205^A88,IF(A88='Données projet'!$A$62,'Données projet'!$B$62,AI87+AH88-AQ87)))</f>
        <v>405.92500000000007</v>
      </c>
      <c r="AJ88" s="13">
        <f>AI88*VLOOKUP('Données projet'!$B$10,Paramètres!$A$1:$I$89,3,0)*VLOOKUP('Données projet'!$B$10,Paramètres!$A$1:$I$89,5,0)</f>
        <v>189.97290000000001</v>
      </c>
      <c r="AK88" s="13">
        <f t="shared" si="89"/>
        <v>47.533961376261203</v>
      </c>
      <c r="AL88" s="20">
        <f t="shared" si="58"/>
        <v>413.6577835636549</v>
      </c>
      <c r="AM88" s="59">
        <f t="shared" si="59"/>
        <v>686.28024429193647</v>
      </c>
      <c r="AN88" s="59">
        <f ca="1">AVERAGE(OFFSET($AM$3,0,0,'Données projet'!$E$10+1,1))-AVERAGE(OFFSET($H$3,0,0,'Données projet'!$E$10+1,1))</f>
        <v>325.45940224919184</v>
      </c>
      <c r="AO88" s="59">
        <f t="shared" si="90"/>
        <v>256.30046621034876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35.497795907662322</v>
      </c>
      <c r="AV88" s="21">
        <f>EXP(-LN(2)/25)*AV87+(1-EXP(-LN(2)/25))/(LN(2)/25)*Calculateur!AQ88*Calculateur!AS88*VLOOKUP('Données projet'!$B$10,Paramètres!$A$1:$I$89,3,0)*0.475*44/12</f>
        <v>14.085865187559646</v>
      </c>
      <c r="AW88" s="21">
        <f>EXP(-LN(2)/2)*AW87+(1-EXP(-LN(2)/2))/(LN(2)/2)*AQ88*AT88*VLOOKUP('Données projet'!$B$10,Paramètres!$A$1:$I$89,3,0)*0.475*44/12</f>
        <v>0.31664987715432047</v>
      </c>
      <c r="AX88" s="21">
        <f t="shared" si="60"/>
        <v>49.900310972376289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6.7444444444444462</v>
      </c>
      <c r="BD88" s="12">
        <f>IF('Données projet'!$A$88&gt;35,BD87+BC88-BL87,IF(A88&lt;'Données projet'!$A$88,$BA$205^A88,IF(A88='Données projet'!$A$88,'Données projet'!$B$88,BD87+BC88-BL87)))</f>
        <v>222.52555555555554</v>
      </c>
      <c r="BE88" s="13">
        <f>BD88*VLOOKUP('Données projet'!$B$11,Paramètres!$A$1:$I$89,3,0)*VLOOKUP('Données projet'!$B$11,Paramètres!$A$1:$I$89,5,0)</f>
        <v>225.64091333333332</v>
      </c>
      <c r="BF88" s="13">
        <f t="shared" si="91"/>
        <v>55.339098017434395</v>
      </c>
      <c r="BG88" s="20">
        <f t="shared" si="61"/>
        <v>489.37351976925379</v>
      </c>
      <c r="BH88" s="59">
        <f t="shared" si="62"/>
        <v>761.99598049753536</v>
      </c>
      <c r="BI88" s="59">
        <f ca="1">AVERAGE(OFFSET($BH$3,0,0,'Données projet'!$E$11+1,1))-AVERAGE(OFFSET($H$3,0,0,'Données projet'!$E$11+1,1))</f>
        <v>580.02848304986492</v>
      </c>
      <c r="BJ88" s="59">
        <f t="shared" si="92"/>
        <v>281.68891895586728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0</v>
      </c>
      <c r="BQ88" s="21">
        <f>EXP(-LN(2)/25)*BQ87+(1-EXP(-LN(2)/25))/(LN(2)/25)*Calculateur!BL88*Calculateur!BN88*VLOOKUP('Données projet'!$B$11,Paramètres!$A$1:$I$89,3,0)*0.475*44/12</f>
        <v>34.8461226223559</v>
      </c>
      <c r="BR88" s="21">
        <f>EXP(-LN(2)/2)*BR87+(1-EXP(-LN(2)/2))/(LN(2)/2)*BL88*BO88*VLOOKUP('Données projet'!$B$11,Paramètres!$A$1:$I$89,3,0)*0.475*44/12</f>
        <v>0.43997942300204551</v>
      </c>
      <c r="BS88" s="22">
        <f t="shared" si="63"/>
        <v>35.286102045357943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>
        <f>BY88*VLOOKUP('Données projet'!$B$12,Paramètres!$A$1:$I$89,3,0)*VLOOKUP('Données projet'!$B$12,Paramètres!$A$1:$I$89,5,0)</f>
        <v>0</v>
      </c>
      <c r="CA88" s="13" t="e">
        <f t="shared" si="93"/>
        <v>#NUM!</v>
      </c>
      <c r="CB88" s="20" t="e">
        <f t="shared" si="64"/>
        <v>#NUM!</v>
      </c>
      <c r="CC88" s="59" t="e">
        <f t="shared" si="65"/>
        <v>#NUM!</v>
      </c>
      <c r="CD88" s="59">
        <f ca="1">AVERAGE(OFFSET($CC$3,0,0,'Données projet'!$E$12+1,1))-AVERAGE(OFFSET($H$3,0,0,'Données projet'!$E$12+1,1))</f>
        <v>439.15394290667945</v>
      </c>
      <c r="CE88" s="59">
        <f t="shared" si="94"/>
        <v>423.56554025351068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45.68795093217237</v>
      </c>
      <c r="CL88" s="21">
        <f>EXP(-LN(2)/25)*CL87+(1-EXP(-LN(2)/25))/(LN(2)/25)*Calculateur!CG88*Calculateur!CI88*VLOOKUP('Données projet'!$B$12,Paramètres!$A$1:$I$89,3,0)*0.475*44/12</f>
        <v>43.357536652091134</v>
      </c>
      <c r="CM88" s="21">
        <f>EXP(-LN(2)/2)*CM87+(1-EXP(-LN(2)/2))/(LN(2)/2)*CG88*CJ88*VLOOKUP('Données projet'!$B$12,Paramètres!$A$1:$I$89,3,0)*0.475*44/12</f>
        <v>13.198288776321542</v>
      </c>
      <c r="CN88" s="22">
        <f t="shared" si="66"/>
        <v>102.24377636058504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>
        <f>CT88*VLOOKUP('Données projet'!$B$13,Paramètres!$A$1:$I$89,3,0)*VLOOKUP('Données projet'!$B$13,Paramètres!$A$1:$I$89,5,0)</f>
        <v>0</v>
      </c>
      <c r="CV88" s="13" t="e">
        <f t="shared" si="95"/>
        <v>#NUM!</v>
      </c>
      <c r="CW88" s="20" t="e">
        <f t="shared" si="67"/>
        <v>#NUM!</v>
      </c>
      <c r="CX88" s="59" t="e">
        <f t="shared" si="68"/>
        <v>#NUM!</v>
      </c>
      <c r="CY88" s="59">
        <f ca="1">AVERAGE(OFFSET($CX$3,0,0,'Données projet'!$E$13+1,1))-AVERAGE(OFFSET($H$3,0,0,'Données projet'!$E$13+1,1))</f>
        <v>408.246209980743</v>
      </c>
      <c r="CZ88" s="59">
        <f t="shared" si="96"/>
        <v>394.10236303013903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>
        <f>EXP(-LN(2)/35)*DF87+(1-EXP(-LN(2)/35))/(LN(2)/35)*DB88*DC88*VLOOKUP('Données projet'!$B$13,Paramètres!$A$1:$I$89,3,0)*0.475*44/12</f>
        <v>51.697231554208003</v>
      </c>
      <c r="DG88" s="21">
        <f>EXP(-LN(2)/25)*DG87+(1-EXP(-LN(2)/25))/(LN(2)/25)*Calculateur!DB88*Calculateur!DD88*VLOOKUP('Données projet'!$B$13,Paramètres!$A$1:$I$89,3,0)*0.475*44/12</f>
        <v>49.060300718035258</v>
      </c>
      <c r="DH88" s="21">
        <f>EXP(-LN(2)/2)*DH87+(1-EXP(-LN(2)/2))/(LN(2)/2)*DB88*DE88*VLOOKUP('Données projet'!$B$13,Paramètres!$A$1:$I$89,3,0)*0.475*44/12</f>
        <v>12.116461827442727</v>
      </c>
      <c r="DI88" s="22">
        <f t="shared" si="69"/>
        <v>112.87399409968597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>
        <f>DO88*VLOOKUP('Données projet'!$B$14,Paramètres!$A$1:$I$89,3,0)*VLOOKUP('Données projet'!$B$14,Paramètres!$A$1:$I$89,5,0)</f>
        <v>0</v>
      </c>
      <c r="DQ88" s="13" t="e">
        <f t="shared" si="97"/>
        <v>#NUM!</v>
      </c>
      <c r="DR88" s="20" t="e">
        <f t="shared" si="70"/>
        <v>#NUM!</v>
      </c>
      <c r="DS88" s="59" t="e">
        <f t="shared" si="71"/>
        <v>#NUM!</v>
      </c>
      <c r="DT88" s="59">
        <f ca="1">AVERAGE(OFFSET($DS$3,0,0,'Données projet'!$E$14+1,1))-AVERAGE(OFFSET($H$3,0,0,'Données projet'!$E$14+1,1))</f>
        <v>371.07993287480366</v>
      </c>
      <c r="DU88" s="59">
        <f t="shared" si="98"/>
        <v>358.67120540290637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>
        <f>EXP(-LN(2)/35)*EA87+(1-EXP(-LN(2)/35))/(LN(2)/35)*DW88*DX88*VLOOKUP('Données projet'!$B$14,Paramètres!$A$1:$I$89,3,0)*0.475*44/12</f>
        <v>37.449140108338007</v>
      </c>
      <c r="EB88" s="21">
        <f>EXP(-LN(2)/25)*EB87+(1-EXP(-LN(2)/25))/(LN(2)/25)*Calculateur!DW88*Calculateur!DY88*VLOOKUP('Données projet'!$B$14,Paramètres!$A$1:$I$89,3,0)*0.475*44/12</f>
        <v>35.538964468927148</v>
      </c>
      <c r="EC88" s="21">
        <f>EXP(-LN(2)/2)*EC87+(1-EXP(-LN(2)/2))/(LN(2)/2)*DW88*DZ88*VLOOKUP('Données projet'!$B$14,Paramètres!$A$1:$I$89,3,0)*0.475*44/12</f>
        <v>10.818269488788149</v>
      </c>
      <c r="ED88" s="22">
        <f t="shared" si="72"/>
        <v>83.806374066053294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45">
      <c r="A89" s="10">
        <f t="shared" si="85"/>
        <v>86</v>
      </c>
      <c r="B89" s="73">
        <f>'Scénario référence'!$B$16*5+'Scénario référence'!$B$17*0+'Scénario référence'!$B$18*5</f>
        <v>5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1">
        <f t="shared" si="86"/>
        <v>0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18.333333333333332</v>
      </c>
      <c r="H89" s="67">
        <f t="shared" si="56"/>
        <v>183.33333333333334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9.1730000000000018</v>
      </c>
      <c r="N89" s="13">
        <f>IF('Données projet'!$A$36&gt;35,N88+M89-V88,IF(A89&lt;'Données projet'!$A$36,$K$205^A89,IF(A89='Données projet'!$A$36,'Données projet'!$B$36,N88+M89-V88)))</f>
        <v>306.74600000000049</v>
      </c>
      <c r="O89" s="13">
        <f>N89*VLOOKUP('Données projet'!$B$9,Paramètres!$A$1:$I$89,3,0)*VLOOKUP('Données projet'!$B$9,Paramètres!$A$1:$I$89,5,0)</f>
        <v>277.54378080000043</v>
      </c>
      <c r="P89" s="13">
        <f t="shared" si="87"/>
        <v>66.447673279805883</v>
      </c>
      <c r="Q89" s="20">
        <f t="shared" si="54"/>
        <v>599.11844918899601</v>
      </c>
      <c r="R89" s="59">
        <f t="shared" si="55"/>
        <v>872.10019725440065</v>
      </c>
      <c r="S89" s="59">
        <f ca="1">AVERAGE(OFFSET($R$3,0,0,'Données projet'!$E$9+1,1))-AVERAGE(OFFSET($H$3,0,0,'Données projet'!$E$9+1,1))</f>
        <v>681.47578137804555</v>
      </c>
      <c r="T89" s="59">
        <f t="shared" si="88"/>
        <v>300.88511065995885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21.180901004483189</v>
      </c>
      <c r="AA89" s="21">
        <f>EXP(-LN(2)/25)*AA88+(1-EXP(-LN(2)/25))/(LN(2)/25)*Calculateur!V89*Calculateur!X89*VLOOKUP('Données projet'!$B$9,Paramètres!$A$1:$I$89,3,0)*0.475*44/12</f>
        <v>27.982991944383691</v>
      </c>
      <c r="AB89" s="21">
        <f>EXP(-LN(2)/2)*AB88+(1-EXP(-LN(2)/2))/(LN(2)/2)*V89*Y89*VLOOKUP('Données projet'!$B$9,Paramètres!$A$1:$I$89,3,0)*0.475*44/12</f>
        <v>2.9201557240464586</v>
      </c>
      <c r="AC89" s="22">
        <f t="shared" si="57"/>
        <v>52.08404867291334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10.417499999999999</v>
      </c>
      <c r="AI89" s="13">
        <f>IF('Données projet'!$A$62&gt;35,AI88+AH89-AQ88,IF(A89&lt;'Données projet'!$A$62,$AF$205^A89,IF(A89='Données projet'!$A$62,'Données projet'!$B$62,AI88+AH89-AQ88)))</f>
        <v>416.34250000000009</v>
      </c>
      <c r="AJ89" s="13">
        <f>AI89*VLOOKUP('Données projet'!$B$10,Paramètres!$A$1:$I$89,3,0)*VLOOKUP('Données projet'!$B$10,Paramètres!$A$1:$I$89,5,0)</f>
        <v>194.84829000000002</v>
      </c>
      <c r="AK89" s="13">
        <f t="shared" si="89"/>
        <v>48.610263979086888</v>
      </c>
      <c r="AL89" s="20">
        <f t="shared" si="58"/>
        <v>424.02364818024301</v>
      </c>
      <c r="AM89" s="59">
        <f t="shared" si="59"/>
        <v>697.00539624564772</v>
      </c>
      <c r="AN89" s="59">
        <f ca="1">AVERAGE(OFFSET($AM$3,0,0,'Données projet'!$E$10+1,1))-AVERAGE(OFFSET($H$3,0,0,'Données projet'!$E$10+1,1))</f>
        <v>325.45940224919184</v>
      </c>
      <c r="AO89" s="59">
        <f t="shared" si="90"/>
        <v>256.30046621034876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34.801705781430655</v>
      </c>
      <c r="AV89" s="21">
        <f>EXP(-LN(2)/25)*AV88+(1-EXP(-LN(2)/25))/(LN(2)/25)*Calculateur!AQ89*Calculateur!AS89*VLOOKUP('Données projet'!$B$10,Paramètres!$A$1:$I$89,3,0)*0.475*44/12</f>
        <v>13.700686463262372</v>
      </c>
      <c r="AW89" s="21">
        <f>EXP(-LN(2)/2)*AW88+(1-EXP(-LN(2)/2))/(LN(2)/2)*AQ89*AT89*VLOOKUP('Données projet'!$B$10,Paramètres!$A$1:$I$89,3,0)*0.475*44/12</f>
        <v>0.22390527539770724</v>
      </c>
      <c r="AX89" s="21">
        <f t="shared" si="60"/>
        <v>48.726297520090732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>
        <f>VLOOKUP(A89,'Données projet'!$A$87:$I$107,2,0)</f>
        <v>229.27</v>
      </c>
      <c r="BB89" s="12">
        <f>VLOOKUP(A89,'Données projet'!$A$87:$I$107,9,0)</f>
        <v>6.7444444444444462</v>
      </c>
      <c r="BC89" s="12">
        <f t="array" ref="BC89">INDEX(BB:BB,MIN(IF(ISNUMBER(BB89:BB285),ROW(BB89:BB285),"")))</f>
        <v>6.7444444444444462</v>
      </c>
      <c r="BD89" s="12">
        <f>IF('Données projet'!$A$88&gt;35,BD88+BC89-BL88,IF(A89&lt;'Données projet'!$A$88,$BA$205^A89,IF(A89='Données projet'!$A$88,'Données projet'!$B$88,BD88+BC89-BL88)))</f>
        <v>229.26999999999998</v>
      </c>
      <c r="BE89" s="13">
        <f>BD89*VLOOKUP('Données projet'!$B$11,Paramètres!$A$1:$I$89,3,0)*VLOOKUP('Données projet'!$B$11,Paramètres!$A$1:$I$89,5,0)</f>
        <v>232.47978000000001</v>
      </c>
      <c r="BF89" s="13">
        <f t="shared" si="91"/>
        <v>56.81853283390906</v>
      </c>
      <c r="BG89" s="20">
        <f t="shared" si="61"/>
        <v>503.86122818572488</v>
      </c>
      <c r="BH89" s="59">
        <f t="shared" si="62"/>
        <v>776.84297625112958</v>
      </c>
      <c r="BI89" s="59">
        <f ca="1">AVERAGE(OFFSET($BH$3,0,0,'Données projet'!$E$11+1,1))-AVERAGE(OFFSET($H$3,0,0,'Données projet'!$E$11+1,1))</f>
        <v>580.02848304986492</v>
      </c>
      <c r="BJ89" s="59">
        <f t="shared" si="92"/>
        <v>281.68891895586728</v>
      </c>
      <c r="BK89" s="15">
        <f>IF(ISNA(VLOOKUP(A89,'Données projet'!$A$87:$I$107,3,0)),0,VLOOKUP(A89,'Données projet'!$A$87:$I$107,3,0))</f>
        <v>4</v>
      </c>
      <c r="BL89" s="15">
        <f>IF(ISNA(VLOOKUP(A89,'Données projet'!$A$87:$I$107,4,0)),0,VLOOKUP(A89,'Données projet'!$A$87:$I$107,4,0))</f>
        <v>37.54000000000002</v>
      </c>
      <c r="BM89" s="16">
        <f>IF(ISNA(VLOOKUP(A89,'Données projet'!$A$87:$I$107,5,0)),0%,VLOOKUP(A89,'Données projet'!$A$87:$I$107,5,0)*VLOOKUP('Données projet'!$B$11,Paramètres!$A$1:$I$89,7,0))</f>
        <v>0.15049999999999999</v>
      </c>
      <c r="BN89" s="16">
        <f>IF(ISNA(VLOOKUP(A89,'Données projet'!$A$87:$I$107,6,0)),0%,VLOOKUP(A89,'Données projet'!$A$87:$I$107,6,0)*VLOOKUP('Données projet'!$B$11,Paramètres!$A$1:$I$89,7,0))</f>
        <v>8.6000000000000007E-2</v>
      </c>
      <c r="BO89" s="16">
        <f>IF(ISNA(VLOOKUP(A89,'Données projet'!$A$87:$I$107,7,0)),0%,VLOOKUP(A89,'Données projet'!$A$87:$I$107,7,0))</f>
        <v>0.1</v>
      </c>
      <c r="BP89" s="21">
        <f>EXP(-LN(2)/35)*BP88+(1-EXP(-LN(2)/35))/(LN(2)/35)*BL89*BM89*VLOOKUP('Données projet'!$B$11,Paramètres!$A$1:$I$89,3,0)*0.475*44/12</f>
        <v>6.333092533580313</v>
      </c>
      <c r="BQ89" s="21">
        <f>EXP(-LN(2)/25)*BQ88+(1-EXP(-LN(2)/25))/(LN(2)/25)*Calculateur!BL89*Calculateur!BN89*VLOOKUP('Données projet'!$B$11,Paramètres!$A$1:$I$89,3,0)*0.475*44/12</f>
        <v>37.49791455830001</v>
      </c>
      <c r="BR89" s="21">
        <f>EXP(-LN(2)/2)*BR88+(1-EXP(-LN(2)/2))/(LN(2)/2)*BL89*BO89*VLOOKUP('Données projet'!$B$11,Paramètres!$A$1:$I$89,3,0)*0.475*44/12</f>
        <v>3.9027004715399207</v>
      </c>
      <c r="BS89" s="22">
        <f t="shared" si="63"/>
        <v>47.733707563420246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>
        <f>BY89*VLOOKUP('Données projet'!$B$12,Paramètres!$A$1:$I$89,3,0)*VLOOKUP('Données projet'!$B$12,Paramètres!$A$1:$I$89,5,0)</f>
        <v>0</v>
      </c>
      <c r="CA89" s="13" t="e">
        <f t="shared" si="93"/>
        <v>#NUM!</v>
      </c>
      <c r="CB89" s="20" t="e">
        <f t="shared" si="64"/>
        <v>#NUM!</v>
      </c>
      <c r="CC89" s="59" t="e">
        <f t="shared" si="65"/>
        <v>#NUM!</v>
      </c>
      <c r="CD89" s="59">
        <f ca="1">AVERAGE(OFFSET($CC$3,0,0,'Données projet'!$E$12+1,1))-AVERAGE(OFFSET($H$3,0,0,'Données projet'!$E$12+1,1))</f>
        <v>439.15394290667945</v>
      </c>
      <c r="CE89" s="59">
        <f t="shared" si="94"/>
        <v>423.56554025351068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44.792038081290912</v>
      </c>
      <c r="CL89" s="21">
        <f>EXP(-LN(2)/25)*CL88+(1-EXP(-LN(2)/25))/(LN(2)/25)*Calculateur!CG89*Calculateur!CI89*VLOOKUP('Données projet'!$B$12,Paramètres!$A$1:$I$89,3,0)*0.475*44/12</f>
        <v>42.171922532265945</v>
      </c>
      <c r="CM89" s="21">
        <f>EXP(-LN(2)/2)*CM88+(1-EXP(-LN(2)/2))/(LN(2)/2)*CG89*CJ89*VLOOKUP('Données projet'!$B$12,Paramètres!$A$1:$I$89,3,0)*0.475*44/12</f>
        <v>9.3325994937952625</v>
      </c>
      <c r="CN89" s="22">
        <f t="shared" si="66"/>
        <v>96.296560107352107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>
        <f>CT89*VLOOKUP('Données projet'!$B$13,Paramètres!$A$1:$I$89,3,0)*VLOOKUP('Données projet'!$B$13,Paramètres!$A$1:$I$89,5,0)</f>
        <v>0</v>
      </c>
      <c r="CV89" s="13" t="e">
        <f t="shared" si="95"/>
        <v>#NUM!</v>
      </c>
      <c r="CW89" s="20" t="e">
        <f t="shared" si="67"/>
        <v>#NUM!</v>
      </c>
      <c r="CX89" s="59" t="e">
        <f t="shared" si="68"/>
        <v>#NUM!</v>
      </c>
      <c r="CY89" s="59">
        <f ca="1">AVERAGE(OFFSET($CX$3,0,0,'Données projet'!$E$13+1,1))-AVERAGE(OFFSET($H$3,0,0,'Données projet'!$E$13+1,1))</f>
        <v>408.246209980743</v>
      </c>
      <c r="CZ89" s="59">
        <f t="shared" si="96"/>
        <v>394.10236303013903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>
        <f>EXP(-LN(2)/35)*DF88+(1-EXP(-LN(2)/35))/(LN(2)/35)*DB89*DC89*VLOOKUP('Données projet'!$B$13,Paramètres!$A$1:$I$89,3,0)*0.475*44/12</f>
        <v>50.683480375627688</v>
      </c>
      <c r="DG89" s="21">
        <f>EXP(-LN(2)/25)*DG88+(1-EXP(-LN(2)/25))/(LN(2)/25)*Calculateur!DB89*Calculateur!DD89*VLOOKUP('Données projet'!$B$13,Paramètres!$A$1:$I$89,3,0)*0.475*44/12</f>
        <v>47.718744214931498</v>
      </c>
      <c r="DH89" s="21">
        <f>EXP(-LN(2)/2)*DH88+(1-EXP(-LN(2)/2))/(LN(2)/2)*DB89*DE89*VLOOKUP('Données projet'!$B$13,Paramètres!$A$1:$I$89,3,0)*0.475*44/12</f>
        <v>8.5676323221727007</v>
      </c>
      <c r="DI89" s="22">
        <f t="shared" si="69"/>
        <v>106.96985691273188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>
        <f>DO89*VLOOKUP('Données projet'!$B$14,Paramètres!$A$1:$I$89,3,0)*VLOOKUP('Données projet'!$B$14,Paramètres!$A$1:$I$89,5,0)</f>
        <v>0</v>
      </c>
      <c r="DQ89" s="13" t="e">
        <f t="shared" si="97"/>
        <v>#NUM!</v>
      </c>
      <c r="DR89" s="20" t="e">
        <f t="shared" si="70"/>
        <v>#NUM!</v>
      </c>
      <c r="DS89" s="59" t="e">
        <f t="shared" si="71"/>
        <v>#NUM!</v>
      </c>
      <c r="DT89" s="59">
        <f ca="1">AVERAGE(OFFSET($DS$3,0,0,'Données projet'!$E$14+1,1))-AVERAGE(OFFSET($H$3,0,0,'Données projet'!$E$14+1,1))</f>
        <v>371.07993287480366</v>
      </c>
      <c r="DU89" s="59">
        <f t="shared" si="98"/>
        <v>358.67120540290637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>
        <f>EXP(-LN(2)/35)*EA88+(1-EXP(-LN(2)/35))/(LN(2)/35)*DW89*DX89*VLOOKUP('Données projet'!$B$14,Paramètres!$A$1:$I$89,3,0)*0.475*44/12</f>
        <v>36.714785312533529</v>
      </c>
      <c r="EB89" s="21">
        <f>EXP(-LN(2)/25)*EB88+(1-EXP(-LN(2)/25))/(LN(2)/25)*Calculateur!DW89*Calculateur!DY89*VLOOKUP('Données projet'!$B$14,Paramètres!$A$1:$I$89,3,0)*0.475*44/12</f>
        <v>34.567149616611417</v>
      </c>
      <c r="EC89" s="21">
        <f>EXP(-LN(2)/2)*EC88+(1-EXP(-LN(2)/2))/(LN(2)/2)*DW89*DZ89*VLOOKUP('Données projet'!$B$14,Paramètres!$A$1:$I$89,3,0)*0.475*44/12</f>
        <v>7.6496717162256251</v>
      </c>
      <c r="ED89" s="22">
        <f t="shared" si="72"/>
        <v>78.931606645370564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45">
      <c r="A90" s="10">
        <f t="shared" si="85"/>
        <v>87</v>
      </c>
      <c r="B90" s="73">
        <f>'Scénario référence'!$B$16*5+'Scénario référence'!$B$17*0+'Scénario référence'!$B$18*5</f>
        <v>5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1">
        <f t="shared" si="86"/>
        <v>0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18.333333333333332</v>
      </c>
      <c r="H90" s="67">
        <f t="shared" si="56"/>
        <v>183.33333333333334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9.1730000000000018</v>
      </c>
      <c r="N90" s="13">
        <f>IF('Données projet'!$A$36&gt;35,N89+M90-V89,IF(A90&lt;'Données projet'!$A$36,$K$205^A90,IF(A90='Données projet'!$A$36,'Données projet'!$B$36,N89+M90-V89)))</f>
        <v>315.91900000000049</v>
      </c>
      <c r="O90" s="13">
        <f>N90*VLOOKUP('Données projet'!$B$9,Paramètres!$A$1:$I$89,3,0)*VLOOKUP('Données projet'!$B$9,Paramètres!$A$1:$I$89,5,0)</f>
        <v>285.84351120000042</v>
      </c>
      <c r="P90" s="13">
        <f t="shared" si="87"/>
        <v>68.200422369637309</v>
      </c>
      <c r="Q90" s="20">
        <f t="shared" si="54"/>
        <v>616.62651763378562</v>
      </c>
      <c r="R90" s="59">
        <f t="shared" si="55"/>
        <v>889.96132020426046</v>
      </c>
      <c r="S90" s="59">
        <f ca="1">AVERAGE(OFFSET($R$3,0,0,'Données projet'!$E$9+1,1))-AVERAGE(OFFSET($H$3,0,0,'Données projet'!$E$9+1,1))</f>
        <v>681.47578137804555</v>
      </c>
      <c r="T90" s="59">
        <f t="shared" si="88"/>
        <v>300.88511065995885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20.765556454859233</v>
      </c>
      <c r="AA90" s="21">
        <f>EXP(-LN(2)/25)*AA89+(1-EXP(-LN(2)/25))/(LN(2)/25)*Calculateur!V90*Calculateur!X90*VLOOKUP('Données projet'!$B$9,Paramètres!$A$1:$I$89,3,0)*0.475*44/12</f>
        <v>27.217795558102928</v>
      </c>
      <c r="AB90" s="21">
        <f>EXP(-LN(2)/2)*AB89+(1-EXP(-LN(2)/2))/(LN(2)/2)*V90*Y90*VLOOKUP('Données projet'!$B$9,Paramètres!$A$1:$I$89,3,0)*0.475*44/12</f>
        <v>2.0648619145939637</v>
      </c>
      <c r="AC90" s="22">
        <f t="shared" si="57"/>
        <v>50.04821392755612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>
        <f>VLOOKUP(A90,'Données projet'!$A$61:$I$81,2,0)</f>
        <v>426.76</v>
      </c>
      <c r="AG90" s="12">
        <f>VLOOKUP(A90,'Données projet'!$A$61:$I$81,9,0)</f>
        <v>10.417499999999999</v>
      </c>
      <c r="AH90" s="12">
        <f t="array" ref="AH90">INDEX(AG:AG,MIN(IF(ISNUMBER(AG90:AG286),ROW(AG90:AG286),"")))</f>
        <v>10.417499999999999</v>
      </c>
      <c r="AI90" s="13">
        <f>IF('Données projet'!$A$62&gt;35,AI89+AH90-AQ89,IF(A90&lt;'Données projet'!$A$62,$AF$205^A90,IF(A90='Données projet'!$A$62,'Données projet'!$B$62,AI89+AH90-AQ89)))</f>
        <v>426.7600000000001</v>
      </c>
      <c r="AJ90" s="13">
        <f>AI90*VLOOKUP('Données projet'!$B$10,Paramètres!$A$1:$I$89,3,0)*VLOOKUP('Données projet'!$B$10,Paramètres!$A$1:$I$89,5,0)</f>
        <v>199.72368000000006</v>
      </c>
      <c r="AK90" s="13">
        <f t="shared" si="89"/>
        <v>49.68343606725896</v>
      </c>
      <c r="AL90" s="20">
        <f t="shared" si="58"/>
        <v>434.38406048380944</v>
      </c>
      <c r="AM90" s="59">
        <f t="shared" si="59"/>
        <v>707.71886305428427</v>
      </c>
      <c r="AN90" s="59">
        <f ca="1">AVERAGE(OFFSET($AM$3,0,0,'Données projet'!$E$10+1,1))-AVERAGE(OFFSET($H$3,0,0,'Données projet'!$E$10+1,1))</f>
        <v>325.45940224919184</v>
      </c>
      <c r="AO90" s="59">
        <f t="shared" si="90"/>
        <v>256.30046621034876</v>
      </c>
      <c r="AP90" s="15">
        <f>IF(ISNA(VLOOKUP(A90,'Données projet'!$A$61:$I$81,3,0)),0,VLOOKUP(A90,'Données projet'!$A$61:$I$81,3,0))</f>
        <v>4</v>
      </c>
      <c r="AQ90" s="15">
        <f>IF(ISNA(VLOOKUP(A90,'Données projet'!$A$61:$I$81,4,0)),0,VLOOKUP(A90,'Données projet'!$A$61:$I$81,4,0))</f>
        <v>92.519999999999982</v>
      </c>
      <c r="AR90" s="16">
        <f>IF(ISNA(VLOOKUP(A90,'Données projet'!$A$61:$I$81,5,0)),0%,VLOOKUP(A90,'Données projet'!$A$61:$I$81,5,0)*VLOOKUP('Données projet'!$B$10,Paramètres!$A$1:$I$89,7,0))</f>
        <v>0.33</v>
      </c>
      <c r="AS90" s="16">
        <f>IF(ISNA(VLOOKUP(A90,'Données projet'!$A$61:$I$81,6,0)),0%,VLOOKUP(A90,'Données projet'!$A$61:$I$81,6,0)*VLOOKUP('Données projet'!$B$10,Paramètres!$A$1:$I$89,7,0))</f>
        <v>0.11000000000000001</v>
      </c>
      <c r="AT90" s="16">
        <f>IF(ISNA(VLOOKUP(A90,'Données projet'!$A$61:$I$81,7,0)),0%,VLOOKUP(A90,'Données projet'!$A$61:$I$81,7,0))</f>
        <v>0.2</v>
      </c>
      <c r="AU90" s="21">
        <f>EXP(-LN(2)/35)*AU89+(1-EXP(-LN(2)/35))/(LN(2)/35)*AQ90*AR90*VLOOKUP('Données projet'!$B$10,Paramètres!$A$1:$I$89,3,0)*0.475*44/12</f>
        <v>53.074264891363939</v>
      </c>
      <c r="AV90" s="21">
        <f>EXP(-LN(2)/25)*AV89+(1-EXP(-LN(2)/25))/(LN(2)/25)*Calculateur!AQ90*Calculateur!AS90*VLOOKUP('Données projet'!$B$10,Paramètres!$A$1:$I$89,3,0)*0.475*44/12</f>
        <v>19.619495897625399</v>
      </c>
      <c r="AW90" s="21">
        <f>EXP(-LN(2)/2)*AW89+(1-EXP(-LN(2)/2))/(LN(2)/2)*AQ90*AT90*VLOOKUP('Données projet'!$B$10,Paramètres!$A$1:$I$89,3,0)*0.475*44/12</f>
        <v>9.9633117094222658</v>
      </c>
      <c r="AX90" s="21">
        <f t="shared" si="60"/>
        <v>82.657072498411608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6.7600000000000007</v>
      </c>
      <c r="BD90" s="12">
        <f>IF('Données projet'!$A$88&gt;35,BD89+BC90-BL89,IF(A90&lt;'Données projet'!$A$88,$BA$205^A90,IF(A90='Données projet'!$A$88,'Données projet'!$B$88,BD89+BC90-BL89)))</f>
        <v>198.48999999999995</v>
      </c>
      <c r="BE90" s="13">
        <f>BD90*VLOOKUP('Données projet'!$B$11,Paramètres!$A$1:$I$89,3,0)*VLOOKUP('Données projet'!$B$11,Paramètres!$A$1:$I$89,5,0)</f>
        <v>201.26885999999993</v>
      </c>
      <c r="BF90" s="13">
        <f t="shared" si="91"/>
        <v>50.022922026408203</v>
      </c>
      <c r="BG90" s="20">
        <f t="shared" si="61"/>
        <v>437.66652036266078</v>
      </c>
      <c r="BH90" s="59">
        <f t="shared" si="62"/>
        <v>711.00132293313561</v>
      </c>
      <c r="BI90" s="59">
        <f ca="1">AVERAGE(OFFSET($BH$3,0,0,'Données projet'!$E$11+1,1))-AVERAGE(OFFSET($H$3,0,0,'Données projet'!$E$11+1,1))</f>
        <v>580.02848304986492</v>
      </c>
      <c r="BJ90" s="59">
        <f t="shared" si="92"/>
        <v>281.68891895586728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6.2089044518018284</v>
      </c>
      <c r="BQ90" s="21">
        <f>EXP(-LN(2)/25)*BQ89+(1-EXP(-LN(2)/25))/(LN(2)/25)*Calculateur!BL90*Calculateur!BN90*VLOOKUP('Données projet'!$B$11,Paramètres!$A$1:$I$89,3,0)*0.475*44/12</f>
        <v>36.472532112773671</v>
      </c>
      <c r="BR90" s="21">
        <f>EXP(-LN(2)/2)*BR89+(1-EXP(-LN(2)/2))/(LN(2)/2)*BL90*BO90*VLOOKUP('Données projet'!$B$11,Paramètres!$A$1:$I$89,3,0)*0.475*44/12</f>
        <v>2.7596259683658149</v>
      </c>
      <c r="BS90" s="22">
        <f t="shared" si="63"/>
        <v>45.441062532941316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>
        <f>BY90*VLOOKUP('Données projet'!$B$12,Paramètres!$A$1:$I$89,3,0)*VLOOKUP('Données projet'!$B$12,Paramètres!$A$1:$I$89,5,0)</f>
        <v>0</v>
      </c>
      <c r="CA90" s="13" t="e">
        <f t="shared" si="93"/>
        <v>#NUM!</v>
      </c>
      <c r="CB90" s="20" t="e">
        <f t="shared" si="64"/>
        <v>#NUM!</v>
      </c>
      <c r="CC90" s="59" t="e">
        <f t="shared" si="65"/>
        <v>#NUM!</v>
      </c>
      <c r="CD90" s="59">
        <f ca="1">AVERAGE(OFFSET($CC$3,0,0,'Données projet'!$E$12+1,1))-AVERAGE(OFFSET($H$3,0,0,'Données projet'!$E$12+1,1))</f>
        <v>439.15394290667945</v>
      </c>
      <c r="CE90" s="59">
        <f t="shared" si="94"/>
        <v>423.56554025351068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43.913693534962356</v>
      </c>
      <c r="CL90" s="21">
        <f>EXP(-LN(2)/25)*CL89+(1-EXP(-LN(2)/25))/(LN(2)/25)*Calculateur!CG90*Calculateur!CI90*VLOOKUP('Données projet'!$B$12,Paramètres!$A$1:$I$89,3,0)*0.475*44/12</f>
        <v>41.018729092896109</v>
      </c>
      <c r="CM90" s="21">
        <f>EXP(-LN(2)/2)*CM89+(1-EXP(-LN(2)/2))/(LN(2)/2)*CG90*CJ90*VLOOKUP('Données projet'!$B$12,Paramètres!$A$1:$I$89,3,0)*0.475*44/12</f>
        <v>6.599144388160771</v>
      </c>
      <c r="CN90" s="22">
        <f t="shared" si="66"/>
        <v>91.531567016019238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>
        <f>CT90*VLOOKUP('Données projet'!$B$13,Paramètres!$A$1:$I$89,3,0)*VLOOKUP('Données projet'!$B$13,Paramètres!$A$1:$I$89,5,0)</f>
        <v>0</v>
      </c>
      <c r="CV90" s="13" t="e">
        <f t="shared" si="95"/>
        <v>#NUM!</v>
      </c>
      <c r="CW90" s="20" t="e">
        <f t="shared" si="67"/>
        <v>#NUM!</v>
      </c>
      <c r="CX90" s="59" t="e">
        <f t="shared" si="68"/>
        <v>#NUM!</v>
      </c>
      <c r="CY90" s="59">
        <f ca="1">AVERAGE(OFFSET($CX$3,0,0,'Données projet'!$E$13+1,1))-AVERAGE(OFFSET($H$3,0,0,'Données projet'!$E$13+1,1))</f>
        <v>408.246209980743</v>
      </c>
      <c r="CZ90" s="59">
        <f t="shared" si="96"/>
        <v>394.10236303013903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>
        <f>EXP(-LN(2)/35)*DF89+(1-EXP(-LN(2)/35))/(LN(2)/35)*DB90*DC90*VLOOKUP('Données projet'!$B$13,Paramètres!$A$1:$I$89,3,0)*0.475*44/12</f>
        <v>49.689608239332166</v>
      </c>
      <c r="DG90" s="21">
        <f>EXP(-LN(2)/25)*DG89+(1-EXP(-LN(2)/25))/(LN(2)/25)*Calculateur!DB90*Calculateur!DD90*VLOOKUP('Données projet'!$B$13,Paramètres!$A$1:$I$89,3,0)*0.475*44/12</f>
        <v>46.413872644954502</v>
      </c>
      <c r="DH90" s="21">
        <f>EXP(-LN(2)/2)*DH89+(1-EXP(-LN(2)/2))/(LN(2)/2)*DB90*DE90*VLOOKUP('Données projet'!$B$13,Paramètres!$A$1:$I$89,3,0)*0.475*44/12</f>
        <v>6.0582309137213644</v>
      </c>
      <c r="DI90" s="22">
        <f t="shared" si="69"/>
        <v>102.16171179800803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>
        <f>DO90*VLOOKUP('Données projet'!$B$14,Paramètres!$A$1:$I$89,3,0)*VLOOKUP('Données projet'!$B$14,Paramètres!$A$1:$I$89,5,0)</f>
        <v>0</v>
      </c>
      <c r="DQ90" s="13" t="e">
        <f t="shared" si="97"/>
        <v>#NUM!</v>
      </c>
      <c r="DR90" s="20" t="e">
        <f t="shared" si="70"/>
        <v>#NUM!</v>
      </c>
      <c r="DS90" s="59" t="e">
        <f t="shared" si="71"/>
        <v>#NUM!</v>
      </c>
      <c r="DT90" s="59">
        <f ca="1">AVERAGE(OFFSET($DS$3,0,0,'Données projet'!$E$14+1,1))-AVERAGE(OFFSET($H$3,0,0,'Données projet'!$E$14+1,1))</f>
        <v>371.07993287480366</v>
      </c>
      <c r="DU90" s="59">
        <f t="shared" si="98"/>
        <v>358.67120540290637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>
        <f>EXP(-LN(2)/35)*EA89+(1-EXP(-LN(2)/35))/(LN(2)/35)*DW90*DX90*VLOOKUP('Données projet'!$B$14,Paramètres!$A$1:$I$89,3,0)*0.475*44/12</f>
        <v>35.994830766362583</v>
      </c>
      <c r="EB90" s="21">
        <f>EXP(-LN(2)/25)*EB89+(1-EXP(-LN(2)/25))/(LN(2)/25)*Calculateur!DW90*Calculateur!DY90*VLOOKUP('Données projet'!$B$14,Paramètres!$A$1:$I$89,3,0)*0.475*44/12</f>
        <v>33.621909092537784</v>
      </c>
      <c r="EC90" s="21">
        <f>EXP(-LN(2)/2)*EC89+(1-EXP(-LN(2)/2))/(LN(2)/2)*DW90*DZ90*VLOOKUP('Données projet'!$B$14,Paramètres!$A$1:$I$89,3,0)*0.475*44/12</f>
        <v>5.4091347443940752</v>
      </c>
      <c r="ED90" s="22">
        <f t="shared" si="72"/>
        <v>75.02587460329444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45">
      <c r="A91" s="10">
        <f t="shared" si="85"/>
        <v>88</v>
      </c>
      <c r="B91" s="73">
        <f>'Scénario référence'!$B$16*5+'Scénario référence'!$B$17*0+'Scénario référence'!$B$18*5</f>
        <v>5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1">
        <f t="shared" si="86"/>
        <v>0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18.333333333333332</v>
      </c>
      <c r="H91" s="67">
        <f t="shared" si="56"/>
        <v>183.33333333333334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9.1730000000000018</v>
      </c>
      <c r="N91" s="13">
        <f>IF('Données projet'!$A$36&gt;35,N90+M91-V90,IF(A91&lt;'Données projet'!$A$36,$K$205^A91,IF(A91='Données projet'!$A$36,'Données projet'!$B$36,N90+M91-V90)))</f>
        <v>325.0920000000005</v>
      </c>
      <c r="O91" s="13">
        <f>N91*VLOOKUP('Données projet'!$B$9,Paramètres!$A$1:$I$89,3,0)*VLOOKUP('Données projet'!$B$9,Paramètres!$A$1:$I$89,5,0)</f>
        <v>294.14324160000047</v>
      </c>
      <c r="P91" s="13">
        <f t="shared" si="87"/>
        <v>69.947256671789191</v>
      </c>
      <c r="Q91" s="20">
        <f t="shared" si="54"/>
        <v>634.12428449003357</v>
      </c>
      <c r="R91" s="59">
        <f t="shared" si="55"/>
        <v>907.80601685922727</v>
      </c>
      <c r="S91" s="59">
        <f ca="1">AVERAGE(OFFSET($R$3,0,0,'Données projet'!$E$9+1,1))-AVERAGE(OFFSET($H$3,0,0,'Données projet'!$E$9+1,1))</f>
        <v>681.47578137804555</v>
      </c>
      <c r="T91" s="59">
        <f t="shared" si="88"/>
        <v>300.88511065995885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20.358356558518242</v>
      </c>
      <c r="AA91" s="21">
        <f>EXP(-LN(2)/25)*AA90+(1-EXP(-LN(2)/25))/(LN(2)/25)*Calculateur!V91*Calculateur!X91*VLOOKUP('Données projet'!$B$9,Paramètres!$A$1:$I$89,3,0)*0.475*44/12</f>
        <v>26.473523507244941</v>
      </c>
      <c r="AB91" s="21">
        <f>EXP(-LN(2)/2)*AB90+(1-EXP(-LN(2)/2))/(LN(2)/2)*V91*Y91*VLOOKUP('Données projet'!$B$9,Paramètres!$A$1:$I$89,3,0)*0.475*44/12</f>
        <v>1.4600778620232295</v>
      </c>
      <c r="AC91" s="22">
        <f t="shared" si="57"/>
        <v>48.291957927786413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9.4258333333333351</v>
      </c>
      <c r="AI91" s="13">
        <f>IF('Données projet'!$A$62&gt;35,AI90+AH91-AQ90,IF(A91&lt;'Données projet'!$A$62,$AF$205^A91,IF(A91='Données projet'!$A$62,'Données projet'!$B$62,AI90+AH91-AQ90)))</f>
        <v>343.66583333333347</v>
      </c>
      <c r="AJ91" s="13">
        <f>AI91*VLOOKUP('Données projet'!$B$10,Paramètres!$A$1:$I$89,3,0)*VLOOKUP('Données projet'!$B$10,Paramètres!$A$1:$I$89,5,0)</f>
        <v>160.83561000000006</v>
      </c>
      <c r="AK91" s="13">
        <f t="shared" si="89"/>
        <v>41.030932398377978</v>
      </c>
      <c r="AL91" s="20">
        <f t="shared" si="58"/>
        <v>351.58422801050841</v>
      </c>
      <c r="AM91" s="59">
        <f t="shared" si="59"/>
        <v>625.26596037970216</v>
      </c>
      <c r="AN91" s="59">
        <f ca="1">AVERAGE(OFFSET($AM$3,0,0,'Données projet'!$E$10+1,1))-AVERAGE(OFFSET($H$3,0,0,'Données projet'!$E$10+1,1))</f>
        <v>325.45940224919184</v>
      </c>
      <c r="AO91" s="59">
        <f t="shared" si="90"/>
        <v>256.30046621034876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52.033510928949397</v>
      </c>
      <c r="AV91" s="21">
        <f>EXP(-LN(2)/25)*AV90+(1-EXP(-LN(2)/25))/(LN(2)/25)*Calculateur!AQ91*Calculateur!AS91*VLOOKUP('Données projet'!$B$10,Paramètres!$A$1:$I$89,3,0)*0.475*44/12</f>
        <v>19.082999750560383</v>
      </c>
      <c r="AW91" s="21">
        <f>EXP(-LN(2)/2)*AW90+(1-EXP(-LN(2)/2))/(LN(2)/2)*AQ91*AT91*VLOOKUP('Données projet'!$B$10,Paramètres!$A$1:$I$89,3,0)*0.475*44/12</f>
        <v>7.0451252728078178</v>
      </c>
      <c r="AX91" s="21">
        <f t="shared" si="60"/>
        <v>78.16163595231761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6.7600000000000007</v>
      </c>
      <c r="BD91" s="12">
        <f>IF('Données projet'!$A$88&gt;35,BD90+BC91-BL90,IF(A91&lt;'Données projet'!$A$88,$BA$205^A91,IF(A91='Données projet'!$A$88,'Données projet'!$B$88,BD90+BC91-BL90)))</f>
        <v>205.24999999999994</v>
      </c>
      <c r="BE91" s="13">
        <f>BD91*VLOOKUP('Données projet'!$B$11,Paramètres!$A$1:$I$89,3,0)*VLOOKUP('Données projet'!$B$11,Paramètres!$A$1:$I$89,5,0)</f>
        <v>208.12349999999995</v>
      </c>
      <c r="BF91" s="13">
        <f t="shared" si="91"/>
        <v>51.525309267242157</v>
      </c>
      <c r="BG91" s="20">
        <f t="shared" si="61"/>
        <v>452.22167614044662</v>
      </c>
      <c r="BH91" s="59">
        <f t="shared" si="62"/>
        <v>725.90340850964026</v>
      </c>
      <c r="BI91" s="59">
        <f ca="1">AVERAGE(OFFSET($BH$3,0,0,'Données projet'!$E$11+1,1))-AVERAGE(OFFSET($H$3,0,0,'Données projet'!$E$11+1,1))</f>
        <v>580.02848304986492</v>
      </c>
      <c r="BJ91" s="59">
        <f t="shared" si="92"/>
        <v>281.68891895586728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6.0871516225597695</v>
      </c>
      <c r="BQ91" s="21">
        <f>EXP(-LN(2)/25)*BQ90+(1-EXP(-LN(2)/25))/(LN(2)/25)*Calculateur!BL91*Calculateur!BN91*VLOOKUP('Données projet'!$B$11,Paramètres!$A$1:$I$89,3,0)*0.475*44/12</f>
        <v>35.475188804142768</v>
      </c>
      <c r="BR91" s="21">
        <f>EXP(-LN(2)/2)*BR90+(1-EXP(-LN(2)/2))/(LN(2)/2)*BL91*BO91*VLOOKUP('Données projet'!$B$11,Paramètres!$A$1:$I$89,3,0)*0.475*44/12</f>
        <v>1.9513502357699608</v>
      </c>
      <c r="BS91" s="22">
        <f t="shared" si="63"/>
        <v>43.513690662472492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>
        <f>BY91*VLOOKUP('Données projet'!$B$12,Paramètres!$A$1:$I$89,3,0)*VLOOKUP('Données projet'!$B$12,Paramètres!$A$1:$I$89,5,0)</f>
        <v>0</v>
      </c>
      <c r="CA91" s="13" t="e">
        <f t="shared" si="93"/>
        <v>#NUM!</v>
      </c>
      <c r="CB91" s="20" t="e">
        <f t="shared" si="64"/>
        <v>#NUM!</v>
      </c>
      <c r="CC91" s="59" t="e">
        <f t="shared" si="65"/>
        <v>#NUM!</v>
      </c>
      <c r="CD91" s="59">
        <f ca="1">AVERAGE(OFFSET($CC$3,0,0,'Données projet'!$E$12+1,1))-AVERAGE(OFFSET($H$3,0,0,'Données projet'!$E$12+1,1))</f>
        <v>439.15394290667945</v>
      </c>
      <c r="CE91" s="59">
        <f t="shared" si="94"/>
        <v>423.56554025351068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43.052572789450032</v>
      </c>
      <c r="CL91" s="21">
        <f>EXP(-LN(2)/25)*CL90+(1-EXP(-LN(2)/25))/(LN(2)/25)*Calculateur!CG91*Calculateur!CI91*VLOOKUP('Données projet'!$B$12,Paramètres!$A$1:$I$89,3,0)*0.475*44/12</f>
        <v>39.897069788769649</v>
      </c>
      <c r="CM91" s="21">
        <f>EXP(-LN(2)/2)*CM90+(1-EXP(-LN(2)/2))/(LN(2)/2)*CG91*CJ91*VLOOKUP('Données projet'!$B$12,Paramètres!$A$1:$I$89,3,0)*0.475*44/12</f>
        <v>4.6662997468976313</v>
      </c>
      <c r="CN91" s="22">
        <f t="shared" si="66"/>
        <v>87.615942325117317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>
        <f>CT91*VLOOKUP('Données projet'!$B$13,Paramètres!$A$1:$I$89,3,0)*VLOOKUP('Données projet'!$B$13,Paramètres!$A$1:$I$89,5,0)</f>
        <v>0</v>
      </c>
      <c r="CV91" s="13" t="e">
        <f t="shared" si="95"/>
        <v>#NUM!</v>
      </c>
      <c r="CW91" s="20" t="e">
        <f t="shared" si="67"/>
        <v>#NUM!</v>
      </c>
      <c r="CX91" s="59" t="e">
        <f t="shared" si="68"/>
        <v>#NUM!</v>
      </c>
      <c r="CY91" s="59">
        <f ca="1">AVERAGE(OFFSET($CX$3,0,0,'Données projet'!$E$13+1,1))-AVERAGE(OFFSET($H$3,0,0,'Données projet'!$E$13+1,1))</f>
        <v>408.246209980743</v>
      </c>
      <c r="CZ91" s="59">
        <f t="shared" si="96"/>
        <v>394.10236303013903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>
        <f>EXP(-LN(2)/35)*DF90+(1-EXP(-LN(2)/35))/(LN(2)/35)*DB91*DC91*VLOOKUP('Données projet'!$B$13,Paramètres!$A$1:$I$89,3,0)*0.475*44/12</f>
        <v>48.715225329427255</v>
      </c>
      <c r="DG91" s="21">
        <f>EXP(-LN(2)/25)*DG90+(1-EXP(-LN(2)/25))/(LN(2)/25)*Calculateur!DB91*Calculateur!DD91*VLOOKUP('Données projet'!$B$13,Paramètres!$A$1:$I$89,3,0)*0.475*44/12</f>
        <v>45.144682856678742</v>
      </c>
      <c r="DH91" s="21">
        <f>EXP(-LN(2)/2)*DH90+(1-EXP(-LN(2)/2))/(LN(2)/2)*DB91*DE91*VLOOKUP('Données projet'!$B$13,Paramètres!$A$1:$I$89,3,0)*0.475*44/12</f>
        <v>4.2838161610863512</v>
      </c>
      <c r="DI91" s="22">
        <f t="shared" si="69"/>
        <v>98.143724347192347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>
        <f>DO91*VLOOKUP('Données projet'!$B$14,Paramètres!$A$1:$I$89,3,0)*VLOOKUP('Données projet'!$B$14,Paramètres!$A$1:$I$89,5,0)</f>
        <v>0</v>
      </c>
      <c r="DQ91" s="13" t="e">
        <f t="shared" si="97"/>
        <v>#NUM!</v>
      </c>
      <c r="DR91" s="20" t="e">
        <f t="shared" si="70"/>
        <v>#NUM!</v>
      </c>
      <c r="DS91" s="59" t="e">
        <f t="shared" si="71"/>
        <v>#NUM!</v>
      </c>
      <c r="DT91" s="59">
        <f ca="1">AVERAGE(OFFSET($DS$3,0,0,'Données projet'!$E$14+1,1))-AVERAGE(OFFSET($H$3,0,0,'Données projet'!$E$14+1,1))</f>
        <v>371.07993287480366</v>
      </c>
      <c r="DU91" s="59">
        <f t="shared" si="98"/>
        <v>358.67120540290637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>
        <f>EXP(-LN(2)/35)*EA90+(1-EXP(-LN(2)/35))/(LN(2)/35)*DW91*DX91*VLOOKUP('Données projet'!$B$14,Paramètres!$A$1:$I$89,3,0)*0.475*44/12</f>
        <v>35.288994089713135</v>
      </c>
      <c r="EB91" s="21">
        <f>EXP(-LN(2)/25)*EB90+(1-EXP(-LN(2)/25))/(LN(2)/25)*Calculateur!DW91*Calculateur!DY91*VLOOKUP('Données projet'!$B$14,Paramètres!$A$1:$I$89,3,0)*0.475*44/12</f>
        <v>32.702516220302982</v>
      </c>
      <c r="EC91" s="21">
        <f>EXP(-LN(2)/2)*EC90+(1-EXP(-LN(2)/2))/(LN(2)/2)*DW91*DZ91*VLOOKUP('Données projet'!$B$14,Paramètres!$A$1:$I$89,3,0)*0.475*44/12</f>
        <v>3.8248358581128135</v>
      </c>
      <c r="ED91" s="22">
        <f t="shared" si="72"/>
        <v>71.816346168128931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45">
      <c r="A92" s="10">
        <f t="shared" si="85"/>
        <v>89</v>
      </c>
      <c r="B92" s="73">
        <f>'Scénario référence'!$B$16*5+'Scénario référence'!$B$17*0+'Scénario référence'!$B$18*5</f>
        <v>5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1">
        <f t="shared" si="86"/>
        <v>0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18.333333333333332</v>
      </c>
      <c r="H92" s="67">
        <f t="shared" si="56"/>
        <v>183.33333333333334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9.1730000000000018</v>
      </c>
      <c r="N92" s="13">
        <f>IF('Données projet'!$A$36&gt;35,N91+M92-V91,IF(A92&lt;'Données projet'!$A$36,$K$205^A92,IF(A92='Données projet'!$A$36,'Données projet'!$B$36,N91+M92-V91)))</f>
        <v>334.2650000000005</v>
      </c>
      <c r="O92" s="13">
        <f>N92*VLOOKUP('Données projet'!$B$9,Paramètres!$A$1:$I$89,3,0)*VLOOKUP('Données projet'!$B$9,Paramètres!$A$1:$I$89,5,0)</f>
        <v>302.44297200000045</v>
      </c>
      <c r="P92" s="13">
        <f t="shared" si="87"/>
        <v>71.688362252626035</v>
      </c>
      <c r="Q92" s="20">
        <f t="shared" si="54"/>
        <v>651.61207382332452</v>
      </c>
      <c r="R92" s="59">
        <f t="shared" si="55"/>
        <v>925.63471753484805</v>
      </c>
      <c r="S92" s="59">
        <f ca="1">AVERAGE(OFFSET($R$3,0,0,'Données projet'!$E$9+1,1))-AVERAGE(OFFSET($H$3,0,0,'Données projet'!$E$9+1,1))</f>
        <v>681.47578137804555</v>
      </c>
      <c r="T92" s="59">
        <f t="shared" si="88"/>
        <v>300.88511065995885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19.959141603777088</v>
      </c>
      <c r="AA92" s="21">
        <f>EXP(-LN(2)/25)*AA91+(1-EXP(-LN(2)/25))/(LN(2)/25)*Calculateur!V92*Calculateur!X92*VLOOKUP('Données projet'!$B$9,Paramètres!$A$1:$I$89,3,0)*0.475*44/12</f>
        <v>25.749603614757234</v>
      </c>
      <c r="AB92" s="21">
        <f>EXP(-LN(2)/2)*AB91+(1-EXP(-LN(2)/2))/(LN(2)/2)*V92*Y92*VLOOKUP('Données projet'!$B$9,Paramètres!$A$1:$I$89,3,0)*0.475*44/12</f>
        <v>1.0324309572969819</v>
      </c>
      <c r="AC92" s="22">
        <f t="shared" si="57"/>
        <v>46.741176175831299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9.4258333333333351</v>
      </c>
      <c r="AI92" s="13">
        <f>IF('Données projet'!$A$62&gt;35,AI91+AH92-AQ91,IF(A92&lt;'Données projet'!$A$62,$AF$205^A92,IF(A92='Données projet'!$A$62,'Données projet'!$B$62,AI91+AH92-AQ91)))</f>
        <v>353.09166666666681</v>
      </c>
      <c r="AJ92" s="13">
        <f>AI92*VLOOKUP('Données projet'!$B$10,Paramètres!$A$1:$I$89,3,0)*VLOOKUP('Données projet'!$B$10,Paramètres!$A$1:$I$89,5,0)</f>
        <v>165.24690000000007</v>
      </c>
      <c r="AK92" s="13">
        <f t="shared" si="89"/>
        <v>42.023736751793869</v>
      </c>
      <c r="AL92" s="20">
        <f t="shared" si="58"/>
        <v>360.99635900937443</v>
      </c>
      <c r="AM92" s="59">
        <f t="shared" si="59"/>
        <v>635.01900272089802</v>
      </c>
      <c r="AN92" s="59">
        <f ca="1">AVERAGE(OFFSET($AM$3,0,0,'Données projet'!$E$10+1,1))-AVERAGE(OFFSET($H$3,0,0,'Données projet'!$E$10+1,1))</f>
        <v>325.45940224919184</v>
      </c>
      <c r="AO92" s="59">
        <f t="shared" si="90"/>
        <v>256.30046621034876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51.013165516940568</v>
      </c>
      <c r="AV92" s="21">
        <f>EXP(-LN(2)/25)*AV91+(1-EXP(-LN(2)/25))/(LN(2)/25)*Calculateur!AQ92*Calculateur!AS92*VLOOKUP('Données projet'!$B$10,Paramètres!$A$1:$I$89,3,0)*0.475*44/12</f>
        <v>18.561174118849966</v>
      </c>
      <c r="AW92" s="21">
        <f>EXP(-LN(2)/2)*AW91+(1-EXP(-LN(2)/2))/(LN(2)/2)*AQ92*AT92*VLOOKUP('Données projet'!$B$10,Paramètres!$A$1:$I$89,3,0)*0.475*44/12</f>
        <v>4.9816558547111338</v>
      </c>
      <c r="AX92" s="21">
        <f t="shared" si="60"/>
        <v>74.555995490501672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6.7600000000000007</v>
      </c>
      <c r="BD92" s="12">
        <f>IF('Données projet'!$A$88&gt;35,BD91+BC92-BL91,IF(A92&lt;'Données projet'!$A$88,$BA$205^A92,IF(A92='Données projet'!$A$88,'Données projet'!$B$88,BD91+BC92-BL91)))</f>
        <v>212.00999999999993</v>
      </c>
      <c r="BE92" s="13">
        <f>BD92*VLOOKUP('Données projet'!$B$11,Paramètres!$A$1:$I$89,3,0)*VLOOKUP('Données projet'!$B$11,Paramètres!$A$1:$I$89,5,0)</f>
        <v>214.97813999999997</v>
      </c>
      <c r="BF92" s="13">
        <f t="shared" si="91"/>
        <v>53.021946755647264</v>
      </c>
      <c r="BG92" s="20">
        <f t="shared" si="61"/>
        <v>466.76681776608552</v>
      </c>
      <c r="BH92" s="59">
        <f t="shared" si="62"/>
        <v>740.78946147760917</v>
      </c>
      <c r="BI92" s="59">
        <f ca="1">AVERAGE(OFFSET($BH$3,0,0,'Données projet'!$E$11+1,1))-AVERAGE(OFFSET($H$3,0,0,'Données projet'!$E$11+1,1))</f>
        <v>580.02848304986492</v>
      </c>
      <c r="BJ92" s="59">
        <f t="shared" si="92"/>
        <v>281.68891895586728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5.9677862920372542</v>
      </c>
      <c r="BQ92" s="21">
        <f>EXP(-LN(2)/25)*BQ91+(1-EXP(-LN(2)/25))/(LN(2)/25)*Calculateur!BL92*Calculateur!BN92*VLOOKUP('Données projet'!$B$11,Paramètres!$A$1:$I$89,3,0)*0.475*44/12</f>
        <v>34.505117900734383</v>
      </c>
      <c r="BR92" s="21">
        <f>EXP(-LN(2)/2)*BR91+(1-EXP(-LN(2)/2))/(LN(2)/2)*BL92*BO92*VLOOKUP('Données projet'!$B$11,Paramètres!$A$1:$I$89,3,0)*0.475*44/12</f>
        <v>1.3798129841829077</v>
      </c>
      <c r="BS92" s="22">
        <f t="shared" si="63"/>
        <v>41.852717176954542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>
        <f>BY92*VLOOKUP('Données projet'!$B$12,Paramètres!$A$1:$I$89,3,0)*VLOOKUP('Données projet'!$B$12,Paramètres!$A$1:$I$89,5,0)</f>
        <v>0</v>
      </c>
      <c r="CA92" s="13" t="e">
        <f t="shared" si="93"/>
        <v>#NUM!</v>
      </c>
      <c r="CB92" s="20" t="e">
        <f t="shared" si="64"/>
        <v>#NUM!</v>
      </c>
      <c r="CC92" s="59" t="e">
        <f t="shared" si="65"/>
        <v>#NUM!</v>
      </c>
      <c r="CD92" s="59">
        <f ca="1">AVERAGE(OFFSET($CC$3,0,0,'Données projet'!$E$12+1,1))-AVERAGE(OFFSET($H$3,0,0,'Données projet'!$E$12+1,1))</f>
        <v>439.15394290667945</v>
      </c>
      <c r="CE92" s="59">
        <f t="shared" si="94"/>
        <v>423.56554025351068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42.208338096525409</v>
      </c>
      <c r="CL92" s="21">
        <f>EXP(-LN(2)/25)*CL91+(1-EXP(-LN(2)/25))/(LN(2)/25)*Calculateur!CG92*Calculateur!CI92*VLOOKUP('Données projet'!$B$12,Paramètres!$A$1:$I$89,3,0)*0.475*44/12</f>
        <v>38.806082317300032</v>
      </c>
      <c r="CM92" s="21">
        <f>EXP(-LN(2)/2)*CM91+(1-EXP(-LN(2)/2))/(LN(2)/2)*CG92*CJ92*VLOOKUP('Données projet'!$B$12,Paramètres!$A$1:$I$89,3,0)*0.475*44/12</f>
        <v>3.2995721940803855</v>
      </c>
      <c r="CN92" s="22">
        <f t="shared" si="66"/>
        <v>84.313992607905817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>
        <f>CT92*VLOOKUP('Données projet'!$B$13,Paramètres!$A$1:$I$89,3,0)*VLOOKUP('Données projet'!$B$13,Paramètres!$A$1:$I$89,5,0)</f>
        <v>0</v>
      </c>
      <c r="CV92" s="13" t="e">
        <f t="shared" si="95"/>
        <v>#NUM!</v>
      </c>
      <c r="CW92" s="20" t="e">
        <f t="shared" si="67"/>
        <v>#NUM!</v>
      </c>
      <c r="CX92" s="59" t="e">
        <f t="shared" si="68"/>
        <v>#NUM!</v>
      </c>
      <c r="CY92" s="59">
        <f ca="1">AVERAGE(OFFSET($CX$3,0,0,'Données projet'!$E$13+1,1))-AVERAGE(OFFSET($H$3,0,0,'Données projet'!$E$13+1,1))</f>
        <v>408.246209980743</v>
      </c>
      <c r="CZ92" s="59">
        <f t="shared" si="96"/>
        <v>394.10236303013903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>
        <f>EXP(-LN(2)/35)*DF91+(1-EXP(-LN(2)/35))/(LN(2)/35)*DB92*DC92*VLOOKUP('Données projet'!$B$13,Paramètres!$A$1:$I$89,3,0)*0.475*44/12</f>
        <v>47.759949474070687</v>
      </c>
      <c r="DG92" s="21">
        <f>EXP(-LN(2)/25)*DG91+(1-EXP(-LN(2)/25))/(LN(2)/25)*Calculateur!DB92*Calculateur!DD92*VLOOKUP('Données projet'!$B$13,Paramètres!$A$1:$I$89,3,0)*0.475*44/12</f>
        <v>43.91019912990717</v>
      </c>
      <c r="DH92" s="21">
        <f>EXP(-LN(2)/2)*DH91+(1-EXP(-LN(2)/2))/(LN(2)/2)*DB92*DE92*VLOOKUP('Données projet'!$B$13,Paramètres!$A$1:$I$89,3,0)*0.475*44/12</f>
        <v>3.0291154568606826</v>
      </c>
      <c r="DI92" s="22">
        <f t="shared" si="69"/>
        <v>94.69926406083853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>
        <f>DO92*VLOOKUP('Données projet'!$B$14,Paramètres!$A$1:$I$89,3,0)*VLOOKUP('Données projet'!$B$14,Paramètres!$A$1:$I$89,5,0)</f>
        <v>0</v>
      </c>
      <c r="DQ92" s="13" t="e">
        <f t="shared" si="97"/>
        <v>#NUM!</v>
      </c>
      <c r="DR92" s="20" t="e">
        <f t="shared" si="70"/>
        <v>#NUM!</v>
      </c>
      <c r="DS92" s="59" t="e">
        <f t="shared" si="71"/>
        <v>#NUM!</v>
      </c>
      <c r="DT92" s="59">
        <f ca="1">AVERAGE(OFFSET($DS$3,0,0,'Données projet'!$E$14+1,1))-AVERAGE(OFFSET($H$3,0,0,'Données projet'!$E$14+1,1))</f>
        <v>371.07993287480366</v>
      </c>
      <c r="DU92" s="59">
        <f t="shared" si="98"/>
        <v>358.67120540290637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>
        <f>EXP(-LN(2)/35)*EA91+(1-EXP(-LN(2)/35))/(LN(2)/35)*DW92*DX92*VLOOKUP('Données projet'!$B$14,Paramètres!$A$1:$I$89,3,0)*0.475*44/12</f>
        <v>34.596998439774922</v>
      </c>
      <c r="EB92" s="21">
        <f>EXP(-LN(2)/25)*EB91+(1-EXP(-LN(2)/25))/(LN(2)/25)*Calculateur!DW92*Calculateur!DY92*VLOOKUP('Données projet'!$B$14,Paramètres!$A$1:$I$89,3,0)*0.475*44/12</f>
        <v>31.808264194508212</v>
      </c>
      <c r="EC92" s="21">
        <f>EXP(-LN(2)/2)*EC91+(1-EXP(-LN(2)/2))/(LN(2)/2)*DW92*DZ92*VLOOKUP('Données projet'!$B$14,Paramètres!$A$1:$I$89,3,0)*0.475*44/12</f>
        <v>2.704567372197038</v>
      </c>
      <c r="ED92" s="22">
        <f t="shared" si="72"/>
        <v>69.109830006480166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45">
      <c r="A93" s="10">
        <f t="shared" si="85"/>
        <v>90</v>
      </c>
      <c r="B93" s="73">
        <f>'Scénario référence'!$B$16*5+'Scénario référence'!$B$17*0+'Scénario référence'!$B$18*5</f>
        <v>5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1">
        <f t="shared" si="86"/>
        <v>0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18.333333333333332</v>
      </c>
      <c r="H93" s="67">
        <f t="shared" si="56"/>
        <v>183.33333333333334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9.1730000000000018</v>
      </c>
      <c r="N93" s="13">
        <f>IF('Données projet'!$A$36&gt;35,N92+M93-V92,IF(A93&lt;'Données projet'!$A$36,$K$205^A93,IF(A93='Données projet'!$A$36,'Données projet'!$B$36,N92+M93-V92)))</f>
        <v>343.4380000000005</v>
      </c>
      <c r="O93" s="13">
        <f>N93*VLOOKUP('Données projet'!$B$9,Paramètres!$A$1:$I$89,3,0)*VLOOKUP('Données projet'!$B$9,Paramètres!$A$1:$I$89,5,0)</f>
        <v>310.74270240000044</v>
      </c>
      <c r="P93" s="13">
        <f t="shared" si="87"/>
        <v>73.423914385133031</v>
      </c>
      <c r="Q93" s="20">
        <f t="shared" si="54"/>
        <v>669.09019090077402</v>
      </c>
      <c r="R93" s="59">
        <f t="shared" si="55"/>
        <v>943.44783190500175</v>
      </c>
      <c r="S93" s="59">
        <f ca="1">AVERAGE(OFFSET($R$3,0,0,'Données projet'!$E$9+1,1))-AVERAGE(OFFSET($H$3,0,0,'Données projet'!$E$9+1,1))</f>
        <v>681.47578137804555</v>
      </c>
      <c r="T93" s="59">
        <f t="shared" si="88"/>
        <v>300.88511065995885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19.567755010801328</v>
      </c>
      <c r="AA93" s="21">
        <f>EXP(-LN(2)/25)*AA92+(1-EXP(-LN(2)/25))/(LN(2)/25)*Calculateur!V93*Calculateur!X93*VLOOKUP('Données projet'!$B$9,Paramètres!$A$1:$I$89,3,0)*0.475*44/12</f>
        <v>25.045479349798896</v>
      </c>
      <c r="AB93" s="21">
        <f>EXP(-LN(2)/2)*AB92+(1-EXP(-LN(2)/2))/(LN(2)/2)*V93*Y93*VLOOKUP('Données projet'!$B$9,Paramètres!$A$1:$I$89,3,0)*0.475*44/12</f>
        <v>0.73003893101161477</v>
      </c>
      <c r="AC93" s="22">
        <f t="shared" si="57"/>
        <v>45.343273291611837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9.4258333333333351</v>
      </c>
      <c r="AI93" s="13">
        <f>IF('Données projet'!$A$62&gt;35,AI92+AH93-AQ92,IF(A93&lt;'Données projet'!$A$62,$AF$205^A93,IF(A93='Données projet'!$A$62,'Données projet'!$B$62,AI92+AH93-AQ92)))</f>
        <v>362.51750000000015</v>
      </c>
      <c r="AJ93" s="13">
        <f>AI93*VLOOKUP('Données projet'!$B$10,Paramètres!$A$1:$I$89,3,0)*VLOOKUP('Données projet'!$B$10,Paramètres!$A$1:$I$89,5,0)</f>
        <v>169.65819000000005</v>
      </c>
      <c r="AK93" s="13">
        <f t="shared" si="89"/>
        <v>43.013460550801888</v>
      </c>
      <c r="AL93" s="20">
        <f t="shared" si="58"/>
        <v>370.40312470931332</v>
      </c>
      <c r="AM93" s="59">
        <f t="shared" si="59"/>
        <v>644.76076571354099</v>
      </c>
      <c r="AN93" s="59">
        <f ca="1">AVERAGE(OFFSET($AM$3,0,0,'Données projet'!$E$10+1,1))-AVERAGE(OFFSET($H$3,0,0,'Données projet'!$E$10+1,1))</f>
        <v>325.45940224919184</v>
      </c>
      <c r="AO93" s="59">
        <f t="shared" si="90"/>
        <v>256.30046621034876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50.012828456111983</v>
      </c>
      <c r="AV93" s="21">
        <f>EXP(-LN(2)/25)*AV92+(1-EXP(-LN(2)/25))/(LN(2)/25)*Calculateur!AQ93*Calculateur!AS93*VLOOKUP('Données projet'!$B$10,Paramètres!$A$1:$I$89,3,0)*0.475*44/12</f>
        <v>18.053617836480289</v>
      </c>
      <c r="AW93" s="21">
        <f>EXP(-LN(2)/2)*AW92+(1-EXP(-LN(2)/2))/(LN(2)/2)*AQ93*AT93*VLOOKUP('Données projet'!$B$10,Paramètres!$A$1:$I$89,3,0)*0.475*44/12</f>
        <v>3.5225626364039093</v>
      </c>
      <c r="AX93" s="21">
        <f t="shared" si="60"/>
        <v>71.589008928996179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6.7600000000000007</v>
      </c>
      <c r="BD93" s="12">
        <f>IF('Données projet'!$A$88&gt;35,BD92+BC93-BL92,IF(A93&lt;'Données projet'!$A$88,$BA$205^A93,IF(A93='Données projet'!$A$88,'Données projet'!$B$88,BD92+BC93-BL92)))</f>
        <v>218.76999999999992</v>
      </c>
      <c r="BE93" s="13">
        <f>BD93*VLOOKUP('Données projet'!$B$11,Paramètres!$A$1:$I$89,3,0)*VLOOKUP('Données projet'!$B$11,Paramètres!$A$1:$I$89,5,0)</f>
        <v>221.83277999999993</v>
      </c>
      <c r="BF93" s="13">
        <f t="shared" si="91"/>
        <v>54.513038854982973</v>
      </c>
      <c r="BG93" s="20">
        <f t="shared" si="61"/>
        <v>481.30230117242854</v>
      </c>
      <c r="BH93" s="59">
        <f t="shared" si="62"/>
        <v>755.65994217665616</v>
      </c>
      <c r="BI93" s="59">
        <f ca="1">AVERAGE(OFFSET($BH$3,0,0,'Données projet'!$E$11+1,1))-AVERAGE(OFFSET($H$3,0,0,'Données projet'!$E$11+1,1))</f>
        <v>580.02848304986492</v>
      </c>
      <c r="BJ93" s="59">
        <f t="shared" si="92"/>
        <v>281.68891895586728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5.8507616428406228</v>
      </c>
      <c r="BQ93" s="21">
        <f>EXP(-LN(2)/25)*BQ92+(1-EXP(-LN(2)/25))/(LN(2)/25)*Calculateur!BL93*Calculateur!BN93*VLOOKUP('Données projet'!$B$11,Paramètres!$A$1:$I$89,3,0)*0.475*44/12</f>
        <v>33.561573637193511</v>
      </c>
      <c r="BR93" s="21">
        <f>EXP(-LN(2)/2)*BR92+(1-EXP(-LN(2)/2))/(LN(2)/2)*BL93*BO93*VLOOKUP('Données projet'!$B$11,Paramètres!$A$1:$I$89,3,0)*0.475*44/12</f>
        <v>0.97567511788498051</v>
      </c>
      <c r="BS93" s="22">
        <f t="shared" si="63"/>
        <v>40.388010397919118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>
        <f>BY93*VLOOKUP('Données projet'!$B$12,Paramètres!$A$1:$I$89,3,0)*VLOOKUP('Données projet'!$B$12,Paramètres!$A$1:$I$89,5,0)</f>
        <v>0</v>
      </c>
      <c r="CA93" s="13" t="e">
        <f t="shared" si="93"/>
        <v>#NUM!</v>
      </c>
      <c r="CB93" s="20" t="e">
        <f t="shared" si="64"/>
        <v>#NUM!</v>
      </c>
      <c r="CC93" s="59" t="e">
        <f t="shared" si="65"/>
        <v>#NUM!</v>
      </c>
      <c r="CD93" s="59">
        <f ca="1">AVERAGE(OFFSET($CC$3,0,0,'Données projet'!$E$12+1,1))-AVERAGE(OFFSET($H$3,0,0,'Données projet'!$E$12+1,1))</f>
        <v>439.15394290667945</v>
      </c>
      <c r="CE93" s="59">
        <f t="shared" si="94"/>
        <v>423.56554025351068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41.380658330996724</v>
      </c>
      <c r="CL93" s="21">
        <f>EXP(-LN(2)/25)*CL92+(1-EXP(-LN(2)/25))/(LN(2)/25)*Calculateur!CG93*Calculateur!CI93*VLOOKUP('Données projet'!$B$12,Paramètres!$A$1:$I$89,3,0)*0.475*44/12</f>
        <v>37.744927955610287</v>
      </c>
      <c r="CM93" s="21">
        <f>EXP(-LN(2)/2)*CM92+(1-EXP(-LN(2)/2))/(LN(2)/2)*CG93*CJ93*VLOOKUP('Données projet'!$B$12,Paramètres!$A$1:$I$89,3,0)*0.475*44/12</f>
        <v>2.3331498734488156</v>
      </c>
      <c r="CN93" s="22">
        <f t="shared" si="66"/>
        <v>81.458736160055835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>
        <f>CT93*VLOOKUP('Données projet'!$B$13,Paramètres!$A$1:$I$89,3,0)*VLOOKUP('Données projet'!$B$13,Paramètres!$A$1:$I$89,5,0)</f>
        <v>0</v>
      </c>
      <c r="CV93" s="13" t="e">
        <f t="shared" si="95"/>
        <v>#NUM!</v>
      </c>
      <c r="CW93" s="20" t="e">
        <f t="shared" si="67"/>
        <v>#NUM!</v>
      </c>
      <c r="CX93" s="59" t="e">
        <f t="shared" si="68"/>
        <v>#NUM!</v>
      </c>
      <c r="CY93" s="59">
        <f ca="1">AVERAGE(OFFSET($CX$3,0,0,'Données projet'!$E$13+1,1))-AVERAGE(OFFSET($H$3,0,0,'Données projet'!$E$13+1,1))</f>
        <v>408.246209980743</v>
      </c>
      <c r="CZ93" s="59">
        <f t="shared" si="96"/>
        <v>394.10236303013903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>
        <f>EXP(-LN(2)/35)*DF92+(1-EXP(-LN(2)/35))/(LN(2)/35)*DB93*DC93*VLOOKUP('Données projet'!$B$13,Paramètres!$A$1:$I$89,3,0)*0.475*44/12</f>
        <v>46.823405995576927</v>
      </c>
      <c r="DG93" s="21">
        <f>EXP(-LN(2)/25)*DG92+(1-EXP(-LN(2)/25))/(LN(2)/25)*Calculateur!DB93*Calculateur!DD93*VLOOKUP('Données projet'!$B$13,Paramètres!$A$1:$I$89,3,0)*0.475*44/12</f>
        <v>42.709472425562844</v>
      </c>
      <c r="DH93" s="21">
        <f>EXP(-LN(2)/2)*DH92+(1-EXP(-LN(2)/2))/(LN(2)/2)*DB93*DE93*VLOOKUP('Données projet'!$B$13,Paramètres!$A$1:$I$89,3,0)*0.475*44/12</f>
        <v>2.1419080805431756</v>
      </c>
      <c r="DI93" s="22">
        <f t="shared" si="69"/>
        <v>91.674786501682945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>
        <f>DO93*VLOOKUP('Données projet'!$B$14,Paramètres!$A$1:$I$89,3,0)*VLOOKUP('Données projet'!$B$14,Paramètres!$A$1:$I$89,5,0)</f>
        <v>0</v>
      </c>
      <c r="DQ93" s="13" t="e">
        <f t="shared" si="97"/>
        <v>#NUM!</v>
      </c>
      <c r="DR93" s="20" t="e">
        <f t="shared" si="70"/>
        <v>#NUM!</v>
      </c>
      <c r="DS93" s="59" t="e">
        <f t="shared" si="71"/>
        <v>#NUM!</v>
      </c>
      <c r="DT93" s="59">
        <f ca="1">AVERAGE(OFFSET($DS$3,0,0,'Données projet'!$E$14+1,1))-AVERAGE(OFFSET($H$3,0,0,'Données projet'!$E$14+1,1))</f>
        <v>371.07993287480366</v>
      </c>
      <c r="DU93" s="59">
        <f t="shared" si="98"/>
        <v>358.67120540290637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>
        <f>EXP(-LN(2)/35)*EA92+(1-EXP(-LN(2)/35))/(LN(2)/35)*DW93*DX93*VLOOKUP('Données projet'!$B$14,Paramètres!$A$1:$I$89,3,0)*0.475*44/12</f>
        <v>33.918572402456327</v>
      </c>
      <c r="EB93" s="21">
        <f>EXP(-LN(2)/25)*EB92+(1-EXP(-LN(2)/25))/(LN(2)/25)*Calculateur!DW93*Calculateur!DY93*VLOOKUP('Données projet'!$B$14,Paramètres!$A$1:$I$89,3,0)*0.475*44/12</f>
        <v>30.938465537385468</v>
      </c>
      <c r="EC93" s="21">
        <f>EXP(-LN(2)/2)*EC92+(1-EXP(-LN(2)/2))/(LN(2)/2)*DW93*DZ93*VLOOKUP('Données projet'!$B$14,Paramètres!$A$1:$I$89,3,0)*0.475*44/12</f>
        <v>1.912417929056407</v>
      </c>
      <c r="ED93" s="22">
        <f t="shared" si="72"/>
        <v>66.769455868898206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45">
      <c r="A94" s="10">
        <f t="shared" si="85"/>
        <v>91</v>
      </c>
      <c r="B94" s="73">
        <f>'Scénario référence'!$B$16*5+'Scénario référence'!$B$17*0+'Scénario référence'!$B$18*5</f>
        <v>5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1">
        <f t="shared" si="86"/>
        <v>0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18.333333333333332</v>
      </c>
      <c r="H94" s="67">
        <f t="shared" si="56"/>
        <v>183.33333333333334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9.1730000000000018</v>
      </c>
      <c r="N94" s="13">
        <f>IF('Données projet'!$A$36&gt;35,N93+M94-V93,IF(A94&lt;'Données projet'!$A$36,$K$205^A94,IF(A94='Données projet'!$A$36,'Données projet'!$B$36,N93+M94-V93)))</f>
        <v>352.6110000000005</v>
      </c>
      <c r="O94" s="13">
        <f>N94*VLOOKUP('Données projet'!$B$9,Paramètres!$A$1:$I$89,3,0)*VLOOKUP('Données projet'!$B$9,Paramètres!$A$1:$I$89,5,0)</f>
        <v>319.04243280000043</v>
      </c>
      <c r="P94" s="13">
        <f t="shared" si="87"/>
        <v>75.154078446360543</v>
      </c>
      <c r="Q94" s="20">
        <f t="shared" si="54"/>
        <v>686.55892375407859</v>
      </c>
      <c r="R94" s="59">
        <f t="shared" si="55"/>
        <v>961.2457505969237</v>
      </c>
      <c r="S94" s="59">
        <f ca="1">AVERAGE(OFFSET($R$3,0,0,'Données projet'!$E$9+1,1))-AVERAGE(OFFSET($H$3,0,0,'Données projet'!$E$9+1,1))</f>
        <v>681.47578137804555</v>
      </c>
      <c r="T94" s="59">
        <f t="shared" si="88"/>
        <v>300.88511065995885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19.184043270191573</v>
      </c>
      <c r="AA94" s="21">
        <f>EXP(-LN(2)/25)*AA93+(1-EXP(-LN(2)/25))/(LN(2)/25)*Calculateur!V94*Calculateur!X94*VLOOKUP('Données projet'!$B$9,Paramètres!$A$1:$I$89,3,0)*0.475*44/12</f>
        <v>24.360609399894127</v>
      </c>
      <c r="AB94" s="21">
        <f>EXP(-LN(2)/2)*AB93+(1-EXP(-LN(2)/2))/(LN(2)/2)*V94*Y94*VLOOKUP('Données projet'!$B$9,Paramètres!$A$1:$I$89,3,0)*0.475*44/12</f>
        <v>0.51621547864849093</v>
      </c>
      <c r="AC94" s="22">
        <f t="shared" si="57"/>
        <v>44.060868148734187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9.4258333333333351</v>
      </c>
      <c r="AI94" s="13">
        <f>IF('Données projet'!$A$62&gt;35,AI93+AH94-AQ93,IF(A94&lt;'Données projet'!$A$62,$AF$205^A94,IF(A94='Données projet'!$A$62,'Données projet'!$B$62,AI93+AH94-AQ93)))</f>
        <v>371.9433333333335</v>
      </c>
      <c r="AJ94" s="13">
        <f>AI94*VLOOKUP('Données projet'!$B$10,Paramètres!$A$1:$I$89,3,0)*VLOOKUP('Données projet'!$B$10,Paramètres!$A$1:$I$89,5,0)</f>
        <v>174.06948000000008</v>
      </c>
      <c r="AK94" s="13">
        <f t="shared" si="89"/>
        <v>44.000193101581445</v>
      </c>
      <c r="AL94" s="20">
        <f t="shared" si="58"/>
        <v>379.80468065192116</v>
      </c>
      <c r="AM94" s="59">
        <f t="shared" si="59"/>
        <v>654.49150749476621</v>
      </c>
      <c r="AN94" s="59">
        <f ca="1">AVERAGE(OFFSET($AM$3,0,0,'Données projet'!$E$10+1,1))-AVERAGE(OFFSET($H$3,0,0,'Données projet'!$E$10+1,1))</f>
        <v>325.45940224919184</v>
      </c>
      <c r="AO94" s="59">
        <f t="shared" si="90"/>
        <v>256.30046621034876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49.032107394900883</v>
      </c>
      <c r="AV94" s="21">
        <f>EXP(-LN(2)/25)*AV93+(1-EXP(-LN(2)/25))/(LN(2)/25)*Calculateur!AQ94*Calculateur!AS94*VLOOKUP('Données projet'!$B$10,Paramètres!$A$1:$I$89,3,0)*0.475*44/12</f>
        <v>17.559940707343234</v>
      </c>
      <c r="AW94" s="21">
        <f>EXP(-LN(2)/2)*AW93+(1-EXP(-LN(2)/2))/(LN(2)/2)*AQ94*AT94*VLOOKUP('Données projet'!$B$10,Paramètres!$A$1:$I$89,3,0)*0.475*44/12</f>
        <v>2.4908279273555674</v>
      </c>
      <c r="AX94" s="21">
        <f t="shared" si="60"/>
        <v>69.082876029599689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6.7600000000000007</v>
      </c>
      <c r="BD94" s="12">
        <f>IF('Données projet'!$A$88&gt;35,BD93+BC94-BL93,IF(A94&lt;'Données projet'!$A$88,$BA$205^A94,IF(A94='Données projet'!$A$88,'Données projet'!$B$88,BD93+BC94-BL93)))</f>
        <v>225.52999999999992</v>
      </c>
      <c r="BE94" s="13">
        <f>BD94*VLOOKUP('Données projet'!$B$11,Paramètres!$A$1:$I$89,3,0)*VLOOKUP('Données projet'!$B$11,Paramètres!$A$1:$I$89,5,0)</f>
        <v>228.68741999999995</v>
      </c>
      <c r="BF94" s="13">
        <f t="shared" si="91"/>
        <v>55.998776581457236</v>
      </c>
      <c r="BG94" s="20">
        <f t="shared" si="61"/>
        <v>495.82845904603795</v>
      </c>
      <c r="BH94" s="59">
        <f t="shared" si="62"/>
        <v>770.515285888883</v>
      </c>
      <c r="BI94" s="59">
        <f ca="1">AVERAGE(OFFSET($BH$3,0,0,'Données projet'!$E$11+1,1))-AVERAGE(OFFSET($H$3,0,0,'Données projet'!$E$11+1,1))</f>
        <v>580.02848304986492</v>
      </c>
      <c r="BJ94" s="59">
        <f t="shared" si="92"/>
        <v>281.68891895586728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5.7360317756367492</v>
      </c>
      <c r="BQ94" s="21">
        <f>EXP(-LN(2)/25)*BQ93+(1-EXP(-LN(2)/25))/(LN(2)/25)*Calculateur!BL94*Calculateur!BN94*VLOOKUP('Données projet'!$B$11,Paramètres!$A$1:$I$89,3,0)*0.475*44/12</f>
        <v>32.643830641158004</v>
      </c>
      <c r="BR94" s="21">
        <f>EXP(-LN(2)/2)*BR93+(1-EXP(-LN(2)/2))/(LN(2)/2)*BL94*BO94*VLOOKUP('Données projet'!$B$11,Paramètres!$A$1:$I$89,3,0)*0.475*44/12</f>
        <v>0.68990649209145394</v>
      </c>
      <c r="BS94" s="22">
        <f t="shared" si="63"/>
        <v>39.069768908886203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>
        <f>BY94*VLOOKUP('Données projet'!$B$12,Paramètres!$A$1:$I$89,3,0)*VLOOKUP('Données projet'!$B$12,Paramètres!$A$1:$I$89,5,0)</f>
        <v>0</v>
      </c>
      <c r="CA94" s="13" t="e">
        <f t="shared" si="93"/>
        <v>#NUM!</v>
      </c>
      <c r="CB94" s="20" t="e">
        <f t="shared" si="64"/>
        <v>#NUM!</v>
      </c>
      <c r="CC94" s="59" t="e">
        <f t="shared" si="65"/>
        <v>#NUM!</v>
      </c>
      <c r="CD94" s="59">
        <f ca="1">AVERAGE(OFFSET($CC$3,0,0,'Données projet'!$E$12+1,1))-AVERAGE(OFFSET($H$3,0,0,'Données projet'!$E$12+1,1))</f>
        <v>439.15394290667945</v>
      </c>
      <c r="CE94" s="59">
        <f t="shared" si="94"/>
        <v>423.56554025351068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40.569208860835246</v>
      </c>
      <c r="CL94" s="21">
        <f>EXP(-LN(2)/25)*CL93+(1-EXP(-LN(2)/25))/(LN(2)/25)*Calculateur!CG94*Calculateur!CI94*VLOOKUP('Données projet'!$B$12,Paramètres!$A$1:$I$89,3,0)*0.475*44/12</f>
        <v>36.712790915744627</v>
      </c>
      <c r="CM94" s="21">
        <f>EXP(-LN(2)/2)*CM93+(1-EXP(-LN(2)/2))/(LN(2)/2)*CG94*CJ94*VLOOKUP('Données projet'!$B$12,Paramètres!$A$1:$I$89,3,0)*0.475*44/12</f>
        <v>1.6497860970401927</v>
      </c>
      <c r="CN94" s="22">
        <f t="shared" si="66"/>
        <v>78.931785873620072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>
        <f>CT94*VLOOKUP('Données projet'!$B$13,Paramètres!$A$1:$I$89,3,0)*VLOOKUP('Données projet'!$B$13,Paramètres!$A$1:$I$89,5,0)</f>
        <v>0</v>
      </c>
      <c r="CV94" s="13" t="e">
        <f t="shared" si="95"/>
        <v>#NUM!</v>
      </c>
      <c r="CW94" s="20" t="e">
        <f t="shared" si="67"/>
        <v>#NUM!</v>
      </c>
      <c r="CX94" s="59" t="e">
        <f t="shared" si="68"/>
        <v>#NUM!</v>
      </c>
      <c r="CY94" s="59">
        <f ca="1">AVERAGE(OFFSET($CX$3,0,0,'Données projet'!$E$13+1,1))-AVERAGE(OFFSET($H$3,0,0,'Données projet'!$E$13+1,1))</f>
        <v>408.246209980743</v>
      </c>
      <c r="CZ94" s="59">
        <f t="shared" si="96"/>
        <v>394.10236303013903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>
        <f>EXP(-LN(2)/35)*DF93+(1-EXP(-LN(2)/35))/(LN(2)/35)*DB94*DC94*VLOOKUP('Données projet'!$B$13,Paramètres!$A$1:$I$89,3,0)*0.475*44/12</f>
        <v>45.90522756346131</v>
      </c>
      <c r="DG94" s="21">
        <f>EXP(-LN(2)/25)*DG93+(1-EXP(-LN(2)/25))/(LN(2)/25)*Calculateur!DB94*Calculateur!DD94*VLOOKUP('Données projet'!$B$13,Paramètres!$A$1:$I$89,3,0)*0.475*44/12</f>
        <v>41.541579656092289</v>
      </c>
      <c r="DH94" s="21">
        <f>EXP(-LN(2)/2)*DH93+(1-EXP(-LN(2)/2))/(LN(2)/2)*DB94*DE94*VLOOKUP('Données projet'!$B$13,Paramètres!$A$1:$I$89,3,0)*0.475*44/12</f>
        <v>1.5145577284303413</v>
      </c>
      <c r="DI94" s="22">
        <f t="shared" si="69"/>
        <v>88.961364947983938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>
        <f>DO94*VLOOKUP('Données projet'!$B$14,Paramètres!$A$1:$I$89,3,0)*VLOOKUP('Données projet'!$B$14,Paramètres!$A$1:$I$89,5,0)</f>
        <v>0</v>
      </c>
      <c r="DQ94" s="13" t="e">
        <f t="shared" si="97"/>
        <v>#NUM!</v>
      </c>
      <c r="DR94" s="20" t="e">
        <f t="shared" si="70"/>
        <v>#NUM!</v>
      </c>
      <c r="DS94" s="59" t="e">
        <f t="shared" si="71"/>
        <v>#NUM!</v>
      </c>
      <c r="DT94" s="59">
        <f ca="1">AVERAGE(OFFSET($DS$3,0,0,'Données projet'!$E$14+1,1))-AVERAGE(OFFSET($H$3,0,0,'Données projet'!$E$14+1,1))</f>
        <v>371.07993287480366</v>
      </c>
      <c r="DU94" s="59">
        <f t="shared" si="98"/>
        <v>358.67120540290637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>
        <f>EXP(-LN(2)/35)*EA93+(1-EXP(-LN(2)/35))/(LN(2)/35)*DW94*DX94*VLOOKUP('Données projet'!$B$14,Paramètres!$A$1:$I$89,3,0)*0.475*44/12</f>
        <v>33.253449885930529</v>
      </c>
      <c r="EB94" s="21">
        <f>EXP(-LN(2)/25)*EB93+(1-EXP(-LN(2)/25))/(LN(2)/25)*Calculateur!DW94*Calculateur!DY94*VLOOKUP('Données projet'!$B$14,Paramètres!$A$1:$I$89,3,0)*0.475*44/12</f>
        <v>30.092451570282471</v>
      </c>
      <c r="EC94" s="21">
        <f>EXP(-LN(2)/2)*EC93+(1-EXP(-LN(2)/2))/(LN(2)/2)*DW94*DZ94*VLOOKUP('Données projet'!$B$14,Paramètres!$A$1:$I$89,3,0)*0.475*44/12</f>
        <v>1.3522836860985192</v>
      </c>
      <c r="ED94" s="22">
        <f t="shared" si="72"/>
        <v>64.698185142311516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45">
      <c r="A95" s="10">
        <f t="shared" si="85"/>
        <v>92</v>
      </c>
      <c r="B95" s="73">
        <f>'Scénario référence'!$B$16*5+'Scénario référence'!$B$17*0+'Scénario référence'!$B$18*5</f>
        <v>5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1">
        <f t="shared" si="86"/>
        <v>0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18.333333333333332</v>
      </c>
      <c r="H95" s="67">
        <f t="shared" si="56"/>
        <v>183.33333333333334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9.1730000000000018</v>
      </c>
      <c r="N95" s="13">
        <f>IF('Données projet'!$A$36&gt;35,N94+M95-V94,IF(A95&lt;'Données projet'!$A$36,$K$205^A95,IF(A95='Données projet'!$A$36,'Données projet'!$B$36,N94+M95-V94)))</f>
        <v>361.7840000000005</v>
      </c>
      <c r="O95" s="13">
        <f>N95*VLOOKUP('Données projet'!$B$9,Paramètres!$A$1:$I$89,3,0)*VLOOKUP('Données projet'!$B$9,Paramètres!$A$1:$I$89,5,0)</f>
        <v>327.34216320000047</v>
      </c>
      <c r="P95" s="13">
        <f t="shared" si="87"/>
        <v>76.87901071885527</v>
      </c>
      <c r="Q95" s="20">
        <f t="shared" si="54"/>
        <v>704.01854457534034</v>
      </c>
      <c r="R95" s="59">
        <f t="shared" si="55"/>
        <v>979.02884661845201</v>
      </c>
      <c r="S95" s="59">
        <f ca="1">AVERAGE(OFFSET($R$3,0,0,'Données projet'!$E$9+1,1))-AVERAGE(OFFSET($H$3,0,0,'Données projet'!$E$9+1,1))</f>
        <v>681.47578137804555</v>
      </c>
      <c r="T95" s="59">
        <f t="shared" si="88"/>
        <v>300.88511065995885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18.807855882774124</v>
      </c>
      <c r="AA95" s="21">
        <f>EXP(-LN(2)/25)*AA94+(1-EXP(-LN(2)/25))/(LN(2)/25)*Calculateur!V95*Calculateur!X95*VLOOKUP('Données projet'!$B$9,Paramètres!$A$1:$I$89,3,0)*0.475*44/12</f>
        <v>23.694467254785252</v>
      </c>
      <c r="AB95" s="21">
        <f>EXP(-LN(2)/2)*AB94+(1-EXP(-LN(2)/2))/(LN(2)/2)*V95*Y95*VLOOKUP('Données projet'!$B$9,Paramètres!$A$1:$I$89,3,0)*0.475*44/12</f>
        <v>0.36501946550580738</v>
      </c>
      <c r="AC95" s="22">
        <f t="shared" si="57"/>
        <v>42.867342603065183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9.4258333333333351</v>
      </c>
      <c r="AI95" s="13">
        <f>IF('Données projet'!$A$62&gt;35,AI94+AH95-AQ94,IF(A95&lt;'Données projet'!$A$62,$AF$205^A95,IF(A95='Données projet'!$A$62,'Données projet'!$B$62,AI94+AH95-AQ94)))</f>
        <v>381.36916666666684</v>
      </c>
      <c r="AJ95" s="13">
        <f>AI95*VLOOKUP('Données projet'!$B$10,Paramètres!$A$1:$I$89,3,0)*VLOOKUP('Données projet'!$B$10,Paramètres!$A$1:$I$89,5,0)</f>
        <v>178.48077000000009</v>
      </c>
      <c r="AK95" s="13">
        <f t="shared" si="89"/>
        <v>44.984018925971618</v>
      </c>
      <c r="AL95" s="20">
        <f t="shared" si="58"/>
        <v>389.20117404606736</v>
      </c>
      <c r="AM95" s="59">
        <f t="shared" si="59"/>
        <v>664.21147608917909</v>
      </c>
      <c r="AN95" s="59">
        <f ca="1">AVERAGE(OFFSET($AM$3,0,0,'Données projet'!$E$10+1,1))-AVERAGE(OFFSET($H$3,0,0,'Données projet'!$E$10+1,1))</f>
        <v>325.45940224919184</v>
      </c>
      <c r="AO95" s="59">
        <f t="shared" si="90"/>
        <v>256.30046621034876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48.070617675519351</v>
      </c>
      <c r="AV95" s="21">
        <f>EXP(-LN(2)/25)*AV94+(1-EXP(-LN(2)/25))/(LN(2)/25)*Calculateur!AQ95*Calculateur!AS95*VLOOKUP('Données projet'!$B$10,Paramètres!$A$1:$I$89,3,0)*0.475*44/12</f>
        <v>17.079763205263784</v>
      </c>
      <c r="AW95" s="21">
        <f>EXP(-LN(2)/2)*AW94+(1-EXP(-LN(2)/2))/(LN(2)/2)*AQ95*AT95*VLOOKUP('Données projet'!$B$10,Paramètres!$A$1:$I$89,3,0)*0.475*44/12</f>
        <v>1.7612813182019549</v>
      </c>
      <c r="AX95" s="21">
        <f t="shared" si="60"/>
        <v>66.911662198985084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6.7600000000000007</v>
      </c>
      <c r="BD95" s="12">
        <f>IF('Données projet'!$A$88&gt;35,BD94+BC95-BL94,IF(A95&lt;'Données projet'!$A$88,$BA$205^A95,IF(A95='Données projet'!$A$88,'Données projet'!$B$88,BD94+BC95-BL94)))</f>
        <v>232.28999999999991</v>
      </c>
      <c r="BE95" s="13">
        <f>BD95*VLOOKUP('Données projet'!$B$11,Paramètres!$A$1:$I$89,3,0)*VLOOKUP('Données projet'!$B$11,Paramètres!$A$1:$I$89,5,0)</f>
        <v>235.54205999999991</v>
      </c>
      <c r="BF95" s="13">
        <f t="shared" si="91"/>
        <v>57.479338849475639</v>
      </c>
      <c r="BG95" s="20">
        <f t="shared" si="61"/>
        <v>510.34560299616987</v>
      </c>
      <c r="BH95" s="59">
        <f t="shared" si="62"/>
        <v>785.35590503928165</v>
      </c>
      <c r="BI95" s="59">
        <f ca="1">AVERAGE(OFFSET($BH$3,0,0,'Données projet'!$E$11+1,1))-AVERAGE(OFFSET($H$3,0,0,'Données projet'!$E$11+1,1))</f>
        <v>580.02848304986492</v>
      </c>
      <c r="BJ95" s="59">
        <f t="shared" si="92"/>
        <v>281.68891895586728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5.6235516911504346</v>
      </c>
      <c r="BQ95" s="21">
        <f>EXP(-LN(2)/25)*BQ94+(1-EXP(-LN(2)/25))/(LN(2)/25)*Calculateur!BL95*Calculateur!BN95*VLOOKUP('Données projet'!$B$11,Paramètres!$A$1:$I$89,3,0)*0.475*44/12</f>
        <v>31.751183375611095</v>
      </c>
      <c r="BR95" s="21">
        <f>EXP(-LN(2)/2)*BR94+(1-EXP(-LN(2)/2))/(LN(2)/2)*BL95*BO95*VLOOKUP('Données projet'!$B$11,Paramètres!$A$1:$I$89,3,0)*0.475*44/12</f>
        <v>0.48783755894249031</v>
      </c>
      <c r="BS95" s="22">
        <f t="shared" si="63"/>
        <v>37.862572625704018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>
        <f>BY95*VLOOKUP('Données projet'!$B$12,Paramètres!$A$1:$I$89,3,0)*VLOOKUP('Données projet'!$B$12,Paramètres!$A$1:$I$89,5,0)</f>
        <v>0</v>
      </c>
      <c r="CA95" s="13" t="e">
        <f t="shared" si="93"/>
        <v>#NUM!</v>
      </c>
      <c r="CB95" s="20" t="e">
        <f t="shared" si="64"/>
        <v>#NUM!</v>
      </c>
      <c r="CC95" s="59" t="e">
        <f t="shared" si="65"/>
        <v>#NUM!</v>
      </c>
      <c r="CD95" s="59">
        <f ca="1">AVERAGE(OFFSET($CC$3,0,0,'Données projet'!$E$12+1,1))-AVERAGE(OFFSET($H$3,0,0,'Données projet'!$E$12+1,1))</f>
        <v>439.15394290667945</v>
      </c>
      <c r="CE95" s="59">
        <f t="shared" si="94"/>
        <v>423.56554025351068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39.773671419848327</v>
      </c>
      <c r="CL95" s="21">
        <f>EXP(-LN(2)/25)*CL94+(1-EXP(-LN(2)/25))/(LN(2)/25)*Calculateur!CG95*Calculateur!CI95*VLOOKUP('Données projet'!$B$12,Paramètres!$A$1:$I$89,3,0)*0.475*44/12</f>
        <v>35.708877717511825</v>
      </c>
      <c r="CM95" s="21">
        <f>EXP(-LN(2)/2)*CM94+(1-EXP(-LN(2)/2))/(LN(2)/2)*CG95*CJ95*VLOOKUP('Données projet'!$B$12,Paramètres!$A$1:$I$89,3,0)*0.475*44/12</f>
        <v>1.1665749367244078</v>
      </c>
      <c r="CN95" s="22">
        <f t="shared" si="66"/>
        <v>76.649124074084554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>
        <f>CT95*VLOOKUP('Données projet'!$B$13,Paramètres!$A$1:$I$89,3,0)*VLOOKUP('Données projet'!$B$13,Paramètres!$A$1:$I$89,5,0)</f>
        <v>0</v>
      </c>
      <c r="CV95" s="13" t="e">
        <f t="shared" si="95"/>
        <v>#NUM!</v>
      </c>
      <c r="CW95" s="20" t="e">
        <f t="shared" si="67"/>
        <v>#NUM!</v>
      </c>
      <c r="CX95" s="59" t="e">
        <f t="shared" si="68"/>
        <v>#NUM!</v>
      </c>
      <c r="CY95" s="59">
        <f ca="1">AVERAGE(OFFSET($CX$3,0,0,'Données projet'!$E$13+1,1))-AVERAGE(OFFSET($H$3,0,0,'Données projet'!$E$13+1,1))</f>
        <v>408.246209980743</v>
      </c>
      <c r="CZ95" s="59">
        <f t="shared" si="96"/>
        <v>394.10236303013903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>
        <f>EXP(-LN(2)/35)*DF94+(1-EXP(-LN(2)/35))/(LN(2)/35)*DB95*DC95*VLOOKUP('Données projet'!$B$13,Paramètres!$A$1:$I$89,3,0)*0.475*44/12</f>
        <v>45.005054050365935</v>
      </c>
      <c r="DG95" s="21">
        <f>EXP(-LN(2)/25)*DG94+(1-EXP(-LN(2)/25))/(LN(2)/25)*Calculateur!DB95*Calculateur!DD95*VLOOKUP('Données projet'!$B$13,Paramètres!$A$1:$I$89,3,0)*0.475*44/12</f>
        <v>40.405622975819718</v>
      </c>
      <c r="DH95" s="21">
        <f>EXP(-LN(2)/2)*DH94+(1-EXP(-LN(2)/2))/(LN(2)/2)*DB95*DE95*VLOOKUP('Données projet'!$B$13,Paramètres!$A$1:$I$89,3,0)*0.475*44/12</f>
        <v>1.0709540402715878</v>
      </c>
      <c r="DI95" s="22">
        <f t="shared" si="69"/>
        <v>86.48163106645724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>
        <f>DO95*VLOOKUP('Données projet'!$B$14,Paramètres!$A$1:$I$89,3,0)*VLOOKUP('Données projet'!$B$14,Paramètres!$A$1:$I$89,5,0)</f>
        <v>0</v>
      </c>
      <c r="DQ95" s="13" t="e">
        <f t="shared" si="97"/>
        <v>#NUM!</v>
      </c>
      <c r="DR95" s="20" t="e">
        <f t="shared" si="70"/>
        <v>#NUM!</v>
      </c>
      <c r="DS95" s="59" t="e">
        <f t="shared" si="71"/>
        <v>#NUM!</v>
      </c>
      <c r="DT95" s="59">
        <f ca="1">AVERAGE(OFFSET($DS$3,0,0,'Données projet'!$E$14+1,1))-AVERAGE(OFFSET($H$3,0,0,'Données projet'!$E$14+1,1))</f>
        <v>371.07993287480366</v>
      </c>
      <c r="DU95" s="59">
        <f t="shared" si="98"/>
        <v>358.67120540290637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>
        <f>EXP(-LN(2)/35)*EA94+(1-EXP(-LN(2)/35))/(LN(2)/35)*DW95*DX95*VLOOKUP('Données projet'!$B$14,Paramètres!$A$1:$I$89,3,0)*0.475*44/12</f>
        <v>32.601370016269122</v>
      </c>
      <c r="EB95" s="21">
        <f>EXP(-LN(2)/25)*EB94+(1-EXP(-LN(2)/25))/(LN(2)/25)*Calculateur!DW95*Calculateur!DY95*VLOOKUP('Données projet'!$B$14,Paramètres!$A$1:$I$89,3,0)*0.475*44/12</f>
        <v>29.269571899599846</v>
      </c>
      <c r="EC95" s="21">
        <f>EXP(-LN(2)/2)*EC94+(1-EXP(-LN(2)/2))/(LN(2)/2)*DW95*DZ95*VLOOKUP('Données projet'!$B$14,Paramètres!$A$1:$I$89,3,0)*0.475*44/12</f>
        <v>0.95620896452820359</v>
      </c>
      <c r="ED95" s="22">
        <f t="shared" si="72"/>
        <v>62.82715088039717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45">
      <c r="A96" s="10">
        <f t="shared" si="85"/>
        <v>93</v>
      </c>
      <c r="B96" s="73">
        <f>'Scénario référence'!$B$16*5+'Scénario référence'!$B$17*0+'Scénario référence'!$B$18*5</f>
        <v>5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1">
        <f t="shared" si="86"/>
        <v>0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18.333333333333332</v>
      </c>
      <c r="H96" s="67">
        <f t="shared" si="56"/>
        <v>183.33333333333334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9.1730000000000018</v>
      </c>
      <c r="N96" s="13">
        <f>IF('Données projet'!$A$36&gt;35,N95+M96-V95,IF(A96&lt;'Données projet'!$A$36,$K$205^A96,IF(A96='Données projet'!$A$36,'Données projet'!$B$36,N95+M96-V95)))</f>
        <v>370.95700000000051</v>
      </c>
      <c r="O96" s="13">
        <f>N96*VLOOKUP('Données projet'!$B$9,Paramètres!$A$1:$I$89,3,0)*VLOOKUP('Données projet'!$B$9,Paramètres!$A$1:$I$89,5,0)</f>
        <v>335.64189360000046</v>
      </c>
      <c r="P96" s="13">
        <f t="shared" si="87"/>
        <v>78.598859108522404</v>
      </c>
      <c r="Q96" s="20">
        <f t="shared" si="54"/>
        <v>721.46931096734397</v>
      </c>
      <c r="R96" s="59">
        <f t="shared" si="55"/>
        <v>996.79747663917988</v>
      </c>
      <c r="S96" s="59">
        <f ca="1">AVERAGE(OFFSET($R$3,0,0,'Données projet'!$E$9+1,1))-AVERAGE(OFFSET($H$3,0,0,'Données projet'!$E$9+1,1))</f>
        <v>681.47578137804555</v>
      </c>
      <c r="T96" s="59">
        <f t="shared" si="88"/>
        <v>300.88511065995885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18.439045300572278</v>
      </c>
      <c r="AA96" s="21">
        <f>EXP(-LN(2)/25)*AA95+(1-EXP(-LN(2)/25))/(LN(2)/25)*Calculateur!V96*Calculateur!X96*VLOOKUP('Données projet'!$B$9,Paramètres!$A$1:$I$89,3,0)*0.475*44/12</f>
        <v>23.04654080166527</v>
      </c>
      <c r="AB96" s="21">
        <f>EXP(-LN(2)/2)*AB95+(1-EXP(-LN(2)/2))/(LN(2)/2)*V96*Y96*VLOOKUP('Données projet'!$B$9,Paramètres!$A$1:$I$89,3,0)*0.475*44/12</f>
        <v>0.25810773932424547</v>
      </c>
      <c r="AC96" s="22">
        <f t="shared" si="57"/>
        <v>41.743693841561793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9.4258333333333351</v>
      </c>
      <c r="AI96" s="13">
        <f>IF('Données projet'!$A$62&gt;35,AI95+AH96-AQ95,IF(A96&lt;'Données projet'!$A$62,$AF$205^A96,IF(A96='Données projet'!$A$62,'Données projet'!$B$62,AI95+AH96-AQ95)))</f>
        <v>390.79500000000019</v>
      </c>
      <c r="AJ96" s="13">
        <f>AI96*VLOOKUP('Données projet'!$B$10,Paramètres!$A$1:$I$89,3,0)*VLOOKUP('Données projet'!$B$10,Paramètres!$A$1:$I$89,5,0)</f>
        <v>182.8920600000001</v>
      </c>
      <c r="AK96" s="13">
        <f t="shared" si="89"/>
        <v>45.965018129602747</v>
      </c>
      <c r="AL96" s="20">
        <f t="shared" si="58"/>
        <v>398.59274440905824</v>
      </c>
      <c r="AM96" s="59">
        <f t="shared" si="59"/>
        <v>673.92091008089415</v>
      </c>
      <c r="AN96" s="59">
        <f ca="1">AVERAGE(OFFSET($AM$3,0,0,'Données projet'!$E$10+1,1))-AVERAGE(OFFSET($H$3,0,0,'Données projet'!$E$10+1,1))</f>
        <v>325.45940224919184</v>
      </c>
      <c r="AO96" s="59">
        <f t="shared" si="90"/>
        <v>256.30046621034876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47.127982183084072</v>
      </c>
      <c r="AV96" s="21">
        <f>EXP(-LN(2)/25)*AV95+(1-EXP(-LN(2)/25))/(LN(2)/25)*Calculateur!AQ96*Calculateur!AS96*VLOOKUP('Données projet'!$B$10,Paramètres!$A$1:$I$89,3,0)*0.475*44/12</f>
        <v>16.612716182230134</v>
      </c>
      <c r="AW96" s="21">
        <f>EXP(-LN(2)/2)*AW95+(1-EXP(-LN(2)/2))/(LN(2)/2)*AQ96*AT96*VLOOKUP('Données projet'!$B$10,Paramètres!$A$1:$I$89,3,0)*0.475*44/12</f>
        <v>1.2454139636777837</v>
      </c>
      <c r="AX96" s="21">
        <f t="shared" si="60"/>
        <v>64.986112328991979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6.7600000000000007</v>
      </c>
      <c r="BD96" s="12">
        <f>IF('Données projet'!$A$88&gt;35,BD95+BC96-BL95,IF(A96&lt;'Données projet'!$A$88,$BA$205^A96,IF(A96='Données projet'!$A$88,'Données projet'!$B$88,BD95+BC96-BL95)))</f>
        <v>239.0499999999999</v>
      </c>
      <c r="BE96" s="13">
        <f>BD96*VLOOKUP('Données projet'!$B$11,Paramètres!$A$1:$I$89,3,0)*VLOOKUP('Données projet'!$B$11,Paramètres!$A$1:$I$89,5,0)</f>
        <v>242.3966999999999</v>
      </c>
      <c r="BF96" s="13">
        <f t="shared" si="91"/>
        <v>58.954893567950833</v>
      </c>
      <c r="BG96" s="20">
        <f t="shared" si="61"/>
        <v>524.85402546418084</v>
      </c>
      <c r="BH96" s="59">
        <f t="shared" si="62"/>
        <v>800.18219113601685</v>
      </c>
      <c r="BI96" s="59">
        <f ca="1">AVERAGE(OFFSET($BH$3,0,0,'Données projet'!$E$11+1,1))-AVERAGE(OFFSET($H$3,0,0,'Données projet'!$E$11+1,1))</f>
        <v>580.02848304986492</v>
      </c>
      <c r="BJ96" s="59">
        <f t="shared" si="92"/>
        <v>281.68891895586728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5.5132772725148191</v>
      </c>
      <c r="BQ96" s="21">
        <f>EXP(-LN(2)/25)*BQ95+(1-EXP(-LN(2)/25))/(LN(2)/25)*Calculateur!BL96*Calculateur!BN96*VLOOKUP('Données projet'!$B$11,Paramètres!$A$1:$I$89,3,0)*0.475*44/12</f>
        <v>30.882945596482845</v>
      </c>
      <c r="BR96" s="21">
        <f>EXP(-LN(2)/2)*BR95+(1-EXP(-LN(2)/2))/(LN(2)/2)*BL96*BO96*VLOOKUP('Données projet'!$B$11,Paramètres!$A$1:$I$89,3,0)*0.475*44/12</f>
        <v>0.34495324604572702</v>
      </c>
      <c r="BS96" s="22">
        <f t="shared" si="63"/>
        <v>36.741176115043388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>
        <f>BY96*VLOOKUP('Données projet'!$B$12,Paramètres!$A$1:$I$89,3,0)*VLOOKUP('Données projet'!$B$12,Paramètres!$A$1:$I$89,5,0)</f>
        <v>0</v>
      </c>
      <c r="CA96" s="13" t="e">
        <f t="shared" si="93"/>
        <v>#NUM!</v>
      </c>
      <c r="CB96" s="20" t="e">
        <f t="shared" si="64"/>
        <v>#NUM!</v>
      </c>
      <c r="CC96" s="59" t="e">
        <f t="shared" si="65"/>
        <v>#NUM!</v>
      </c>
      <c r="CD96" s="59">
        <f ca="1">AVERAGE(OFFSET($CC$3,0,0,'Données projet'!$E$12+1,1))-AVERAGE(OFFSET($H$3,0,0,'Données projet'!$E$12+1,1))</f>
        <v>439.15394290667945</v>
      </c>
      <c r="CE96" s="59">
        <f t="shared" si="94"/>
        <v>423.56554025351068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38.993733982849236</v>
      </c>
      <c r="CL96" s="21">
        <f>EXP(-LN(2)/25)*CL95+(1-EXP(-LN(2)/25))/(LN(2)/25)*Calculateur!CG96*Calculateur!CI96*VLOOKUP('Données projet'!$B$12,Paramètres!$A$1:$I$89,3,0)*0.475*44/12</f>
        <v>34.732416578478201</v>
      </c>
      <c r="CM96" s="21">
        <f>EXP(-LN(2)/2)*CM95+(1-EXP(-LN(2)/2))/(LN(2)/2)*CG96*CJ96*VLOOKUP('Données projet'!$B$12,Paramètres!$A$1:$I$89,3,0)*0.475*44/12</f>
        <v>0.82489304852009637</v>
      </c>
      <c r="CN96" s="22">
        <f t="shared" si="66"/>
        <v>74.55104360984754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>
        <f>CT96*VLOOKUP('Données projet'!$B$13,Paramètres!$A$1:$I$89,3,0)*VLOOKUP('Données projet'!$B$13,Paramètres!$A$1:$I$89,5,0)</f>
        <v>0</v>
      </c>
      <c r="CV96" s="13" t="e">
        <f t="shared" si="95"/>
        <v>#NUM!</v>
      </c>
      <c r="CW96" s="20" t="e">
        <f t="shared" si="67"/>
        <v>#NUM!</v>
      </c>
      <c r="CX96" s="59" t="e">
        <f t="shared" si="68"/>
        <v>#NUM!</v>
      </c>
      <c r="CY96" s="59">
        <f ca="1">AVERAGE(OFFSET($CX$3,0,0,'Données projet'!$E$13+1,1))-AVERAGE(OFFSET($H$3,0,0,'Données projet'!$E$13+1,1))</f>
        <v>408.246209980743</v>
      </c>
      <c r="CZ96" s="59">
        <f t="shared" si="96"/>
        <v>394.10236303013903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>
        <f>EXP(-LN(2)/35)*DF95+(1-EXP(-LN(2)/35))/(LN(2)/35)*DB96*DC96*VLOOKUP('Données projet'!$B$13,Paramètres!$A$1:$I$89,3,0)*0.475*44/12</f>
        <v>44.122532390810733</v>
      </c>
      <c r="DG96" s="21">
        <f>EXP(-LN(2)/25)*DG95+(1-EXP(-LN(2)/25))/(LN(2)/25)*Calculateur!DB96*Calculateur!DD96*VLOOKUP('Données projet'!$B$13,Paramètres!$A$1:$I$89,3,0)*0.475*44/12</f>
        <v>39.300729090706561</v>
      </c>
      <c r="DH96" s="21">
        <f>EXP(-LN(2)/2)*DH95+(1-EXP(-LN(2)/2))/(LN(2)/2)*DB96*DE96*VLOOKUP('Données projet'!$B$13,Paramètres!$A$1:$I$89,3,0)*0.475*44/12</f>
        <v>0.75727886421517066</v>
      </c>
      <c r="DI96" s="22">
        <f t="shared" si="69"/>
        <v>84.180540345732467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>
        <f>DO96*VLOOKUP('Données projet'!$B$14,Paramètres!$A$1:$I$89,3,0)*VLOOKUP('Données projet'!$B$14,Paramètres!$A$1:$I$89,5,0)</f>
        <v>0</v>
      </c>
      <c r="DQ96" s="13" t="e">
        <f t="shared" si="97"/>
        <v>#NUM!</v>
      </c>
      <c r="DR96" s="20" t="e">
        <f t="shared" si="70"/>
        <v>#NUM!</v>
      </c>
      <c r="DS96" s="59" t="e">
        <f t="shared" si="71"/>
        <v>#NUM!</v>
      </c>
      <c r="DT96" s="59">
        <f ca="1">AVERAGE(OFFSET($DS$3,0,0,'Données projet'!$E$14+1,1))-AVERAGE(OFFSET($H$3,0,0,'Données projet'!$E$14+1,1))</f>
        <v>371.07993287480366</v>
      </c>
      <c r="DU96" s="59">
        <f t="shared" si="98"/>
        <v>358.67120540290637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>
        <f>EXP(-LN(2)/35)*EA95+(1-EXP(-LN(2)/35))/(LN(2)/35)*DW96*DX96*VLOOKUP('Données projet'!$B$14,Paramètres!$A$1:$I$89,3,0)*0.475*44/12</f>
        <v>31.962077035122327</v>
      </c>
      <c r="EB96" s="21">
        <f>EXP(-LN(2)/25)*EB95+(1-EXP(-LN(2)/25))/(LN(2)/25)*Calculateur!DW96*Calculateur!DY96*VLOOKUP('Données projet'!$B$14,Paramètres!$A$1:$I$89,3,0)*0.475*44/12</f>
        <v>28.4691939167854</v>
      </c>
      <c r="EC96" s="21">
        <f>EXP(-LN(2)/2)*EC95+(1-EXP(-LN(2)/2))/(LN(2)/2)*DW96*DZ96*VLOOKUP('Données projet'!$B$14,Paramètres!$A$1:$I$89,3,0)*0.475*44/12</f>
        <v>0.67614184304925973</v>
      </c>
      <c r="ED96" s="22">
        <f t="shared" si="72"/>
        <v>61.107412794956986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45">
      <c r="A97" s="10">
        <f t="shared" si="85"/>
        <v>94</v>
      </c>
      <c r="B97" s="73">
        <f>'Scénario référence'!$B$16*5+'Scénario référence'!$B$17*0+'Scénario référence'!$B$18*5</f>
        <v>5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1">
        <f t="shared" si="86"/>
        <v>0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18.333333333333332</v>
      </c>
      <c r="H97" s="67">
        <f t="shared" si="56"/>
        <v>183.33333333333334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>
        <f>VLOOKUP(A97,'Données projet'!$A$35:$I$55,2,0)</f>
        <v>380.13</v>
      </c>
      <c r="L97" s="12">
        <f>VLOOKUP(A97,'Données projet'!$A$35:$I$55,9,0)</f>
        <v>9.1730000000000018</v>
      </c>
      <c r="M97" s="12">
        <f t="array" ref="M97">INDEX(L:L,MIN(IF(ISNUMBER(L97:L293),ROW(L97:L293),"")))</f>
        <v>9.1730000000000018</v>
      </c>
      <c r="N97" s="13">
        <f>IF('Données projet'!$A$36&gt;35,N96+M97-V96,IF(A97&lt;'Données projet'!$A$36,$K$205^A97,IF(A97='Données projet'!$A$36,'Données projet'!$B$36,N96+M97-V96)))</f>
        <v>380.13000000000051</v>
      </c>
      <c r="O97" s="13">
        <f>N97*VLOOKUP('Données projet'!$B$9,Paramètres!$A$1:$I$89,3,0)*VLOOKUP('Données projet'!$B$9,Paramètres!$A$1:$I$89,5,0)</f>
        <v>343.94162400000044</v>
      </c>
      <c r="P97" s="13">
        <f t="shared" si="87"/>
        <v>80.313763789484966</v>
      </c>
      <c r="Q97" s="20">
        <f t="shared" si="54"/>
        <v>738.91146706668712</v>
      </c>
      <c r="R97" s="59">
        <f t="shared" si="55"/>
        <v>1014.5519821439257</v>
      </c>
      <c r="S97" s="59">
        <f ca="1">AVERAGE(OFFSET($R$3,0,0,'Données projet'!$E$9+1,1))-AVERAGE(OFFSET($H$3,0,0,'Données projet'!$E$9+1,1))</f>
        <v>681.47578137804555</v>
      </c>
      <c r="T97" s="59">
        <f t="shared" si="88"/>
        <v>300.88511065995885</v>
      </c>
      <c r="U97" s="15">
        <f>IF(ISNA(VLOOKUP(A97,'Données projet'!$A$35:$I$55,3,0)),0,VLOOKUP(A97,'Données projet'!$A$35:$I$55,3,0))</f>
        <v>7</v>
      </c>
      <c r="V97" s="15">
        <f>IF(ISNA(VLOOKUP(A97,'Données projet'!$A$35:$I$55,4,0)),0,VLOOKUP(A97,'Données projet'!$A$35:$I$55,4,0))</f>
        <v>67.350000000000023</v>
      </c>
      <c r="W97" s="16">
        <f>IF(ISNA(VLOOKUP(A97,'Données projet'!$A$35:$I$55,5,0)),0%,VLOOKUP(A97,'Données projet'!$A$35:$I$55,5,0)*VLOOKUP('Données projet'!$B$9,Paramètres!$A$1:$I$89,7,0))</f>
        <v>0.15049999999999999</v>
      </c>
      <c r="X97" s="16">
        <f>IF(ISNA(VLOOKUP(A97,'Données projet'!$A$35:$I$55,6,0)),0%,VLOOKUP(A97,'Données projet'!$A$35:$I$55,6,0)*VLOOKUP('Données projet'!$B$9,Paramètres!$A$1:$I$89,7,0))</f>
        <v>8.6000000000000007E-2</v>
      </c>
      <c r="Y97" s="16">
        <f>IF(ISNA(VLOOKUP(A97,'Données projet'!$A$35:$I$55,7,0)),0%,VLOOKUP(A97,'Données projet'!$A$35:$I$55,7,0))</f>
        <v>0.1</v>
      </c>
      <c r="Z97" s="21">
        <f>EXP(-LN(2)/35)*Z96+(1-EXP(-LN(2)/35))/(LN(2)/35)*V97*W97*VLOOKUP('Données projet'!$B$9,Paramètres!$A$1:$I$89,3,0)*0.475*44/12</f>
        <v>28.215969128647792</v>
      </c>
      <c r="AA97" s="21">
        <f>EXP(-LN(2)/25)*AA96+(1-EXP(-LN(2)/25))/(LN(2)/25)*Calculateur!V97*Calculateur!X97*VLOOKUP('Données projet'!$B$9,Paramètres!$A$1:$I$89,3,0)*0.475*44/12</f>
        <v>28.18695085333249</v>
      </c>
      <c r="AB97" s="21">
        <f>EXP(-LN(2)/2)*AB96+(1-EXP(-LN(2)/2))/(LN(2)/2)*V97*Y97*VLOOKUP('Données projet'!$B$9,Paramètres!$A$1:$I$89,3,0)*0.475*44/12</f>
        <v>5.9322004637288286</v>
      </c>
      <c r="AC97" s="22">
        <f t="shared" si="57"/>
        <v>62.335120445709109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9.4258333333333351</v>
      </c>
      <c r="AI97" s="13">
        <f>IF('Données projet'!$A$62&gt;35,AI96+AH97-AQ96,IF(A97&lt;'Données projet'!$A$62,$AF$205^A97,IF(A97='Données projet'!$A$62,'Données projet'!$B$62,AI96+AH97-AQ96)))</f>
        <v>400.22083333333353</v>
      </c>
      <c r="AJ97" s="13">
        <f>AI97*VLOOKUP('Données projet'!$B$10,Paramètres!$A$1:$I$89,3,0)*VLOOKUP('Données projet'!$B$10,Paramètres!$A$1:$I$89,5,0)</f>
        <v>187.30335000000008</v>
      </c>
      <c r="AK97" s="13">
        <f t="shared" si="89"/>
        <v>46.943266733511237</v>
      </c>
      <c r="AL97" s="20">
        <f t="shared" si="58"/>
        <v>407.97952414419888</v>
      </c>
      <c r="AM97" s="59">
        <f t="shared" si="59"/>
        <v>683.62003922143731</v>
      </c>
      <c r="AN97" s="59">
        <f ca="1">AVERAGE(OFFSET($AM$3,0,0,'Données projet'!$E$10+1,1))-AVERAGE(OFFSET($H$3,0,0,'Données projet'!$E$10+1,1))</f>
        <v>325.45940224919184</v>
      </c>
      <c r="AO97" s="59">
        <f t="shared" si="90"/>
        <v>256.30046621034876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46.203831197704567</v>
      </c>
      <c r="AV97" s="21">
        <f>EXP(-LN(2)/25)*AV96+(1-EXP(-LN(2)/25))/(LN(2)/25)*Calculateur!AQ97*Calculateur!AS97*VLOOKUP('Données projet'!$B$10,Paramètres!$A$1:$I$89,3,0)*0.475*44/12</f>
        <v>16.158440584602275</v>
      </c>
      <c r="AW97" s="21">
        <f>EXP(-LN(2)/2)*AW96+(1-EXP(-LN(2)/2))/(LN(2)/2)*AQ97*AT97*VLOOKUP('Données projet'!$B$10,Paramètres!$A$1:$I$89,3,0)*0.475*44/12</f>
        <v>0.88064065910097744</v>
      </c>
      <c r="AX97" s="21">
        <f t="shared" si="60"/>
        <v>63.242912441407817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6.7600000000000007</v>
      </c>
      <c r="BD97" s="12">
        <f>IF('Données projet'!$A$88&gt;35,BD96+BC97-BL96,IF(A97&lt;'Données projet'!$A$88,$BA$205^A97,IF(A97='Données projet'!$A$88,'Données projet'!$B$88,BD96+BC97-BL96)))</f>
        <v>245.80999999999989</v>
      </c>
      <c r="BE97" s="13">
        <f>BD97*VLOOKUP('Données projet'!$B$11,Paramètres!$A$1:$I$89,3,0)*VLOOKUP('Données projet'!$B$11,Paramètres!$A$1:$I$89,5,0)</f>
        <v>249.25133999999991</v>
      </c>
      <c r="BF97" s="13">
        <f t="shared" si="91"/>
        <v>60.42559860911723</v>
      </c>
      <c r="BG97" s="20">
        <f t="shared" si="61"/>
        <v>539.35400141087905</v>
      </c>
      <c r="BH97" s="59">
        <f t="shared" si="62"/>
        <v>814.9945164881176</v>
      </c>
      <c r="BI97" s="59">
        <f ca="1">AVERAGE(OFFSET($BH$3,0,0,'Données projet'!$E$11+1,1))-AVERAGE(OFFSET($H$3,0,0,'Données projet'!$E$11+1,1))</f>
        <v>580.02848304986492</v>
      </c>
      <c r="BJ97" s="59">
        <f t="shared" si="92"/>
        <v>281.68891895586728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5.4051652679678943</v>
      </c>
      <c r="BQ97" s="21">
        <f>EXP(-LN(2)/25)*BQ96+(1-EXP(-LN(2)/25))/(LN(2)/25)*Calculateur!BL97*Calculateur!BN97*VLOOKUP('Données projet'!$B$11,Paramètres!$A$1:$I$89,3,0)*0.475*44/12</f>
        <v>30.038449825083497</v>
      </c>
      <c r="BR97" s="21">
        <f>EXP(-LN(2)/2)*BR96+(1-EXP(-LN(2)/2))/(LN(2)/2)*BL97*BO97*VLOOKUP('Données projet'!$B$11,Paramètres!$A$1:$I$89,3,0)*0.475*44/12</f>
        <v>0.24391877947124521</v>
      </c>
      <c r="BS97" s="22">
        <f t="shared" si="63"/>
        <v>35.687533872522636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>
        <f>BY97*VLOOKUP('Données projet'!$B$12,Paramètres!$A$1:$I$89,3,0)*VLOOKUP('Données projet'!$B$12,Paramètres!$A$1:$I$89,5,0)</f>
        <v>0</v>
      </c>
      <c r="CA97" s="13" t="e">
        <f t="shared" si="93"/>
        <v>#NUM!</v>
      </c>
      <c r="CB97" s="20" t="e">
        <f t="shared" si="64"/>
        <v>#NUM!</v>
      </c>
      <c r="CC97" s="59" t="e">
        <f t="shared" si="65"/>
        <v>#NUM!</v>
      </c>
      <c r="CD97" s="59">
        <f ca="1">AVERAGE(OFFSET($CC$3,0,0,'Données projet'!$E$12+1,1))-AVERAGE(OFFSET($H$3,0,0,'Données projet'!$E$12+1,1))</f>
        <v>439.15394290667945</v>
      </c>
      <c r="CE97" s="59">
        <f t="shared" si="94"/>
        <v>423.56554025351068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38.22909064327483</v>
      </c>
      <c r="CL97" s="21">
        <f>EXP(-LN(2)/25)*CL96+(1-EXP(-LN(2)/25))/(LN(2)/25)*Calculateur!CG97*Calculateur!CI97*VLOOKUP('Données projet'!$B$12,Paramètres!$A$1:$I$89,3,0)*0.475*44/12</f>
        <v>33.782656820641307</v>
      </c>
      <c r="CM97" s="21">
        <f>EXP(-LN(2)/2)*CM96+(1-EXP(-LN(2)/2))/(LN(2)/2)*CG97*CJ97*VLOOKUP('Données projet'!$B$12,Paramètres!$A$1:$I$89,3,0)*0.475*44/12</f>
        <v>0.58328746836220391</v>
      </c>
      <c r="CN97" s="22">
        <f t="shared" si="66"/>
        <v>72.595034932278338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>
        <f>CT97*VLOOKUP('Données projet'!$B$13,Paramètres!$A$1:$I$89,3,0)*VLOOKUP('Données projet'!$B$13,Paramètres!$A$1:$I$89,5,0)</f>
        <v>0</v>
      </c>
      <c r="CV97" s="13" t="e">
        <f t="shared" si="95"/>
        <v>#NUM!</v>
      </c>
      <c r="CW97" s="20" t="e">
        <f t="shared" si="67"/>
        <v>#NUM!</v>
      </c>
      <c r="CX97" s="59" t="e">
        <f t="shared" si="68"/>
        <v>#NUM!</v>
      </c>
      <c r="CY97" s="59">
        <f ca="1">AVERAGE(OFFSET($CX$3,0,0,'Données projet'!$E$13+1,1))-AVERAGE(OFFSET($H$3,0,0,'Données projet'!$E$13+1,1))</f>
        <v>408.246209980743</v>
      </c>
      <c r="CZ97" s="59">
        <f t="shared" si="96"/>
        <v>394.10236303013903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>
        <f>EXP(-LN(2)/35)*DF96+(1-EXP(-LN(2)/35))/(LN(2)/35)*DB97*DC97*VLOOKUP('Données projet'!$B$13,Paramètres!$A$1:$I$89,3,0)*0.475*44/12</f>
        <v>43.257316442714348</v>
      </c>
      <c r="DG97" s="21">
        <f>EXP(-LN(2)/25)*DG96+(1-EXP(-LN(2)/25))/(LN(2)/25)*Calculateur!DB97*Calculateur!DD97*VLOOKUP('Données projet'!$B$13,Paramètres!$A$1:$I$89,3,0)*0.475*44/12</f>
        <v>38.226048586985669</v>
      </c>
      <c r="DH97" s="21">
        <f>EXP(-LN(2)/2)*DH96+(1-EXP(-LN(2)/2))/(LN(2)/2)*DB97*DE97*VLOOKUP('Données projet'!$B$13,Paramètres!$A$1:$I$89,3,0)*0.475*44/12</f>
        <v>0.5354770201357939</v>
      </c>
      <c r="DI97" s="22">
        <f t="shared" si="69"/>
        <v>82.018842049835825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>
        <f>DO97*VLOOKUP('Données projet'!$B$14,Paramètres!$A$1:$I$89,3,0)*VLOOKUP('Données projet'!$B$14,Paramètres!$A$1:$I$89,5,0)</f>
        <v>0</v>
      </c>
      <c r="DQ97" s="13" t="e">
        <f t="shared" si="97"/>
        <v>#NUM!</v>
      </c>
      <c r="DR97" s="20" t="e">
        <f t="shared" si="70"/>
        <v>#NUM!</v>
      </c>
      <c r="DS97" s="59" t="e">
        <f t="shared" si="71"/>
        <v>#NUM!</v>
      </c>
      <c r="DT97" s="59">
        <f ca="1">AVERAGE(OFFSET($DS$3,0,0,'Données projet'!$E$14+1,1))-AVERAGE(OFFSET($H$3,0,0,'Données projet'!$E$14+1,1))</f>
        <v>371.07993287480366</v>
      </c>
      <c r="DU97" s="59">
        <f t="shared" si="98"/>
        <v>358.67120540290637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>
        <f>EXP(-LN(2)/35)*EA96+(1-EXP(-LN(2)/35))/(LN(2)/35)*DW97*DX97*VLOOKUP('Données projet'!$B$14,Paramètres!$A$1:$I$89,3,0)*0.475*44/12</f>
        <v>31.335320199405604</v>
      </c>
      <c r="EB97" s="21">
        <f>EXP(-LN(2)/25)*EB96+(1-EXP(-LN(2)/25))/(LN(2)/25)*Calculateur!DW97*Calculateur!DY97*VLOOKUP('Données projet'!$B$14,Paramètres!$A$1:$I$89,3,0)*0.475*44/12</f>
        <v>27.690702312001061</v>
      </c>
      <c r="EC97" s="21">
        <f>EXP(-LN(2)/2)*EC96+(1-EXP(-LN(2)/2))/(LN(2)/2)*DW97*DZ97*VLOOKUP('Données projet'!$B$14,Paramètres!$A$1:$I$89,3,0)*0.475*44/12</f>
        <v>0.4781044822641019</v>
      </c>
      <c r="ED97" s="22">
        <f t="shared" si="72"/>
        <v>59.504126993670766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45">
      <c r="A98" s="10">
        <f t="shared" si="85"/>
        <v>95</v>
      </c>
      <c r="B98" s="73">
        <f>'Scénario référence'!$B$16*5+'Scénario référence'!$B$17*0+'Scénario référence'!$B$18*5</f>
        <v>5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1">
        <f t="shared" si="86"/>
        <v>0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18.333333333333332</v>
      </c>
      <c r="H98" s="67">
        <f t="shared" si="56"/>
        <v>183.33333333333334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8.9420000000000019</v>
      </c>
      <c r="N98" s="13">
        <f>IF('Données projet'!$A$36&gt;35,N97+M98-V97,IF(A98&lt;'Données projet'!$A$36,$K$205^A98,IF(A98='Données projet'!$A$36,'Données projet'!$B$36,N97+M98-V97)))</f>
        <v>321.72200000000049</v>
      </c>
      <c r="O98" s="13">
        <f>N98*VLOOKUP('Données projet'!$B$9,Paramètres!$A$1:$I$89,3,0)*VLOOKUP('Données projet'!$B$9,Paramètres!$A$1:$I$89,5,0)</f>
        <v>291.09406560000048</v>
      </c>
      <c r="P98" s="13">
        <f t="shared" si="87"/>
        <v>69.306175582041092</v>
      </c>
      <c r="Q98" s="20">
        <f t="shared" si="54"/>
        <v>627.697086725389</v>
      </c>
      <c r="R98" s="59">
        <f t="shared" si="55"/>
        <v>903.64453264415488</v>
      </c>
      <c r="S98" s="59">
        <f ca="1">AVERAGE(OFFSET($R$3,0,0,'Données projet'!$E$9+1,1))-AVERAGE(OFFSET($H$3,0,0,'Données projet'!$E$9+1,1))</f>
        <v>681.47578137804555</v>
      </c>
      <c r="T98" s="59">
        <f t="shared" si="88"/>
        <v>300.88511065995885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27.662671184076828</v>
      </c>
      <c r="AA98" s="21">
        <f>EXP(-LN(2)/25)*AA97+(1-EXP(-LN(2)/25))/(LN(2)/25)*Calculateur!V98*Calculateur!X98*VLOOKUP('Données projet'!$B$9,Paramètres!$A$1:$I$89,3,0)*0.475*44/12</f>
        <v>27.416177199960789</v>
      </c>
      <c r="AB98" s="21">
        <f>EXP(-LN(2)/2)*AB97+(1-EXP(-LN(2)/2))/(LN(2)/2)*V98*Y98*VLOOKUP('Données projet'!$B$9,Paramètres!$A$1:$I$89,3,0)*0.475*44/12</f>
        <v>4.1946991752606371</v>
      </c>
      <c r="AC98" s="22">
        <f t="shared" si="57"/>
        <v>59.273547559298251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9.4258333333333351</v>
      </c>
      <c r="AI98" s="13">
        <f>IF('Données projet'!$A$62&gt;35,AI97+AH98-AQ97,IF(A98&lt;'Données projet'!$A$62,$AF$205^A98,IF(A98='Données projet'!$A$62,'Données projet'!$B$62,AI97+AH98-AQ97)))</f>
        <v>409.64666666666687</v>
      </c>
      <c r="AJ98" s="13">
        <f>AI98*VLOOKUP('Données projet'!$B$10,Paramètres!$A$1:$I$89,3,0)*VLOOKUP('Données projet'!$B$10,Paramètres!$A$1:$I$89,5,0)</f>
        <v>191.71464000000009</v>
      </c>
      <c r="AK98" s="13">
        <f t="shared" si="89"/>
        <v>47.918836973633752</v>
      </c>
      <c r="AL98" s="20">
        <f t="shared" si="58"/>
        <v>417.36163906241222</v>
      </c>
      <c r="AM98" s="59">
        <f t="shared" si="59"/>
        <v>693.3090849811781</v>
      </c>
      <c r="AN98" s="59">
        <f ca="1">AVERAGE(OFFSET($AM$3,0,0,'Données projet'!$E$10+1,1))-AVERAGE(OFFSET($H$3,0,0,'Données projet'!$E$10+1,1))</f>
        <v>325.45940224919184</v>
      </c>
      <c r="AO98" s="59">
        <f t="shared" si="90"/>
        <v>256.30046621034876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45.297802249471914</v>
      </c>
      <c r="AV98" s="21">
        <f>EXP(-LN(2)/25)*AV97+(1-EXP(-LN(2)/25))/(LN(2)/25)*Calculateur!AQ98*Calculateur!AS98*VLOOKUP('Données projet'!$B$10,Paramètres!$A$1:$I$89,3,0)*0.475*44/12</f>
        <v>15.716587177080866</v>
      </c>
      <c r="AW98" s="21">
        <f>EXP(-LN(2)/2)*AW97+(1-EXP(-LN(2)/2))/(LN(2)/2)*AQ98*AT98*VLOOKUP('Données projet'!$B$10,Paramètres!$A$1:$I$89,3,0)*0.475*44/12</f>
        <v>0.62270698183889184</v>
      </c>
      <c r="AX98" s="21">
        <f t="shared" si="60"/>
        <v>61.63709640839167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>
        <f>VLOOKUP(A98,'Données projet'!$A$87:$I$107,2,0)</f>
        <v>252.57</v>
      </c>
      <c r="BB98" s="12">
        <f>VLOOKUP(A98,'Données projet'!$A$87:$I$107,9,0)</f>
        <v>6.7600000000000007</v>
      </c>
      <c r="BC98" s="12">
        <f t="array" ref="BC98">INDEX(BB:BB,MIN(IF(ISNUMBER(BB98:BB294),ROW(BB98:BB294),"")))</f>
        <v>6.7600000000000007</v>
      </c>
      <c r="BD98" s="12">
        <f>IF('Données projet'!$A$88&gt;35,BD97+BC98-BL97,IF(A98&lt;'Données projet'!$A$88,$BA$205^A98,IF(A98='Données projet'!$A$88,'Données projet'!$B$88,BD97+BC98-BL97)))</f>
        <v>252.56999999999988</v>
      </c>
      <c r="BE98" s="13">
        <f>BD98*VLOOKUP('Données projet'!$B$11,Paramètres!$A$1:$I$89,3,0)*VLOOKUP('Données projet'!$B$11,Paramètres!$A$1:$I$89,5,0)</f>
        <v>256.10597999999987</v>
      </c>
      <c r="BF98" s="13">
        <f t="shared" si="91"/>
        <v>61.89160266777624</v>
      </c>
      <c r="BG98" s="20">
        <f t="shared" si="61"/>
        <v>553.84578981304333</v>
      </c>
      <c r="BH98" s="59">
        <f t="shared" si="62"/>
        <v>829.79323573180932</v>
      </c>
      <c r="BI98" s="59">
        <f ca="1">AVERAGE(OFFSET($BH$3,0,0,'Données projet'!$E$11+1,1))-AVERAGE(OFFSET($H$3,0,0,'Données projet'!$E$11+1,1))</f>
        <v>580.02848304986492</v>
      </c>
      <c r="BJ98" s="59">
        <f t="shared" si="92"/>
        <v>281.68891895586728</v>
      </c>
      <c r="BK98" s="15">
        <f>IF(ISNA(VLOOKUP(A98,'Données projet'!$A$87:$I$107,3,0)),0,VLOOKUP(A98,'Données projet'!$A$87:$I$107,3,0))</f>
        <v>5</v>
      </c>
      <c r="BL98" s="15">
        <f>IF(ISNA(VLOOKUP(A98,'Données projet'!$A$87:$I$107,4,0)),0,VLOOKUP(A98,'Données projet'!$A$87:$I$107,4,0))</f>
        <v>42.199999999999989</v>
      </c>
      <c r="BM98" s="16">
        <f>IF(ISNA(VLOOKUP(A98,'Données projet'!$A$87:$I$107,5,0)),0%,VLOOKUP(A98,'Données projet'!$A$87:$I$107,5,0)*VLOOKUP('Données projet'!$B$11,Paramètres!$A$1:$I$89,7,0))</f>
        <v>0.15049999999999999</v>
      </c>
      <c r="BN98" s="16">
        <f>IF(ISNA(VLOOKUP(A98,'Données projet'!$A$87:$I$107,6,0)),0%,VLOOKUP(A98,'Données projet'!$A$87:$I$107,6,0)*VLOOKUP('Données projet'!$B$11,Paramètres!$A$1:$I$89,7,0))</f>
        <v>8.6000000000000007E-2</v>
      </c>
      <c r="BO98" s="16">
        <f>IF(ISNA(VLOOKUP(A98,'Données projet'!$A$87:$I$107,7,0)),0%,VLOOKUP(A98,'Données projet'!$A$87:$I$107,7,0))</f>
        <v>0.1</v>
      </c>
      <c r="BP98" s="21">
        <f>EXP(-LN(2)/35)*BP97+(1-EXP(-LN(2)/35))/(LN(2)/35)*BL98*BM98*VLOOKUP('Données projet'!$B$11,Paramètres!$A$1:$I$89,3,0)*0.475*44/12</f>
        <v>12.418419542324367</v>
      </c>
      <c r="BQ98" s="21">
        <f>EXP(-LN(2)/25)*BQ97+(1-EXP(-LN(2)/25))/(LN(2)/25)*Calculateur!BL98*Calculateur!BN98*VLOOKUP('Données projet'!$B$11,Paramètres!$A$1:$I$89,3,0)*0.475*44/12</f>
        <v>33.269169739667007</v>
      </c>
      <c r="BR98" s="21">
        <f>EXP(-LN(2)/2)*BR97+(1-EXP(-LN(2)/2))/(LN(2)/2)*BL98*BO98*VLOOKUP('Données projet'!$B$11,Paramètres!$A$1:$I$89,3,0)*0.475*44/12</f>
        <v>4.2099037727724866</v>
      </c>
      <c r="BS98" s="22">
        <f t="shared" si="63"/>
        <v>49.897493054763856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>
        <f>BY98*VLOOKUP('Données projet'!$B$12,Paramètres!$A$1:$I$89,3,0)*VLOOKUP('Données projet'!$B$12,Paramètres!$A$1:$I$89,5,0)</f>
        <v>0</v>
      </c>
      <c r="CA98" s="13" t="e">
        <f t="shared" si="93"/>
        <v>#NUM!</v>
      </c>
      <c r="CB98" s="20" t="e">
        <f t="shared" si="64"/>
        <v>#NUM!</v>
      </c>
      <c r="CC98" s="59" t="e">
        <f t="shared" si="65"/>
        <v>#NUM!</v>
      </c>
      <c r="CD98" s="59">
        <f ca="1">AVERAGE(OFFSET($CC$3,0,0,'Données projet'!$E$12+1,1))-AVERAGE(OFFSET($H$3,0,0,'Données projet'!$E$12+1,1))</f>
        <v>439.15394290667945</v>
      </c>
      <c r="CE98" s="59">
        <f t="shared" si="94"/>
        <v>423.56554025351068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37.479441493203097</v>
      </c>
      <c r="CL98" s="21">
        <f>EXP(-LN(2)/25)*CL97+(1-EXP(-LN(2)/25))/(LN(2)/25)*Calculateur!CG98*Calculateur!CI98*VLOOKUP('Données projet'!$B$12,Paramètres!$A$1:$I$89,3,0)*0.475*44/12</f>
        <v>32.858868293328158</v>
      </c>
      <c r="CM98" s="21">
        <f>EXP(-LN(2)/2)*CM97+(1-EXP(-LN(2)/2))/(LN(2)/2)*CG98*CJ98*VLOOKUP('Données projet'!$B$12,Paramètres!$A$1:$I$89,3,0)*0.475*44/12</f>
        <v>0.41244652426004819</v>
      </c>
      <c r="CN98" s="22">
        <f t="shared" si="66"/>
        <v>70.750756310791303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>
        <f>CT98*VLOOKUP('Données projet'!$B$13,Paramètres!$A$1:$I$89,3,0)*VLOOKUP('Données projet'!$B$13,Paramètres!$A$1:$I$89,5,0)</f>
        <v>0</v>
      </c>
      <c r="CV98" s="13" t="e">
        <f t="shared" si="95"/>
        <v>#NUM!</v>
      </c>
      <c r="CW98" s="20" t="e">
        <f t="shared" si="67"/>
        <v>#NUM!</v>
      </c>
      <c r="CX98" s="59" t="e">
        <f t="shared" si="68"/>
        <v>#NUM!</v>
      </c>
      <c r="CY98" s="59">
        <f ca="1">AVERAGE(OFFSET($CX$3,0,0,'Données projet'!$E$13+1,1))-AVERAGE(OFFSET($H$3,0,0,'Données projet'!$E$13+1,1))</f>
        <v>408.246209980743</v>
      </c>
      <c r="CZ98" s="59">
        <f t="shared" si="96"/>
        <v>394.10236303013903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>
        <f>EXP(-LN(2)/35)*DF97+(1-EXP(-LN(2)/35))/(LN(2)/35)*DB98*DC98*VLOOKUP('Données projet'!$B$13,Paramètres!$A$1:$I$89,3,0)*0.475*44/12</f>
        <v>42.409066851630513</v>
      </c>
      <c r="DG98" s="21">
        <f>EXP(-LN(2)/25)*DG97+(1-EXP(-LN(2)/25))/(LN(2)/25)*Calculateur!DB98*Calculateur!DD98*VLOOKUP('Données projet'!$B$13,Paramètres!$A$1:$I$89,3,0)*0.475*44/12</f>
        <v>37.180755278154017</v>
      </c>
      <c r="DH98" s="21">
        <f>EXP(-LN(2)/2)*DH97+(1-EXP(-LN(2)/2))/(LN(2)/2)*DB98*DE98*VLOOKUP('Données projet'!$B$13,Paramètres!$A$1:$I$89,3,0)*0.475*44/12</f>
        <v>0.37863943210758533</v>
      </c>
      <c r="DI98" s="22">
        <f t="shared" si="69"/>
        <v>79.968461561892113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>
        <f>DO98*VLOOKUP('Données projet'!$B$14,Paramètres!$A$1:$I$89,3,0)*VLOOKUP('Données projet'!$B$14,Paramètres!$A$1:$I$89,5,0)</f>
        <v>0</v>
      </c>
      <c r="DQ98" s="13" t="e">
        <f t="shared" si="97"/>
        <v>#NUM!</v>
      </c>
      <c r="DR98" s="20" t="e">
        <f t="shared" si="70"/>
        <v>#NUM!</v>
      </c>
      <c r="DS98" s="59" t="e">
        <f t="shared" si="71"/>
        <v>#NUM!</v>
      </c>
      <c r="DT98" s="59">
        <f ca="1">AVERAGE(OFFSET($DS$3,0,0,'Données projet'!$E$14+1,1))-AVERAGE(OFFSET($H$3,0,0,'Données projet'!$E$14+1,1))</f>
        <v>371.07993287480366</v>
      </c>
      <c r="DU98" s="59">
        <f t="shared" si="98"/>
        <v>358.67120540290637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>
        <f>EXP(-LN(2)/35)*EA97+(1-EXP(-LN(2)/35))/(LN(2)/35)*DW98*DX98*VLOOKUP('Données projet'!$B$14,Paramètres!$A$1:$I$89,3,0)*0.475*44/12</f>
        <v>30.720853682953365</v>
      </c>
      <c r="EB98" s="21">
        <f>EXP(-LN(2)/25)*EB97+(1-EXP(-LN(2)/25))/(LN(2)/25)*Calculateur!DW98*Calculateur!DY98*VLOOKUP('Données projet'!$B$14,Paramètres!$A$1:$I$89,3,0)*0.475*44/12</f>
        <v>26.933498601088647</v>
      </c>
      <c r="EC98" s="21">
        <f>EXP(-LN(2)/2)*EC97+(1-EXP(-LN(2)/2))/(LN(2)/2)*DW98*DZ98*VLOOKUP('Données projet'!$B$14,Paramètres!$A$1:$I$89,3,0)*0.475*44/12</f>
        <v>0.33807092152462992</v>
      </c>
      <c r="ED98" s="22">
        <f t="shared" si="72"/>
        <v>57.992423205566645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45">
      <c r="A99" s="10">
        <f t="shared" si="85"/>
        <v>96</v>
      </c>
      <c r="B99" s="73">
        <f>'Scénario référence'!$B$16*5+'Scénario référence'!$B$17*0+'Scénario référence'!$B$18*5</f>
        <v>5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1">
        <f t="shared" si="86"/>
        <v>0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18.333333333333332</v>
      </c>
      <c r="H99" s="67">
        <f t="shared" si="56"/>
        <v>183.33333333333334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8.9420000000000019</v>
      </c>
      <c r="N99" s="13">
        <f>IF('Données projet'!$A$36&gt;35,N98+M99-V98,IF(A99&lt;'Données projet'!$A$36,$K$205^A99,IF(A99='Données projet'!$A$36,'Données projet'!$B$36,N98+M99-V98)))</f>
        <v>330.6640000000005</v>
      </c>
      <c r="O99" s="13">
        <f>N99*VLOOKUP('Données projet'!$B$9,Paramètres!$A$1:$I$89,3,0)*VLOOKUP('Données projet'!$B$9,Paramètres!$A$1:$I$89,5,0)</f>
        <v>299.18478720000041</v>
      </c>
      <c r="P99" s="13">
        <f t="shared" si="87"/>
        <v>71.005536504727559</v>
      </c>
      <c r="Q99" s="20">
        <f t="shared" ref="Q99:Q130" si="107">(O99+P99)*0.475*44/12</f>
        <v>644.74814711906788</v>
      </c>
      <c r="R99" s="59">
        <f t="shared" si="55"/>
        <v>920.9971993154553</v>
      </c>
      <c r="S99" s="59">
        <f ca="1">AVERAGE(OFFSET($R$3,0,0,'Données projet'!$E$9+1,1))-AVERAGE(OFFSET($H$3,0,0,'Données projet'!$E$9+1,1))</f>
        <v>681.47578137804555</v>
      </c>
      <c r="T99" s="59">
        <f t="shared" si="88"/>
        <v>300.88511065995885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27.120223074720478</v>
      </c>
      <c r="AA99" s="21">
        <f>EXP(-LN(2)/25)*AA98+(1-EXP(-LN(2)/25))/(LN(2)/25)*Calculateur!V99*Calculateur!X99*VLOOKUP('Données projet'!$B$9,Paramètres!$A$1:$I$89,3,0)*0.475*44/12</f>
        <v>26.666480392673762</v>
      </c>
      <c r="AB99" s="21">
        <f>EXP(-LN(2)/2)*AB98+(1-EXP(-LN(2)/2))/(LN(2)/2)*V99*Y99*VLOOKUP('Données projet'!$B$9,Paramètres!$A$1:$I$89,3,0)*0.475*44/12</f>
        <v>2.9661002318644147</v>
      </c>
      <c r="AC99" s="22">
        <f t="shared" si="57"/>
        <v>56.752803699258656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9.4258333333333351</v>
      </c>
      <c r="AI99" s="13">
        <f>IF('Données projet'!$A$62&gt;35,AI98+AH99-AQ98,IF(A99&lt;'Données projet'!$A$62,$AF$205^A99,IF(A99='Données projet'!$A$62,'Données projet'!$B$62,AI98+AH99-AQ98)))</f>
        <v>419.07250000000022</v>
      </c>
      <c r="AJ99" s="13">
        <f>AI99*VLOOKUP('Données projet'!$B$10,Paramètres!$A$1:$I$89,3,0)*VLOOKUP('Données projet'!$B$10,Paramètres!$A$1:$I$89,5,0)</f>
        <v>196.1259300000001</v>
      </c>
      <c r="AK99" s="13">
        <f t="shared" si="89"/>
        <v>48.891797571959543</v>
      </c>
      <c r="AL99" s="20">
        <f t="shared" si="58"/>
        <v>426.73920885449638</v>
      </c>
      <c r="AM99" s="59">
        <f t="shared" si="59"/>
        <v>702.98826105088381</v>
      </c>
      <c r="AN99" s="59">
        <f ca="1">AVERAGE(OFFSET($AM$3,0,0,'Données projet'!$E$10+1,1))-AVERAGE(OFFSET($H$3,0,0,'Données projet'!$E$10+1,1))</f>
        <v>325.45940224919184</v>
      </c>
      <c r="AO99" s="59">
        <f t="shared" si="90"/>
        <v>256.30046621034876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44.409539976291015</v>
      </c>
      <c r="AV99" s="21">
        <f>EXP(-LN(2)/25)*AV98+(1-EXP(-LN(2)/25))/(LN(2)/25)*Calculateur!AQ99*Calculateur!AS99*VLOOKUP('Données projet'!$B$10,Paramètres!$A$1:$I$89,3,0)*0.475*44/12</f>
        <v>15.286816274224192</v>
      </c>
      <c r="AW99" s="21">
        <f>EXP(-LN(2)/2)*AW98+(1-EXP(-LN(2)/2))/(LN(2)/2)*AQ99*AT99*VLOOKUP('Données projet'!$B$10,Paramètres!$A$1:$I$89,3,0)*0.475*44/12</f>
        <v>0.44032032955048872</v>
      </c>
      <c r="AX99" s="21">
        <f t="shared" si="60"/>
        <v>60.136676580065696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6.7777777777777777</v>
      </c>
      <c r="BD99" s="12">
        <f>IF('Données projet'!$A$88&gt;35,BD98+BC99-BL98,IF(A99&lt;'Données projet'!$A$88,$BA$205^A99,IF(A99='Données projet'!$A$88,'Données projet'!$B$88,BD98+BC99-BL98)))</f>
        <v>217.14777777777766</v>
      </c>
      <c r="BE99" s="13">
        <f>BD99*VLOOKUP('Données projet'!$B$11,Paramètres!$A$1:$I$89,3,0)*VLOOKUP('Données projet'!$B$11,Paramètres!$A$1:$I$89,5,0)</f>
        <v>220.18784666666656</v>
      </c>
      <c r="BF99" s="13">
        <f t="shared" si="91"/>
        <v>54.155711237243175</v>
      </c>
      <c r="BG99" s="20">
        <f t="shared" si="61"/>
        <v>477.81503001597611</v>
      </c>
      <c r="BH99" s="59">
        <f t="shared" si="62"/>
        <v>754.06408221236347</v>
      </c>
      <c r="BI99" s="59">
        <f ca="1">AVERAGE(OFFSET($BH$3,0,0,'Données projet'!$E$11+1,1))-AVERAGE(OFFSET($H$3,0,0,'Données projet'!$E$11+1,1))</f>
        <v>580.02848304986492</v>
      </c>
      <c r="BJ99" s="59">
        <f t="shared" si="92"/>
        <v>281.68891895586728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12.174901909587389</v>
      </c>
      <c r="BQ99" s="21">
        <f>EXP(-LN(2)/25)*BQ98+(1-EXP(-LN(2)/25))/(LN(2)/25)*Calculateur!BL99*Calculateur!BN99*VLOOKUP('Données projet'!$B$11,Paramètres!$A$1:$I$89,3,0)*0.475*44/12</f>
        <v>32.359422543586213</v>
      </c>
      <c r="BR99" s="21">
        <f>EXP(-LN(2)/2)*BR98+(1-EXP(-LN(2)/2))/(LN(2)/2)*BL99*BO99*VLOOKUP('Données projet'!$B$11,Paramètres!$A$1:$I$89,3,0)*0.475*44/12</f>
        <v>2.9768515058702558</v>
      </c>
      <c r="BS99" s="22">
        <f t="shared" si="63"/>
        <v>47.511175959043861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>
        <f>BY99*VLOOKUP('Données projet'!$B$12,Paramètres!$A$1:$I$89,3,0)*VLOOKUP('Données projet'!$B$12,Paramètres!$A$1:$I$89,5,0)</f>
        <v>0</v>
      </c>
      <c r="CA99" s="13" t="e">
        <f t="shared" si="93"/>
        <v>#NUM!</v>
      </c>
      <c r="CB99" s="20" t="e">
        <f t="shared" si="64"/>
        <v>#NUM!</v>
      </c>
      <c r="CC99" s="59" t="e">
        <f t="shared" si="65"/>
        <v>#NUM!</v>
      </c>
      <c r="CD99" s="59">
        <f ca="1">AVERAGE(OFFSET($CC$3,0,0,'Données projet'!$E$12+1,1))-AVERAGE(OFFSET($H$3,0,0,'Données projet'!$E$12+1,1))</f>
        <v>439.15394290667945</v>
      </c>
      <c r="CE99" s="59">
        <f t="shared" si="94"/>
        <v>423.56554025351068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36.744492505723436</v>
      </c>
      <c r="CL99" s="21">
        <f>EXP(-LN(2)/25)*CL98+(1-EXP(-LN(2)/25))/(LN(2)/25)*Calculateur!CG99*Calculateur!CI99*VLOOKUP('Données projet'!$B$12,Paramètres!$A$1:$I$89,3,0)*0.475*44/12</f>
        <v>31.960340811874314</v>
      </c>
      <c r="CM99" s="21">
        <f>EXP(-LN(2)/2)*CM98+(1-EXP(-LN(2)/2))/(LN(2)/2)*CG99*CJ99*VLOOKUP('Données projet'!$B$12,Paramètres!$A$1:$I$89,3,0)*0.475*44/12</f>
        <v>0.29164373418110195</v>
      </c>
      <c r="CN99" s="22">
        <f t="shared" si="66"/>
        <v>68.996477051778854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>
        <f>CT99*VLOOKUP('Données projet'!$B$13,Paramètres!$A$1:$I$89,3,0)*VLOOKUP('Données projet'!$B$13,Paramètres!$A$1:$I$89,5,0)</f>
        <v>0</v>
      </c>
      <c r="CV99" s="13" t="e">
        <f t="shared" si="95"/>
        <v>#NUM!</v>
      </c>
      <c r="CW99" s="20" t="e">
        <f t="shared" si="67"/>
        <v>#NUM!</v>
      </c>
      <c r="CX99" s="59" t="e">
        <f t="shared" si="68"/>
        <v>#NUM!</v>
      </c>
      <c r="CY99" s="59">
        <f ca="1">AVERAGE(OFFSET($CX$3,0,0,'Données projet'!$E$13+1,1))-AVERAGE(OFFSET($H$3,0,0,'Données projet'!$E$13+1,1))</f>
        <v>408.246209980743</v>
      </c>
      <c r="CZ99" s="59">
        <f t="shared" si="96"/>
        <v>394.10236303013903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>
        <f>EXP(-LN(2)/35)*DF98+(1-EXP(-LN(2)/35))/(LN(2)/35)*DB99*DC99*VLOOKUP('Données projet'!$B$13,Paramètres!$A$1:$I$89,3,0)*0.475*44/12</f>
        <v>41.577450917646665</v>
      </c>
      <c r="DG99" s="21">
        <f>EXP(-LN(2)/25)*DG98+(1-EXP(-LN(2)/25))/(LN(2)/25)*Calculateur!DB99*Calculateur!DD99*VLOOKUP('Données projet'!$B$13,Paramètres!$A$1:$I$89,3,0)*0.475*44/12</f>
        <v>36.164045569821951</v>
      </c>
      <c r="DH99" s="21">
        <f>EXP(-LN(2)/2)*DH98+(1-EXP(-LN(2)/2))/(LN(2)/2)*DB99*DE99*VLOOKUP('Données projet'!$B$13,Paramètres!$A$1:$I$89,3,0)*0.475*44/12</f>
        <v>0.26773851006789695</v>
      </c>
      <c r="DI99" s="22">
        <f t="shared" si="69"/>
        <v>78.009234997536524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>
        <f>DO99*VLOOKUP('Données projet'!$B$14,Paramètres!$A$1:$I$89,3,0)*VLOOKUP('Données projet'!$B$14,Paramètres!$A$1:$I$89,5,0)</f>
        <v>0</v>
      </c>
      <c r="DQ99" s="13" t="e">
        <f t="shared" si="97"/>
        <v>#NUM!</v>
      </c>
      <c r="DR99" s="20" t="e">
        <f t="shared" si="70"/>
        <v>#NUM!</v>
      </c>
      <c r="DS99" s="59" t="e">
        <f t="shared" si="71"/>
        <v>#NUM!</v>
      </c>
      <c r="DT99" s="59">
        <f ca="1">AVERAGE(OFFSET($DS$3,0,0,'Données projet'!$E$14+1,1))-AVERAGE(OFFSET($H$3,0,0,'Données projet'!$E$14+1,1))</f>
        <v>371.07993287480366</v>
      </c>
      <c r="DU99" s="59">
        <f t="shared" si="98"/>
        <v>358.67120540290637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>
        <f>EXP(-LN(2)/35)*EA98+(1-EXP(-LN(2)/35))/(LN(2)/35)*DW99*DX99*VLOOKUP('Données projet'!$B$14,Paramètres!$A$1:$I$89,3,0)*0.475*44/12</f>
        <v>30.118436480101185</v>
      </c>
      <c r="EB99" s="21">
        <f>EXP(-LN(2)/25)*EB98+(1-EXP(-LN(2)/25))/(LN(2)/25)*Calculateur!DW99*Calculateur!DY99*VLOOKUP('Données projet'!$B$14,Paramètres!$A$1:$I$89,3,0)*0.475*44/12</f>
        <v>26.197000665470743</v>
      </c>
      <c r="EC99" s="21">
        <f>EXP(-LN(2)/2)*EC98+(1-EXP(-LN(2)/2))/(LN(2)/2)*DW99*DZ99*VLOOKUP('Données projet'!$B$14,Paramètres!$A$1:$I$89,3,0)*0.475*44/12</f>
        <v>0.23905224113205098</v>
      </c>
      <c r="ED99" s="22">
        <f t="shared" si="72"/>
        <v>56.554489386703978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45">
      <c r="A100" s="10">
        <f t="shared" si="85"/>
        <v>97</v>
      </c>
      <c r="B100" s="73">
        <f>'Scénario référence'!$B$16*5+'Scénario référence'!$B$17*0+'Scénario référence'!$B$18*5</f>
        <v>5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1">
        <f t="shared" si="86"/>
        <v>0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18.333333333333332</v>
      </c>
      <c r="H100" s="67">
        <f t="shared" si="56"/>
        <v>183.33333333333334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8.9420000000000019</v>
      </c>
      <c r="N100" s="13">
        <f>IF('Données projet'!$A$36&gt;35,N99+M100-V99,IF(A100&lt;'Données projet'!$A$36,$K$205^A100,IF(A100='Données projet'!$A$36,'Données projet'!$B$36,N99+M100-V99)))</f>
        <v>339.60600000000051</v>
      </c>
      <c r="O100" s="13">
        <f>N100*VLOOKUP('Données projet'!$B$9,Paramètres!$A$1:$I$89,3,0)*VLOOKUP('Données projet'!$B$9,Paramètres!$A$1:$I$89,5,0)</f>
        <v>307.27550880000041</v>
      </c>
      <c r="P100" s="13">
        <f t="shared" si="87"/>
        <v>72.699555980078841</v>
      </c>
      <c r="Q100" s="20">
        <f t="shared" si="107"/>
        <v>661.78990449197136</v>
      </c>
      <c r="R100" s="59">
        <f t="shared" si="55"/>
        <v>938.33533077135417</v>
      </c>
      <c r="S100" s="59">
        <f ca="1">AVERAGE(OFFSET($R$3,0,0,'Données projet'!$E$9+1,1))-AVERAGE(OFFSET($H$3,0,0,'Données projet'!$E$9+1,1))</f>
        <v>681.47578137804555</v>
      </c>
      <c r="T100" s="59">
        <f t="shared" si="88"/>
        <v>300.88511065995885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26.588412041927928</v>
      </c>
      <c r="AA100" s="21">
        <f>EXP(-LN(2)/25)*AA99+(1-EXP(-LN(2)/25))/(LN(2)/25)*Calculateur!V100*Calculateur!X100*VLOOKUP('Données projet'!$B$9,Paramètres!$A$1:$I$89,3,0)*0.475*44/12</f>
        <v>25.937284084006841</v>
      </c>
      <c r="AB100" s="21">
        <f>EXP(-LN(2)/2)*AB99+(1-EXP(-LN(2)/2))/(LN(2)/2)*V100*Y100*VLOOKUP('Données projet'!$B$9,Paramètres!$A$1:$I$89,3,0)*0.475*44/12</f>
        <v>2.0973495876303185</v>
      </c>
      <c r="AC100" s="22">
        <f t="shared" si="57"/>
        <v>54.623045713565091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9.4258333333333351</v>
      </c>
      <c r="AI100" s="13">
        <f>IF('Données projet'!$A$62&gt;35,AI99+AH100-AQ99,IF(A100&lt;'Données projet'!$A$62,$AF$205^A100,IF(A100='Données projet'!$A$62,'Données projet'!$B$62,AI99+AH100-AQ99)))</f>
        <v>428.49833333333356</v>
      </c>
      <c r="AJ100" s="13">
        <f>AI100*VLOOKUP('Données projet'!$B$10,Paramètres!$A$1:$I$89,3,0)*VLOOKUP('Données projet'!$B$10,Paramètres!$A$1:$I$89,5,0)</f>
        <v>200.5372200000001</v>
      </c>
      <c r="AK100" s="13">
        <f t="shared" si="89"/>
        <v>49.862213982600288</v>
      </c>
      <c r="AL100" s="20">
        <f t="shared" si="58"/>
        <v>436.11234751969567</v>
      </c>
      <c r="AM100" s="59">
        <f t="shared" si="59"/>
        <v>712.65777379907854</v>
      </c>
      <c r="AN100" s="59">
        <f ca="1">AVERAGE(OFFSET($AM$3,0,0,'Données projet'!$E$10+1,1))-AVERAGE(OFFSET($H$3,0,0,'Données projet'!$E$10+1,1))</f>
        <v>325.45940224919184</v>
      </c>
      <c r="AO100" s="59">
        <f t="shared" si="90"/>
        <v>256.30046621034876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43.538695984500698</v>
      </c>
      <c r="AV100" s="21">
        <f>EXP(-LN(2)/25)*AV99+(1-EXP(-LN(2)/25))/(LN(2)/25)*Calculateur!AQ100*Calculateur!AS100*VLOOKUP('Données projet'!$B$10,Paramètres!$A$1:$I$89,3,0)*0.475*44/12</f>
        <v>14.868797479306801</v>
      </c>
      <c r="AW100" s="21">
        <f>EXP(-LN(2)/2)*AW99+(1-EXP(-LN(2)/2))/(LN(2)/2)*AQ100*AT100*VLOOKUP('Données projet'!$B$10,Paramètres!$A$1:$I$89,3,0)*0.475*44/12</f>
        <v>0.31135349091944592</v>
      </c>
      <c r="AX100" s="21">
        <f t="shared" si="60"/>
        <v>58.718846954726942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6.7777777777777777</v>
      </c>
      <c r="BD100" s="12">
        <f>IF('Données projet'!$A$88&gt;35,BD99+BC100-BL99,IF(A100&lt;'Données projet'!$A$88,$BA$205^A100,IF(A100='Données projet'!$A$88,'Données projet'!$B$88,BD99+BC100-BL99)))</f>
        <v>223.92555555555543</v>
      </c>
      <c r="BE100" s="13">
        <f>BD100*VLOOKUP('Données projet'!$B$11,Paramètres!$A$1:$I$89,3,0)*VLOOKUP('Données projet'!$B$11,Paramètres!$A$1:$I$89,5,0)</f>
        <v>227.06051333333323</v>
      </c>
      <c r="BF100" s="13">
        <f t="shared" si="91"/>
        <v>55.646620764750722</v>
      </c>
      <c r="BG100" s="20">
        <f t="shared" si="61"/>
        <v>492.38159188749614</v>
      </c>
      <c r="BH100" s="59">
        <f t="shared" si="62"/>
        <v>768.92701816687895</v>
      </c>
      <c r="BI100" s="59">
        <f ca="1">AVERAGE(OFFSET($BH$3,0,0,'Données projet'!$E$11+1,1))-AVERAGE(OFFSET($H$3,0,0,'Données projet'!$E$11+1,1))</f>
        <v>580.02848304986492</v>
      </c>
      <c r="BJ100" s="59">
        <f t="shared" si="92"/>
        <v>281.68891895586728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11.936159509097292</v>
      </c>
      <c r="BQ100" s="21">
        <f>EXP(-LN(2)/25)*BQ99+(1-EXP(-LN(2)/25))/(LN(2)/25)*Calculateur!BL100*Calculateur!BN100*VLOOKUP('Données projet'!$B$11,Paramètres!$A$1:$I$89,3,0)*0.475*44/12</f>
        <v>31.474552432423774</v>
      </c>
      <c r="BR100" s="21">
        <f>EXP(-LN(2)/2)*BR99+(1-EXP(-LN(2)/2))/(LN(2)/2)*BL100*BO100*VLOOKUP('Données projet'!$B$11,Paramètres!$A$1:$I$89,3,0)*0.475*44/12</f>
        <v>2.1049518863862438</v>
      </c>
      <c r="BS100" s="22">
        <f t="shared" si="63"/>
        <v>45.515663827907311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>
        <f>BY100*VLOOKUP('Données projet'!$B$12,Paramètres!$A$1:$I$89,3,0)*VLOOKUP('Données projet'!$B$12,Paramètres!$A$1:$I$89,5,0)</f>
        <v>0</v>
      </c>
      <c r="CA100" s="13" t="e">
        <f t="shared" si="93"/>
        <v>#NUM!</v>
      </c>
      <c r="CB100" s="20" t="e">
        <f t="shared" si="64"/>
        <v>#NUM!</v>
      </c>
      <c r="CC100" s="59" t="e">
        <f t="shared" si="65"/>
        <v>#NUM!</v>
      </c>
      <c r="CD100" s="59">
        <f ca="1">AVERAGE(OFFSET($CC$3,0,0,'Données projet'!$E$12+1,1))-AVERAGE(OFFSET($H$3,0,0,'Données projet'!$E$12+1,1))</f>
        <v>439.15394290667945</v>
      </c>
      <c r="CE100" s="59">
        <f t="shared" si="94"/>
        <v>423.56554025351068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36.023955419613635</v>
      </c>
      <c r="CL100" s="21">
        <f>EXP(-LN(2)/25)*CL99+(1-EXP(-LN(2)/25))/(LN(2)/25)*Calculateur!CG100*Calculateur!CI100*VLOOKUP('Données projet'!$B$12,Paramètres!$A$1:$I$89,3,0)*0.475*44/12</f>
        <v>31.086383611652334</v>
      </c>
      <c r="CM100" s="21">
        <f>EXP(-LN(2)/2)*CM99+(1-EXP(-LN(2)/2))/(LN(2)/2)*CG100*CJ100*VLOOKUP('Données projet'!$B$12,Paramètres!$A$1:$I$89,3,0)*0.475*44/12</f>
        <v>0.20622326213002409</v>
      </c>
      <c r="CN100" s="22">
        <f t="shared" si="66"/>
        <v>67.31656229339599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>
        <f>CT100*VLOOKUP('Données projet'!$B$13,Paramètres!$A$1:$I$89,3,0)*VLOOKUP('Données projet'!$B$13,Paramètres!$A$1:$I$89,5,0)</f>
        <v>0</v>
      </c>
      <c r="CV100" s="13" t="e">
        <f t="shared" si="95"/>
        <v>#NUM!</v>
      </c>
      <c r="CW100" s="20" t="e">
        <f t="shared" si="67"/>
        <v>#NUM!</v>
      </c>
      <c r="CX100" s="59" t="e">
        <f t="shared" si="68"/>
        <v>#NUM!</v>
      </c>
      <c r="CY100" s="59">
        <f ca="1">AVERAGE(OFFSET($CX$3,0,0,'Données projet'!$E$13+1,1))-AVERAGE(OFFSET($H$3,0,0,'Données projet'!$E$13+1,1))</f>
        <v>408.246209980743</v>
      </c>
      <c r="CZ100" s="59">
        <f t="shared" si="96"/>
        <v>394.10236303013903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>
        <f>EXP(-LN(2)/35)*DF99+(1-EXP(-LN(2)/35))/(LN(2)/35)*DB100*DC100*VLOOKUP('Données projet'!$B$13,Paramètres!$A$1:$I$89,3,0)*0.475*44/12</f>
        <v>40.762142464892605</v>
      </c>
      <c r="DG100" s="21">
        <f>EXP(-LN(2)/25)*DG99+(1-EXP(-LN(2)/25))/(LN(2)/25)*Calculateur!DB100*Calculateur!DD100*VLOOKUP('Données projet'!$B$13,Paramètres!$A$1:$I$89,3,0)*0.475*44/12</f>
        <v>35.17513784193067</v>
      </c>
      <c r="DH100" s="21">
        <f>EXP(-LN(2)/2)*DH99+(1-EXP(-LN(2)/2))/(LN(2)/2)*DB100*DE100*VLOOKUP('Données projet'!$B$13,Paramètres!$A$1:$I$89,3,0)*0.475*44/12</f>
        <v>0.18931971605379266</v>
      </c>
      <c r="DI100" s="22">
        <f t="shared" si="69"/>
        <v>76.126600022877071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>
        <f>DO100*VLOOKUP('Données projet'!$B$14,Paramètres!$A$1:$I$89,3,0)*VLOOKUP('Données projet'!$B$14,Paramètres!$A$1:$I$89,5,0)</f>
        <v>0</v>
      </c>
      <c r="DQ100" s="13" t="e">
        <f t="shared" si="97"/>
        <v>#NUM!</v>
      </c>
      <c r="DR100" s="20" t="e">
        <f t="shared" si="70"/>
        <v>#NUM!</v>
      </c>
      <c r="DS100" s="59" t="e">
        <f t="shared" si="71"/>
        <v>#NUM!</v>
      </c>
      <c r="DT100" s="59">
        <f ca="1">AVERAGE(OFFSET($DS$3,0,0,'Données projet'!$E$14+1,1))-AVERAGE(OFFSET($H$3,0,0,'Données projet'!$E$14+1,1))</f>
        <v>371.07993287480366</v>
      </c>
      <c r="DU100" s="59">
        <f t="shared" si="98"/>
        <v>358.67120540290637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>
        <f>EXP(-LN(2)/35)*EA99+(1-EXP(-LN(2)/35))/(LN(2)/35)*DW100*DX100*VLOOKUP('Données projet'!$B$14,Paramètres!$A$1:$I$89,3,0)*0.475*44/12</f>
        <v>29.527832311158722</v>
      </c>
      <c r="EB100" s="21">
        <f>EXP(-LN(2)/25)*EB99+(1-EXP(-LN(2)/25))/(LN(2)/25)*Calculateur!DW100*Calculateur!DY100*VLOOKUP('Données projet'!$B$14,Paramètres!$A$1:$I$89,3,0)*0.475*44/12</f>
        <v>25.480642304633054</v>
      </c>
      <c r="EC100" s="21">
        <f>EXP(-LN(2)/2)*EC99+(1-EXP(-LN(2)/2))/(LN(2)/2)*DW100*DZ100*VLOOKUP('Données projet'!$B$14,Paramètres!$A$1:$I$89,3,0)*0.475*44/12</f>
        <v>0.16903546076231499</v>
      </c>
      <c r="ED100" s="22">
        <f t="shared" si="72"/>
        <v>55.177510076554093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45">
      <c r="A101" s="10">
        <f t="shared" si="85"/>
        <v>98</v>
      </c>
      <c r="B101" s="73">
        <f>'Scénario référence'!$B$16*5+'Scénario référence'!$B$17*0+'Scénario référence'!$B$18*5</f>
        <v>5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1">
        <f t="shared" si="86"/>
        <v>0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18.333333333333332</v>
      </c>
      <c r="H101" s="67">
        <f t="shared" si="56"/>
        <v>183.33333333333334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8.9420000000000019</v>
      </c>
      <c r="N101" s="13">
        <f>IF('Données projet'!$A$36&gt;35,N100+M101-V100,IF(A101&lt;'Données projet'!$A$36,$K$205^A101,IF(A101='Données projet'!$A$36,'Données projet'!$B$36,N100+M101-V100)))</f>
        <v>348.54800000000051</v>
      </c>
      <c r="O101" s="13">
        <f>N101*VLOOKUP('Données projet'!$B$9,Paramètres!$A$1:$I$89,3,0)*VLOOKUP('Données projet'!$B$9,Paramètres!$A$1:$I$89,5,0)</f>
        <v>315.36623040000046</v>
      </c>
      <c r="P101" s="13">
        <f t="shared" si="87"/>
        <v>74.38839081830163</v>
      </c>
      <c r="Q101" s="20">
        <f t="shared" si="107"/>
        <v>678.82263195520943</v>
      </c>
      <c r="R101" s="59">
        <f t="shared" si="55"/>
        <v>955.6592908898408</v>
      </c>
      <c r="S101" s="59">
        <f ca="1">AVERAGE(OFFSET($R$3,0,0,'Données projet'!$E$9+1,1))-AVERAGE(OFFSET($H$3,0,0,'Données projet'!$E$9+1,1))</f>
        <v>681.47578137804555</v>
      </c>
      <c r="T101" s="59">
        <f t="shared" si="88"/>
        <v>300.88511065995885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26.067029499115737</v>
      </c>
      <c r="AA101" s="21">
        <f>EXP(-LN(2)/25)*AA100+(1-EXP(-LN(2)/25))/(LN(2)/25)*Calculateur!V101*Calculateur!X101*VLOOKUP('Données projet'!$B$9,Paramètres!$A$1:$I$89,3,0)*0.475*44/12</f>
        <v>25.228027686747183</v>
      </c>
      <c r="AB101" s="21">
        <f>EXP(-LN(2)/2)*AB100+(1-EXP(-LN(2)/2))/(LN(2)/2)*V101*Y101*VLOOKUP('Données projet'!$B$9,Paramètres!$A$1:$I$89,3,0)*0.475*44/12</f>
        <v>1.4830501159322074</v>
      </c>
      <c r="AC101" s="22">
        <f t="shared" si="57"/>
        <v>52.778107301795124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9.4258333333333351</v>
      </c>
      <c r="AI101" s="13">
        <f>IF('Données projet'!$A$62&gt;35,AI100+AH101-AQ100,IF(A101&lt;'Données projet'!$A$62,$AF$205^A101,IF(A101='Données projet'!$A$62,'Données projet'!$B$62,AI100+AH101-AQ100)))</f>
        <v>437.92416666666691</v>
      </c>
      <c r="AJ101" s="13">
        <f>AI101*VLOOKUP('Données projet'!$B$10,Paramètres!$A$1:$I$89,3,0)*VLOOKUP('Données projet'!$B$10,Paramètres!$A$1:$I$89,5,0)</f>
        <v>204.94851000000008</v>
      </c>
      <c r="AK101" s="13">
        <f t="shared" si="89"/>
        <v>50.83014861559694</v>
      </c>
      <c r="AL101" s="20">
        <f t="shared" si="58"/>
        <v>445.48116375549813</v>
      </c>
      <c r="AM101" s="59">
        <f t="shared" si="59"/>
        <v>722.31782269012956</v>
      </c>
      <c r="AN101" s="59">
        <f ca="1">AVERAGE(OFFSET($AM$3,0,0,'Données projet'!$E$10+1,1))-AVERAGE(OFFSET($H$3,0,0,'Données projet'!$E$10+1,1))</f>
        <v>325.45940224919184</v>
      </c>
      <c r="AO101" s="59">
        <f t="shared" si="90"/>
        <v>256.30046621034876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42.684928712227006</v>
      </c>
      <c r="AV101" s="21">
        <f>EXP(-LN(2)/25)*AV100+(1-EXP(-LN(2)/25))/(LN(2)/25)*Calculateur!AQ101*Calculateur!AS101*VLOOKUP('Données projet'!$B$10,Paramètres!$A$1:$I$89,3,0)*0.475*44/12</f>
        <v>14.46220943031908</v>
      </c>
      <c r="AW101" s="21">
        <f>EXP(-LN(2)/2)*AW100+(1-EXP(-LN(2)/2))/(LN(2)/2)*AQ101*AT101*VLOOKUP('Données projet'!$B$10,Paramètres!$A$1:$I$89,3,0)*0.475*44/12</f>
        <v>0.22016016477524436</v>
      </c>
      <c r="AX101" s="21">
        <f t="shared" si="60"/>
        <v>57.367298307321327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6.7777777777777777</v>
      </c>
      <c r="BD101" s="12">
        <f>IF('Données projet'!$A$88&gt;35,BD100+BC101-BL100,IF(A101&lt;'Données projet'!$A$88,$BA$205^A101,IF(A101='Données projet'!$A$88,'Données projet'!$B$88,BD100+BC101-BL100)))</f>
        <v>230.70333333333321</v>
      </c>
      <c r="BE101" s="13">
        <f>BD101*VLOOKUP('Données projet'!$B$11,Paramètres!$A$1:$I$89,3,0)*VLOOKUP('Données projet'!$B$11,Paramètres!$A$1:$I$89,5,0)</f>
        <v>233.93317999999988</v>
      </c>
      <c r="BF101" s="13">
        <f t="shared" si="91"/>
        <v>57.132285924019129</v>
      </c>
      <c r="BG101" s="20">
        <f t="shared" si="61"/>
        <v>506.93901981766635</v>
      </c>
      <c r="BH101" s="59">
        <f t="shared" si="62"/>
        <v>783.77567875229772</v>
      </c>
      <c r="BI101" s="59">
        <f ca="1">AVERAGE(OFFSET($BH$3,0,0,'Données projet'!$E$11+1,1))-AVERAGE(OFFSET($H$3,0,0,'Données projet'!$E$11+1,1))</f>
        <v>580.02848304986492</v>
      </c>
      <c r="BJ101" s="59">
        <f t="shared" si="92"/>
        <v>281.68891895586728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11.702098701462321</v>
      </c>
      <c r="BQ101" s="21">
        <f>EXP(-LN(2)/25)*BQ100+(1-EXP(-LN(2)/25))/(LN(2)/25)*Calculateur!BL101*Calculateur!BN101*VLOOKUP('Données projet'!$B$11,Paramètres!$A$1:$I$89,3,0)*0.475*44/12</f>
        <v>30.61387914098437</v>
      </c>
      <c r="BR101" s="21">
        <f>EXP(-LN(2)/2)*BR100+(1-EXP(-LN(2)/2))/(LN(2)/2)*BL101*BO101*VLOOKUP('Données projet'!$B$11,Paramètres!$A$1:$I$89,3,0)*0.475*44/12</f>
        <v>1.4884257529351281</v>
      </c>
      <c r="BS101" s="22">
        <f t="shared" si="63"/>
        <v>43.804403595381821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>
        <f>BY101*VLOOKUP('Données projet'!$B$12,Paramètres!$A$1:$I$89,3,0)*VLOOKUP('Données projet'!$B$12,Paramètres!$A$1:$I$89,5,0)</f>
        <v>0</v>
      </c>
      <c r="CA101" s="13" t="e">
        <f t="shared" si="93"/>
        <v>#NUM!</v>
      </c>
      <c r="CB101" s="20" t="e">
        <f t="shared" si="64"/>
        <v>#NUM!</v>
      </c>
      <c r="CC101" s="59" t="e">
        <f t="shared" si="65"/>
        <v>#NUM!</v>
      </c>
      <c r="CD101" s="59">
        <f ca="1">AVERAGE(OFFSET($CC$3,0,0,'Données projet'!$E$12+1,1))-AVERAGE(OFFSET($H$3,0,0,'Données projet'!$E$12+1,1))</f>
        <v>439.15394290667945</v>
      </c>
      <c r="CE101" s="59">
        <f t="shared" si="94"/>
        <v>423.56554025351068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35.31754762627822</v>
      </c>
      <c r="CL101" s="21">
        <f>EXP(-LN(2)/25)*CL100+(1-EXP(-LN(2)/25))/(LN(2)/25)*Calculateur!CG101*Calculateur!CI101*VLOOKUP('Données projet'!$B$12,Paramètres!$A$1:$I$89,3,0)*0.475*44/12</f>
        <v>30.236324817029836</v>
      </c>
      <c r="CM101" s="21">
        <f>EXP(-LN(2)/2)*CM100+(1-EXP(-LN(2)/2))/(LN(2)/2)*CG101*CJ101*VLOOKUP('Données projet'!$B$12,Paramètres!$A$1:$I$89,3,0)*0.475*44/12</f>
        <v>0.14582186709055098</v>
      </c>
      <c r="CN101" s="22">
        <f t="shared" si="66"/>
        <v>65.699694310398598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>
        <f>CT101*VLOOKUP('Données projet'!$B$13,Paramètres!$A$1:$I$89,3,0)*VLOOKUP('Données projet'!$B$13,Paramètres!$A$1:$I$89,5,0)</f>
        <v>0</v>
      </c>
      <c r="CV101" s="13" t="e">
        <f t="shared" si="95"/>
        <v>#NUM!</v>
      </c>
      <c r="CW101" s="20" t="e">
        <f t="shared" si="67"/>
        <v>#NUM!</v>
      </c>
      <c r="CX101" s="59" t="e">
        <f t="shared" si="68"/>
        <v>#NUM!</v>
      </c>
      <c r="CY101" s="59">
        <f ca="1">AVERAGE(OFFSET($CX$3,0,0,'Données projet'!$E$13+1,1))-AVERAGE(OFFSET($H$3,0,0,'Données projet'!$E$13+1,1))</f>
        <v>408.246209980743</v>
      </c>
      <c r="CZ101" s="59">
        <f t="shared" si="96"/>
        <v>394.10236303013903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>
        <f>EXP(-LN(2)/35)*DF100+(1-EXP(-LN(2)/35))/(LN(2)/35)*DB101*DC101*VLOOKUP('Données projet'!$B$13,Paramètres!$A$1:$I$89,3,0)*0.475*44/12</f>
        <v>39.962821713608001</v>
      </c>
      <c r="DG101" s="21">
        <f>EXP(-LN(2)/25)*DG100+(1-EXP(-LN(2)/25))/(LN(2)/25)*Calculateur!DB101*Calculateur!DD101*VLOOKUP('Données projet'!$B$13,Paramètres!$A$1:$I$89,3,0)*0.475*44/12</f>
        <v>34.21327184786297</v>
      </c>
      <c r="DH101" s="21">
        <f>EXP(-LN(2)/2)*DH100+(1-EXP(-LN(2)/2))/(LN(2)/2)*DB101*DE101*VLOOKUP('Données projet'!$B$13,Paramètres!$A$1:$I$89,3,0)*0.475*44/12</f>
        <v>0.13386925503394848</v>
      </c>
      <c r="DI101" s="22">
        <f t="shared" si="69"/>
        <v>74.309962816504907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>
        <f>DO101*VLOOKUP('Données projet'!$B$14,Paramètres!$A$1:$I$89,3,0)*VLOOKUP('Données projet'!$B$14,Paramètres!$A$1:$I$89,5,0)</f>
        <v>0</v>
      </c>
      <c r="DQ101" s="13" t="e">
        <f t="shared" si="97"/>
        <v>#NUM!</v>
      </c>
      <c r="DR101" s="20" t="e">
        <f t="shared" si="70"/>
        <v>#NUM!</v>
      </c>
      <c r="DS101" s="59" t="e">
        <f t="shared" si="71"/>
        <v>#NUM!</v>
      </c>
      <c r="DT101" s="59">
        <f ca="1">AVERAGE(OFFSET($DS$3,0,0,'Données projet'!$E$14+1,1))-AVERAGE(OFFSET($H$3,0,0,'Données projet'!$E$14+1,1))</f>
        <v>371.07993287480366</v>
      </c>
      <c r="DU101" s="59">
        <f t="shared" si="98"/>
        <v>358.67120540290637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>
        <f>EXP(-LN(2)/35)*EA100+(1-EXP(-LN(2)/35))/(LN(2)/35)*DW101*DX101*VLOOKUP('Données projet'!$B$14,Paramètres!$A$1:$I$89,3,0)*0.475*44/12</f>
        <v>28.948809529736248</v>
      </c>
      <c r="EB101" s="21">
        <f>EXP(-LN(2)/25)*EB100+(1-EXP(-LN(2)/25))/(LN(2)/25)*Calculateur!DW101*Calculateur!DY101*VLOOKUP('Données projet'!$B$14,Paramètres!$A$1:$I$89,3,0)*0.475*44/12</f>
        <v>24.783872800844122</v>
      </c>
      <c r="EC101" s="21">
        <f>EXP(-LN(2)/2)*EC100+(1-EXP(-LN(2)/2))/(LN(2)/2)*DW101*DZ101*VLOOKUP('Données projet'!$B$14,Paramètres!$A$1:$I$89,3,0)*0.475*44/12</f>
        <v>0.11952612056602552</v>
      </c>
      <c r="ED101" s="22">
        <f t="shared" si="72"/>
        <v>53.852208451146403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45">
      <c r="A102" s="10">
        <f t="shared" si="85"/>
        <v>99</v>
      </c>
      <c r="B102" s="73">
        <f>'Scénario référence'!$B$16*5+'Scénario référence'!$B$17*0+'Scénario référence'!$B$18*5</f>
        <v>5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1">
        <f t="shared" si="86"/>
        <v>0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18.333333333333332</v>
      </c>
      <c r="H102" s="67">
        <f t="shared" si="56"/>
        <v>183.33333333333334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8.9420000000000019</v>
      </c>
      <c r="N102" s="13">
        <f>IF('Données projet'!$A$36&gt;35,N101+M102-V101,IF(A102&lt;'Données projet'!$A$36,$K$205^A102,IF(A102='Données projet'!$A$36,'Données projet'!$B$36,N101+M102-V101)))</f>
        <v>357.49000000000052</v>
      </c>
      <c r="O102" s="13">
        <f>N102*VLOOKUP('Données projet'!$B$9,Paramètres!$A$1:$I$89,3,0)*VLOOKUP('Données projet'!$B$9,Paramètres!$A$1:$I$89,5,0)</f>
        <v>323.45695200000046</v>
      </c>
      <c r="P102" s="13">
        <f t="shared" si="87"/>
        <v>76.072189325282608</v>
      </c>
      <c r="Q102" s="20">
        <f t="shared" si="107"/>
        <v>695.84658780820121</v>
      </c>
      <c r="R102" s="59">
        <f t="shared" si="55"/>
        <v>972.96942716261128</v>
      </c>
      <c r="S102" s="59">
        <f ca="1">AVERAGE(OFFSET($R$3,0,0,'Données projet'!$E$9+1,1))-AVERAGE(OFFSET($H$3,0,0,'Données projet'!$E$9+1,1))</f>
        <v>681.47578137804555</v>
      </c>
      <c r="T102" s="59">
        <f t="shared" si="88"/>
        <v>300.88511065995885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25.555870949956144</v>
      </c>
      <c r="AA102" s="21">
        <f>EXP(-LN(2)/25)*AA101+(1-EXP(-LN(2)/25))/(LN(2)/25)*Calculateur!V102*Calculateur!X102*VLOOKUP('Données projet'!$B$9,Paramètres!$A$1:$I$89,3,0)*0.475*44/12</f>
        <v>24.538165942968764</v>
      </c>
      <c r="AB102" s="21">
        <f>EXP(-LN(2)/2)*AB101+(1-EXP(-LN(2)/2))/(LN(2)/2)*V102*Y102*VLOOKUP('Données projet'!$B$9,Paramètres!$A$1:$I$89,3,0)*0.475*44/12</f>
        <v>1.0486747938151593</v>
      </c>
      <c r="AC102" s="22">
        <f t="shared" si="57"/>
        <v>51.142711686740064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>
        <f>VLOOKUP(A102,'Données projet'!$A$61:$I$81,2,0)</f>
        <v>447.35</v>
      </c>
      <c r="AG102" s="12">
        <f>VLOOKUP(A102,'Données projet'!$A$61:$I$81,9,0)</f>
        <v>9.4258333333333351</v>
      </c>
      <c r="AH102" s="12">
        <f t="array" ref="AH102">INDEX(AG:AG,MIN(IF(ISNUMBER(AG102:AG298),ROW(AG102:AG298),"")))</f>
        <v>9.4258333333333351</v>
      </c>
      <c r="AI102" s="13">
        <f>IF('Données projet'!$A$62&gt;35,AI101+AH102-AQ101,IF(A102&lt;'Données projet'!$A$62,$AF$205^A102,IF(A102='Données projet'!$A$62,'Données projet'!$B$62,AI101+AH102-AQ101)))</f>
        <v>447.35000000000025</v>
      </c>
      <c r="AJ102" s="13">
        <f>AI102*VLOOKUP('Données projet'!$B$10,Paramètres!$A$1:$I$89,3,0)*VLOOKUP('Données projet'!$B$10,Paramètres!$A$1:$I$89,5,0)</f>
        <v>209.35980000000012</v>
      </c>
      <c r="AK102" s="13">
        <f t="shared" si="89"/>
        <v>51.795661040915135</v>
      </c>
      <c r="AL102" s="20">
        <f t="shared" si="58"/>
        <v>454.84576131292738</v>
      </c>
      <c r="AM102" s="59">
        <f t="shared" si="59"/>
        <v>731.96860066733757</v>
      </c>
      <c r="AN102" s="59">
        <f ca="1">AVERAGE(OFFSET($AM$3,0,0,'Données projet'!$E$10+1,1))-AVERAGE(OFFSET($H$3,0,0,'Données projet'!$E$10+1,1))</f>
        <v>325.45940224919184</v>
      </c>
      <c r="AO102" s="59">
        <f t="shared" si="90"/>
        <v>256.30046621034876</v>
      </c>
      <c r="AP102" s="15">
        <f>IF(ISNA(VLOOKUP(A102,'Données projet'!$A$61:$I$81,3,0)),0,VLOOKUP(A102,'Données projet'!$A$61:$I$81,3,0))</f>
        <v>5</v>
      </c>
      <c r="AQ102" s="15">
        <f>IF(ISNA(VLOOKUP(A102,'Données projet'!$A$61:$I$81,4,0)),0,VLOOKUP(A102,'Données projet'!$A$61:$I$81,4,0))</f>
        <v>222.86</v>
      </c>
      <c r="AR102" s="16">
        <f>IF(ISNA(VLOOKUP(A102,'Données projet'!$A$61:$I$81,5,0)),0%,VLOOKUP(A102,'Données projet'!$A$61:$I$81,5,0)*VLOOKUP('Données projet'!$B$10,Paramètres!$A$1:$I$89,7,0))</f>
        <v>0.33</v>
      </c>
      <c r="AS102" s="16">
        <f>IF(ISNA(VLOOKUP(A102,'Données projet'!$A$61:$I$81,6,0)),0%,VLOOKUP(A102,'Données projet'!$A$61:$I$81,6,0)*VLOOKUP('Données projet'!$B$10,Paramètres!$A$1:$I$89,7,0))</f>
        <v>0.11000000000000001</v>
      </c>
      <c r="AT102" s="16">
        <f>IF(ISNA(VLOOKUP(A102,'Données projet'!$A$61:$I$81,7,0)),0%,VLOOKUP(A102,'Données projet'!$A$61:$I$81,7,0))</f>
        <v>0.2</v>
      </c>
      <c r="AU102" s="21">
        <f>EXP(-LN(2)/35)*AU101+(1-EXP(-LN(2)/35))/(LN(2)/35)*AQ102*AR102*VLOOKUP('Données projet'!$B$10,Paramètres!$A$1:$I$89,3,0)*0.475*44/12</f>
        <v>87.506259882458664</v>
      </c>
      <c r="AV102" s="21">
        <f>EXP(-LN(2)/25)*AV101+(1-EXP(-LN(2)/25))/(LN(2)/25)*Calculateur!AQ102*Calculateur!AS102*VLOOKUP('Données projet'!$B$10,Paramètres!$A$1:$I$89,3,0)*0.475*44/12</f>
        <v>29.226266966233041</v>
      </c>
      <c r="AW102" s="21">
        <f>EXP(-LN(2)/2)*AW101+(1-EXP(-LN(2)/2))/(LN(2)/2)*AQ102*AT102*VLOOKUP('Données projet'!$B$10,Paramètres!$A$1:$I$89,3,0)*0.475*44/12</f>
        <v>23.773698273243351</v>
      </c>
      <c r="AX102" s="21">
        <f t="shared" si="60"/>
        <v>140.50622512193505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6.7777777777777777</v>
      </c>
      <c r="BD102" s="12">
        <f>IF('Données projet'!$A$88&gt;35,BD101+BC102-BL101,IF(A102&lt;'Données projet'!$A$88,$BA$205^A102,IF(A102='Données projet'!$A$88,'Données projet'!$B$88,BD101+BC102-BL101)))</f>
        <v>237.48111111111098</v>
      </c>
      <c r="BE102" s="13">
        <f>BD102*VLOOKUP('Données projet'!$B$11,Paramètres!$A$1:$I$89,3,0)*VLOOKUP('Données projet'!$B$11,Paramètres!$A$1:$I$89,5,0)</f>
        <v>240.80584666666655</v>
      </c>
      <c r="BF102" s="13">
        <f t="shared" si="91"/>
        <v>58.612878478503731</v>
      </c>
      <c r="BG102" s="20">
        <f t="shared" si="61"/>
        <v>521.48761296117152</v>
      </c>
      <c r="BH102" s="59">
        <f t="shared" si="62"/>
        <v>798.6104523155816</v>
      </c>
      <c r="BI102" s="59">
        <f ca="1">AVERAGE(OFFSET($BH$3,0,0,'Données projet'!$E$11+1,1))-AVERAGE(OFFSET($H$3,0,0,'Données projet'!$E$11+1,1))</f>
        <v>580.02848304986492</v>
      </c>
      <c r="BJ102" s="59">
        <f t="shared" si="92"/>
        <v>281.68891895586728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11.472627683502076</v>
      </c>
      <c r="BQ102" s="21">
        <f>EXP(-LN(2)/25)*BQ101+(1-EXP(-LN(2)/25))/(LN(2)/25)*Calculateur!BL102*Calculateur!BN102*VLOOKUP('Données projet'!$B$11,Paramètres!$A$1:$I$89,3,0)*0.475*44/12</f>
        <v>29.776741005960218</v>
      </c>
      <c r="BR102" s="21">
        <f>EXP(-LN(2)/2)*BR101+(1-EXP(-LN(2)/2))/(LN(2)/2)*BL102*BO102*VLOOKUP('Données projet'!$B$11,Paramètres!$A$1:$I$89,3,0)*0.475*44/12</f>
        <v>1.0524759431931219</v>
      </c>
      <c r="BS102" s="22">
        <f t="shared" si="63"/>
        <v>42.301844632655417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>
        <f>BY102*VLOOKUP('Données projet'!$B$12,Paramètres!$A$1:$I$89,3,0)*VLOOKUP('Données projet'!$B$12,Paramètres!$A$1:$I$89,5,0)</f>
        <v>0</v>
      </c>
      <c r="CA102" s="13" t="e">
        <f t="shared" si="93"/>
        <v>#NUM!</v>
      </c>
      <c r="CB102" s="20" t="e">
        <f t="shared" si="64"/>
        <v>#NUM!</v>
      </c>
      <c r="CC102" s="59" t="e">
        <f t="shared" si="65"/>
        <v>#NUM!</v>
      </c>
      <c r="CD102" s="59">
        <f ca="1">AVERAGE(OFFSET($CC$3,0,0,'Données projet'!$E$12+1,1))-AVERAGE(OFFSET($H$3,0,0,'Données projet'!$E$12+1,1))</f>
        <v>439.15394290667945</v>
      </c>
      <c r="CE102" s="59">
        <f t="shared" si="94"/>
        <v>423.56554025351068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34.624992058903899</v>
      </c>
      <c r="CL102" s="21">
        <f>EXP(-LN(2)/25)*CL101+(1-EXP(-LN(2)/25))/(LN(2)/25)*Calculateur!CG102*Calculateur!CI102*VLOOKUP('Données projet'!$B$12,Paramètres!$A$1:$I$89,3,0)*0.475*44/12</f>
        <v>29.409510924848938</v>
      </c>
      <c r="CM102" s="21">
        <f>EXP(-LN(2)/2)*CM101+(1-EXP(-LN(2)/2))/(LN(2)/2)*CG102*CJ102*VLOOKUP('Données projet'!$B$12,Paramètres!$A$1:$I$89,3,0)*0.475*44/12</f>
        <v>0.10311163106501205</v>
      </c>
      <c r="CN102" s="22">
        <f t="shared" si="66"/>
        <v>64.137614614817863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>
        <f>CT102*VLOOKUP('Données projet'!$B$13,Paramètres!$A$1:$I$89,3,0)*VLOOKUP('Données projet'!$B$13,Paramètres!$A$1:$I$89,5,0)</f>
        <v>0</v>
      </c>
      <c r="CV102" s="13" t="e">
        <f t="shared" si="95"/>
        <v>#NUM!</v>
      </c>
      <c r="CW102" s="20" t="e">
        <f t="shared" si="67"/>
        <v>#NUM!</v>
      </c>
      <c r="CX102" s="59" t="e">
        <f t="shared" si="68"/>
        <v>#NUM!</v>
      </c>
      <c r="CY102" s="59">
        <f ca="1">AVERAGE(OFFSET($CX$3,0,0,'Données projet'!$E$13+1,1))-AVERAGE(OFFSET($H$3,0,0,'Données projet'!$E$13+1,1))</f>
        <v>408.246209980743</v>
      </c>
      <c r="CZ102" s="59">
        <f t="shared" si="96"/>
        <v>394.10236303013903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>
        <f>EXP(-LN(2)/35)*DF101+(1-EXP(-LN(2)/35))/(LN(2)/35)*DB102*DC102*VLOOKUP('Données projet'!$B$13,Paramètres!$A$1:$I$89,3,0)*0.475*44/12</f>
        <v>39.179175154718571</v>
      </c>
      <c r="DG102" s="21">
        <f>EXP(-LN(2)/25)*DG101+(1-EXP(-LN(2)/25))/(LN(2)/25)*Calculateur!DB102*Calculateur!DD102*VLOOKUP('Données projet'!$B$13,Paramètres!$A$1:$I$89,3,0)*0.475*44/12</f>
        <v>33.277708129985385</v>
      </c>
      <c r="DH102" s="21">
        <f>EXP(-LN(2)/2)*DH101+(1-EXP(-LN(2)/2))/(LN(2)/2)*DB102*DE102*VLOOKUP('Données projet'!$B$13,Paramètres!$A$1:$I$89,3,0)*0.475*44/12</f>
        <v>9.4659858026896332E-2</v>
      </c>
      <c r="DI102" s="22">
        <f t="shared" si="69"/>
        <v>72.551543142730864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>
        <f>DO102*VLOOKUP('Données projet'!$B$14,Paramètres!$A$1:$I$89,3,0)*VLOOKUP('Données projet'!$B$14,Paramètres!$A$1:$I$89,5,0)</f>
        <v>0</v>
      </c>
      <c r="DQ102" s="13" t="e">
        <f t="shared" si="97"/>
        <v>#NUM!</v>
      </c>
      <c r="DR102" s="20" t="e">
        <f t="shared" si="70"/>
        <v>#NUM!</v>
      </c>
      <c r="DS102" s="59" t="e">
        <f t="shared" si="71"/>
        <v>#NUM!</v>
      </c>
      <c r="DT102" s="59">
        <f ca="1">AVERAGE(OFFSET($DS$3,0,0,'Données projet'!$E$14+1,1))-AVERAGE(OFFSET($H$3,0,0,'Données projet'!$E$14+1,1))</f>
        <v>371.07993287480366</v>
      </c>
      <c r="DU102" s="59">
        <f t="shared" si="98"/>
        <v>358.67120540290637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>
        <f>EXP(-LN(2)/35)*EA101+(1-EXP(-LN(2)/35))/(LN(2)/35)*DW102*DX102*VLOOKUP('Données projet'!$B$14,Paramètres!$A$1:$I$89,3,0)*0.475*44/12</f>
        <v>28.381141031888447</v>
      </c>
      <c r="EB102" s="21">
        <f>EXP(-LN(2)/25)*EB101+(1-EXP(-LN(2)/25))/(LN(2)/25)*Calculateur!DW102*Calculateur!DY102*VLOOKUP('Données projet'!$B$14,Paramètres!$A$1:$I$89,3,0)*0.475*44/12</f>
        <v>24.106156495777814</v>
      </c>
      <c r="EC102" s="21">
        <f>EXP(-LN(2)/2)*EC101+(1-EXP(-LN(2)/2))/(LN(2)/2)*DW102*DZ102*VLOOKUP('Données projet'!$B$14,Paramètres!$A$1:$I$89,3,0)*0.475*44/12</f>
        <v>8.4517730381157508E-2</v>
      </c>
      <c r="ED102" s="22">
        <f t="shared" si="72"/>
        <v>52.571815258047415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45">
      <c r="A103" s="10">
        <f t="shared" si="85"/>
        <v>100</v>
      </c>
      <c r="B103" s="73">
        <f>'Scénario référence'!$B$16*5+'Scénario référence'!$B$17*0+'Scénario référence'!$B$18*5</f>
        <v>5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1">
        <f t="shared" si="86"/>
        <v>0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18.333333333333332</v>
      </c>
      <c r="H103" s="67">
        <f t="shared" si="56"/>
        <v>183.33333333333334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8.9420000000000019</v>
      </c>
      <c r="N103" s="13">
        <f>IF('Données projet'!$A$36&gt;35,N102+M103-V102,IF(A103&lt;'Données projet'!$A$36,$K$205^A103,IF(A103='Données projet'!$A$36,'Données projet'!$B$36,N102+M103-V102)))</f>
        <v>366.43200000000053</v>
      </c>
      <c r="O103" s="13">
        <f>N103*VLOOKUP('Données projet'!$B$9,Paramètres!$A$1:$I$89,3,0)*VLOOKUP('Données projet'!$B$9,Paramètres!$A$1:$I$89,5,0)</f>
        <v>331.54767360000045</v>
      </c>
      <c r="P103" s="13">
        <f t="shared" si="87"/>
        <v>77.751091964826287</v>
      </c>
      <c r="Q103" s="20">
        <f t="shared" si="107"/>
        <v>712.86201669207321</v>
      </c>
      <c r="R103" s="59">
        <f t="shared" si="55"/>
        <v>990.26607187578247</v>
      </c>
      <c r="S103" s="59">
        <f ca="1">AVERAGE(OFFSET($R$3,0,0,'Données projet'!$E$9+1,1))-AVERAGE(OFFSET($H$3,0,0,'Données projet'!$E$9+1,1))</f>
        <v>681.47578137804555</v>
      </c>
      <c r="T103" s="59">
        <f t="shared" si="88"/>
        <v>300.88511065995885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25.054735908169643</v>
      </c>
      <c r="AA103" s="21">
        <f>EXP(-LN(2)/25)*AA102+(1-EXP(-LN(2)/25))/(LN(2)/25)*Calculateur!V103*Calculateur!X103*VLOOKUP('Données projet'!$B$9,Paramètres!$A$1:$I$89,3,0)*0.475*44/12</f>
        <v>23.86716850485222</v>
      </c>
      <c r="AB103" s="21">
        <f>EXP(-LN(2)/2)*AB102+(1-EXP(-LN(2)/2))/(LN(2)/2)*V103*Y103*VLOOKUP('Données projet'!$B$9,Paramètres!$A$1:$I$89,3,0)*0.475*44/12</f>
        <v>0.74152505796610368</v>
      </c>
      <c r="AC103" s="22">
        <f t="shared" si="57"/>
        <v>49.663429470987964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6.5620000000000003</v>
      </c>
      <c r="AI103" s="13">
        <f>IF('Données projet'!$A$62&gt;35,AI102+AH103-AQ102,IF(A103&lt;'Données projet'!$A$62,$AF$205^A103,IF(A103='Données projet'!$A$62,'Données projet'!$B$62,AI102+AH103-AQ102)))</f>
        <v>231.05200000000025</v>
      </c>
      <c r="AJ103" s="13">
        <f>AI103*VLOOKUP('Données projet'!$B$10,Paramètres!$A$1:$I$89,3,0)*VLOOKUP('Données projet'!$B$10,Paramètres!$A$1:$I$89,5,0)</f>
        <v>108.13233600000011</v>
      </c>
      <c r="AK103" s="13">
        <f t="shared" si="89"/>
        <v>28.890510766614838</v>
      </c>
      <c r="AL103" s="20">
        <f t="shared" si="58"/>
        <v>238.64812478518766</v>
      </c>
      <c r="AM103" s="59">
        <f t="shared" si="59"/>
        <v>516.05217996889689</v>
      </c>
      <c r="AN103" s="59">
        <f ca="1">AVERAGE(OFFSET($AM$3,0,0,'Données projet'!$E$10+1,1))-AVERAGE(OFFSET($H$3,0,0,'Données projet'!$E$10+1,1))</f>
        <v>325.45940224919184</v>
      </c>
      <c r="AO103" s="59">
        <f t="shared" si="90"/>
        <v>256.30046621034876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85.79031549971198</v>
      </c>
      <c r="AV103" s="21">
        <f>EXP(-LN(2)/25)*AV102+(1-EXP(-LN(2)/25))/(LN(2)/25)*Calculateur!AQ103*Calculateur!AS103*VLOOKUP('Données projet'!$B$10,Paramètres!$A$1:$I$89,3,0)*0.475*44/12</f>
        <v>28.427073159098818</v>
      </c>
      <c r="AW103" s="21">
        <f>EXP(-LN(2)/2)*AW102+(1-EXP(-LN(2)/2))/(LN(2)/2)*AQ103*AT103*VLOOKUP('Données projet'!$B$10,Paramètres!$A$1:$I$89,3,0)*0.475*44/12</f>
        <v>16.81054326289329</v>
      </c>
      <c r="AX103" s="21">
        <f t="shared" si="60"/>
        <v>131.02793192170407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6.7777777777777777</v>
      </c>
      <c r="BD103" s="12">
        <f>IF('Données projet'!$A$88&gt;35,BD102+BC103-BL102,IF(A103&lt;'Données projet'!$A$88,$BA$205^A103,IF(A103='Données projet'!$A$88,'Données projet'!$B$88,BD102+BC103-BL102)))</f>
        <v>244.25888888888875</v>
      </c>
      <c r="BE103" s="13">
        <f>BD103*VLOOKUP('Données projet'!$B$11,Paramètres!$A$1:$I$89,3,0)*VLOOKUP('Données projet'!$B$11,Paramètres!$A$1:$I$89,5,0)</f>
        <v>247.6785133333332</v>
      </c>
      <c r="BF103" s="13">
        <f t="shared" si="91"/>
        <v>60.088559829649782</v>
      </c>
      <c r="BG103" s="20">
        <f t="shared" si="61"/>
        <v>536.02765242552857</v>
      </c>
      <c r="BH103" s="59">
        <f t="shared" si="62"/>
        <v>813.43170760923772</v>
      </c>
      <c r="BI103" s="59">
        <f ca="1">AVERAGE(OFFSET($BH$3,0,0,'Données projet'!$E$11+1,1))-AVERAGE(OFFSET($H$3,0,0,'Données projet'!$E$11+1,1))</f>
        <v>580.02848304986492</v>
      </c>
      <c r="BJ103" s="59">
        <f t="shared" si="92"/>
        <v>281.68891895586728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11.24765645224053</v>
      </c>
      <c r="BQ103" s="21">
        <f>EXP(-LN(2)/25)*BQ102+(1-EXP(-LN(2)/25))/(LN(2)/25)*Calculateur!BL103*Calculateur!BN103*VLOOKUP('Données projet'!$B$11,Paramètres!$A$1:$I$89,3,0)*0.475*44/12</f>
        <v>28.962494457261482</v>
      </c>
      <c r="BR103" s="21">
        <f>EXP(-LN(2)/2)*BR102+(1-EXP(-LN(2)/2))/(LN(2)/2)*BL103*BO103*VLOOKUP('Données projet'!$B$11,Paramètres!$A$1:$I$89,3,0)*0.475*44/12</f>
        <v>0.74421287646756407</v>
      </c>
      <c r="BS103" s="22">
        <f t="shared" si="63"/>
        <v>40.954363785969576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>
        <f>BY103*VLOOKUP('Données projet'!$B$12,Paramètres!$A$1:$I$89,3,0)*VLOOKUP('Données projet'!$B$12,Paramètres!$A$1:$I$89,5,0)</f>
        <v>0</v>
      </c>
      <c r="CA103" s="13" t="e">
        <f t="shared" si="93"/>
        <v>#NUM!</v>
      </c>
      <c r="CB103" s="20" t="e">
        <f t="shared" si="64"/>
        <v>#NUM!</v>
      </c>
      <c r="CC103" s="59" t="e">
        <f t="shared" si="65"/>
        <v>#NUM!</v>
      </c>
      <c r="CD103" s="59">
        <f ca="1">AVERAGE(OFFSET($CC$3,0,0,'Données projet'!$E$12+1,1))-AVERAGE(OFFSET($H$3,0,0,'Données projet'!$E$12+1,1))</f>
        <v>439.15394290667945</v>
      </c>
      <c r="CE103" s="59">
        <f t="shared" si="94"/>
        <v>423.56554025351068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33.946017083788604</v>
      </c>
      <c r="CL103" s="21">
        <f>EXP(-LN(2)/25)*CL102+(1-EXP(-LN(2)/25))/(LN(2)/25)*Calculateur!CG103*Calculateur!CI103*VLOOKUP('Données projet'!$B$12,Paramètres!$A$1:$I$89,3,0)*0.475*44/12</f>
        <v>28.60530630202998</v>
      </c>
      <c r="CM103" s="21">
        <f>EXP(-LN(2)/2)*CM102+(1-EXP(-LN(2)/2))/(LN(2)/2)*CG103*CJ103*VLOOKUP('Données projet'!$B$12,Paramètres!$A$1:$I$89,3,0)*0.475*44/12</f>
        <v>7.2910933545275489E-2</v>
      </c>
      <c r="CN103" s="22">
        <f t="shared" si="66"/>
        <v>62.624234319363858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>
        <f>CT103*VLOOKUP('Données projet'!$B$13,Paramètres!$A$1:$I$89,3,0)*VLOOKUP('Données projet'!$B$13,Paramètres!$A$1:$I$89,5,0)</f>
        <v>0</v>
      </c>
      <c r="CV103" s="13" t="e">
        <f t="shared" si="95"/>
        <v>#NUM!</v>
      </c>
      <c r="CW103" s="20" t="e">
        <f t="shared" si="67"/>
        <v>#NUM!</v>
      </c>
      <c r="CX103" s="59" t="e">
        <f t="shared" si="68"/>
        <v>#NUM!</v>
      </c>
      <c r="CY103" s="59">
        <f ca="1">AVERAGE(OFFSET($CX$3,0,0,'Données projet'!$E$13+1,1))-AVERAGE(OFFSET($H$3,0,0,'Données projet'!$E$13+1,1))</f>
        <v>408.246209980743</v>
      </c>
      <c r="CZ103" s="59">
        <f t="shared" si="96"/>
        <v>394.10236303013903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>
        <f>EXP(-LN(2)/35)*DF102+(1-EXP(-LN(2)/35))/(LN(2)/35)*DB103*DC103*VLOOKUP('Données projet'!$B$13,Paramètres!$A$1:$I$89,3,0)*0.475*44/12</f>
        <v>38.410895426871761</v>
      </c>
      <c r="DG103" s="21">
        <f>EXP(-LN(2)/25)*DG102+(1-EXP(-LN(2)/25))/(LN(2)/25)*Calculateur!DB103*Calculateur!DD103*VLOOKUP('Données projet'!$B$13,Paramètres!$A$1:$I$89,3,0)*0.475*44/12</f>
        <v>32.367727451172321</v>
      </c>
      <c r="DH103" s="21">
        <f>EXP(-LN(2)/2)*DH102+(1-EXP(-LN(2)/2))/(LN(2)/2)*DB103*DE103*VLOOKUP('Données projet'!$B$13,Paramètres!$A$1:$I$89,3,0)*0.475*44/12</f>
        <v>6.6934627516974238E-2</v>
      </c>
      <c r="DI103" s="22">
        <f t="shared" si="69"/>
        <v>70.845557505561047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>
        <f>DO103*VLOOKUP('Données projet'!$B$14,Paramètres!$A$1:$I$89,3,0)*VLOOKUP('Données projet'!$B$14,Paramètres!$A$1:$I$89,5,0)</f>
        <v>0</v>
      </c>
      <c r="DQ103" s="13" t="e">
        <f t="shared" si="97"/>
        <v>#NUM!</v>
      </c>
      <c r="DR103" s="20" t="e">
        <f t="shared" si="70"/>
        <v>#NUM!</v>
      </c>
      <c r="DS103" s="59" t="e">
        <f t="shared" si="71"/>
        <v>#NUM!</v>
      </c>
      <c r="DT103" s="59">
        <f ca="1">AVERAGE(OFFSET($DS$3,0,0,'Données projet'!$E$14+1,1))-AVERAGE(OFFSET($H$3,0,0,'Données projet'!$E$14+1,1))</f>
        <v>371.07993287480366</v>
      </c>
      <c r="DU103" s="59">
        <f t="shared" si="98"/>
        <v>358.67120540290637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>
        <f>EXP(-LN(2)/35)*EA102+(1-EXP(-LN(2)/35))/(LN(2)/35)*DW103*DX103*VLOOKUP('Données projet'!$B$14,Paramètres!$A$1:$I$89,3,0)*0.475*44/12</f>
        <v>27.824604167039844</v>
      </c>
      <c r="EB103" s="21">
        <f>EXP(-LN(2)/25)*EB102+(1-EXP(-LN(2)/25))/(LN(2)/25)*Calculateur!DW103*Calculateur!DY103*VLOOKUP('Données projet'!$B$14,Paramètres!$A$1:$I$89,3,0)*0.475*44/12</f>
        <v>23.446972378713095</v>
      </c>
      <c r="EC103" s="21">
        <f>EXP(-LN(2)/2)*EC102+(1-EXP(-LN(2)/2))/(LN(2)/2)*DW103*DZ103*VLOOKUP('Données projet'!$B$14,Paramètres!$A$1:$I$89,3,0)*0.475*44/12</f>
        <v>5.9763060283012766E-2</v>
      </c>
      <c r="ED103" s="22">
        <f t="shared" si="72"/>
        <v>51.331339606035947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45">
      <c r="A104" s="10">
        <f t="shared" si="85"/>
        <v>101</v>
      </c>
      <c r="B104" s="73">
        <f>'Scénario référence'!$B$16*5+'Scénario référence'!$B$17*0+'Scénario référence'!$B$18*5</f>
        <v>5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1">
        <f t="shared" si="86"/>
        <v>0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18.333333333333332</v>
      </c>
      <c r="H104" s="67">
        <f t="shared" si="56"/>
        <v>183.33333333333334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8.9420000000000019</v>
      </c>
      <c r="N104" s="13">
        <f>IF('Données projet'!$A$36&gt;35,N103+M104-V103,IF(A104&lt;'Données projet'!$A$36,$K$205^A104,IF(A104='Données projet'!$A$36,'Données projet'!$B$36,N103+M104-V103)))</f>
        <v>375.37400000000054</v>
      </c>
      <c r="O104" s="13">
        <f>N104*VLOOKUP('Données projet'!$B$9,Paramètres!$A$1:$I$89,3,0)*VLOOKUP('Données projet'!$B$9,Paramètres!$A$1:$I$89,5,0)</f>
        <v>339.6383952000005</v>
      </c>
      <c r="P104" s="13">
        <f t="shared" si="87"/>
        <v>79.425231954431325</v>
      </c>
      <c r="Q104" s="20">
        <f t="shared" si="107"/>
        <v>729.86915062730213</v>
      </c>
      <c r="R104" s="59">
        <f t="shared" si="55"/>
        <v>1007.5495431743766</v>
      </c>
      <c r="S104" s="59">
        <f ca="1">AVERAGE(OFFSET($R$3,0,0,'Données projet'!$E$9+1,1))-AVERAGE(OFFSET($H$3,0,0,'Données projet'!$E$9+1,1))</f>
        <v>681.47578137804555</v>
      </c>
      <c r="T104" s="59">
        <f t="shared" si="88"/>
        <v>300.88511065995885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24.563427818890382</v>
      </c>
      <c r="AA104" s="21">
        <f>EXP(-LN(2)/25)*AA103+(1-EXP(-LN(2)/25))/(LN(2)/25)*Calculateur!V104*Calculateur!X104*VLOOKUP('Données projet'!$B$9,Paramètres!$A$1:$I$89,3,0)*0.475*44/12</f>
        <v>23.214519526967194</v>
      </c>
      <c r="AB104" s="21">
        <f>EXP(-LN(2)/2)*AB103+(1-EXP(-LN(2)/2))/(LN(2)/2)*V104*Y104*VLOOKUP('Données projet'!$B$9,Paramètres!$A$1:$I$89,3,0)*0.475*44/12</f>
        <v>0.52433739690757963</v>
      </c>
      <c r="AC104" s="22">
        <f t="shared" si="57"/>
        <v>48.302284742765153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6.5620000000000003</v>
      </c>
      <c r="AI104" s="13">
        <f>IF('Données projet'!$A$62&gt;35,AI103+AH104-AQ103,IF(A104&lt;'Données projet'!$A$62,$AF$205^A104,IF(A104='Données projet'!$A$62,'Données projet'!$B$62,AI103+AH104-AQ103)))</f>
        <v>237.61400000000026</v>
      </c>
      <c r="AJ104" s="13">
        <f>AI104*VLOOKUP('Données projet'!$B$10,Paramètres!$A$1:$I$89,3,0)*VLOOKUP('Données projet'!$B$10,Paramètres!$A$1:$I$89,5,0)</f>
        <v>111.20335200000012</v>
      </c>
      <c r="AK104" s="13">
        <f t="shared" si="89"/>
        <v>29.614323908502584</v>
      </c>
      <c r="AL104" s="20">
        <f t="shared" si="58"/>
        <v>245.25745220730889</v>
      </c>
      <c r="AM104" s="59">
        <f t="shared" si="59"/>
        <v>522.93784475438326</v>
      </c>
      <c r="AN104" s="59">
        <f ca="1">AVERAGE(OFFSET($AM$3,0,0,'Données projet'!$E$10+1,1))-AVERAGE(OFFSET($H$3,0,0,'Données projet'!$E$10+1,1))</f>
        <v>325.45940224919184</v>
      </c>
      <c r="AO104" s="59">
        <f t="shared" si="90"/>
        <v>256.30046621034876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84.108019739688231</v>
      </c>
      <c r="AV104" s="21">
        <f>EXP(-LN(2)/25)*AV103+(1-EXP(-LN(2)/25))/(LN(2)/25)*Calculateur!AQ104*Calculateur!AS104*VLOOKUP('Données projet'!$B$10,Paramètres!$A$1:$I$89,3,0)*0.475*44/12</f>
        <v>27.649733348648454</v>
      </c>
      <c r="AW104" s="21">
        <f>EXP(-LN(2)/2)*AW103+(1-EXP(-LN(2)/2))/(LN(2)/2)*AQ104*AT104*VLOOKUP('Données projet'!$B$10,Paramètres!$A$1:$I$89,3,0)*0.475*44/12</f>
        <v>11.886849136621677</v>
      </c>
      <c r="AX104" s="21">
        <f t="shared" si="60"/>
        <v>123.64460222495836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6.7777777777777777</v>
      </c>
      <c r="BD104" s="12">
        <f>IF('Données projet'!$A$88&gt;35,BD103+BC104-BL103,IF(A104&lt;'Données projet'!$A$88,$BA$205^A104,IF(A104='Données projet'!$A$88,'Données projet'!$B$88,BD103+BC104-BL103)))</f>
        <v>251.03666666666652</v>
      </c>
      <c r="BE104" s="13">
        <f>BD104*VLOOKUP('Données projet'!$B$11,Paramètres!$A$1:$I$89,3,0)*VLOOKUP('Données projet'!$B$11,Paramètres!$A$1:$I$89,5,0)</f>
        <v>254.55117999999987</v>
      </c>
      <c r="BF104" s="13">
        <f t="shared" si="91"/>
        <v>61.55948191196579</v>
      </c>
      <c r="BG104" s="20">
        <f t="shared" si="61"/>
        <v>550.55940283000689</v>
      </c>
      <c r="BH104" s="59">
        <f t="shared" si="62"/>
        <v>828.23979537708124</v>
      </c>
      <c r="BI104" s="59">
        <f ca="1">AVERAGE(OFFSET($BH$3,0,0,'Données projet'!$E$11+1,1))-AVERAGE(OFFSET($H$3,0,0,'Données projet'!$E$11+1,1))</f>
        <v>580.02848304986492</v>
      </c>
      <c r="BJ104" s="59">
        <f t="shared" si="92"/>
        <v>281.68891895586728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11.027096769605121</v>
      </c>
      <c r="BQ104" s="21">
        <f>EXP(-LN(2)/25)*BQ103+(1-EXP(-LN(2)/25))/(LN(2)/25)*Calculateur!BL104*Calculateur!BN104*VLOOKUP('Données projet'!$B$11,Paramètres!$A$1:$I$89,3,0)*0.475*44/12</f>
        <v>28.170513523256279</v>
      </c>
      <c r="BR104" s="21">
        <f>EXP(-LN(2)/2)*BR103+(1-EXP(-LN(2)/2))/(LN(2)/2)*BL104*BO104*VLOOKUP('Données projet'!$B$11,Paramètres!$A$1:$I$89,3,0)*0.475*44/12</f>
        <v>0.52623797159656094</v>
      </c>
      <c r="BS104" s="22">
        <f t="shared" si="63"/>
        <v>39.723848264457956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>
        <f>BY104*VLOOKUP('Données projet'!$B$12,Paramètres!$A$1:$I$89,3,0)*VLOOKUP('Données projet'!$B$12,Paramètres!$A$1:$I$89,5,0)</f>
        <v>0</v>
      </c>
      <c r="CA104" s="13" t="e">
        <f t="shared" si="93"/>
        <v>#NUM!</v>
      </c>
      <c r="CB104" s="20" t="e">
        <f t="shared" si="64"/>
        <v>#NUM!</v>
      </c>
      <c r="CC104" s="59" t="e">
        <f t="shared" si="65"/>
        <v>#NUM!</v>
      </c>
      <c r="CD104" s="59">
        <f ca="1">AVERAGE(OFFSET($CC$3,0,0,'Données projet'!$E$12+1,1))-AVERAGE(OFFSET($H$3,0,0,'Données projet'!$E$12+1,1))</f>
        <v>439.15394290667945</v>
      </c>
      <c r="CE104" s="59">
        <f t="shared" si="94"/>
        <v>423.56554025351068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33.280356393801476</v>
      </c>
      <c r="CL104" s="21">
        <f>EXP(-LN(2)/25)*CL103+(1-EXP(-LN(2)/25))/(LN(2)/25)*Calculateur!CG104*Calculateur!CI104*VLOOKUP('Données projet'!$B$12,Paramètres!$A$1:$I$89,3,0)*0.475*44/12</f>
        <v>27.823092696913289</v>
      </c>
      <c r="CM104" s="21">
        <f>EXP(-LN(2)/2)*CM103+(1-EXP(-LN(2)/2))/(LN(2)/2)*CG104*CJ104*VLOOKUP('Données projet'!$B$12,Paramètres!$A$1:$I$89,3,0)*0.475*44/12</f>
        <v>5.1555815532506023E-2</v>
      </c>
      <c r="CN104" s="22">
        <f t="shared" si="66"/>
        <v>61.155004906247271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>
        <f>CT104*VLOOKUP('Données projet'!$B$13,Paramètres!$A$1:$I$89,3,0)*VLOOKUP('Données projet'!$B$13,Paramètres!$A$1:$I$89,5,0)</f>
        <v>0</v>
      </c>
      <c r="CV104" s="13" t="e">
        <f t="shared" si="95"/>
        <v>#NUM!</v>
      </c>
      <c r="CW104" s="20" t="e">
        <f t="shared" si="67"/>
        <v>#NUM!</v>
      </c>
      <c r="CX104" s="59" t="e">
        <f t="shared" si="68"/>
        <v>#NUM!</v>
      </c>
      <c r="CY104" s="59">
        <f ca="1">AVERAGE(OFFSET($CX$3,0,0,'Données projet'!$E$13+1,1))-AVERAGE(OFFSET($H$3,0,0,'Données projet'!$E$13+1,1))</f>
        <v>408.246209980743</v>
      </c>
      <c r="CZ104" s="59">
        <f t="shared" si="96"/>
        <v>394.10236303013903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>
        <f>EXP(-LN(2)/35)*DF103+(1-EXP(-LN(2)/35))/(LN(2)/35)*DB104*DC104*VLOOKUP('Données projet'!$B$13,Paramètres!$A$1:$I$89,3,0)*0.475*44/12</f>
        <v>37.657681195883661</v>
      </c>
      <c r="DG104" s="21">
        <f>EXP(-LN(2)/25)*DG103+(1-EXP(-LN(2)/25))/(LN(2)/25)*Calculateur!DB104*Calculateur!DD104*VLOOKUP('Données projet'!$B$13,Paramètres!$A$1:$I$89,3,0)*0.475*44/12</f>
        <v>31.482630241875206</v>
      </c>
      <c r="DH104" s="21">
        <f>EXP(-LN(2)/2)*DH103+(1-EXP(-LN(2)/2))/(LN(2)/2)*DB104*DE104*VLOOKUP('Données projet'!$B$13,Paramètres!$A$1:$I$89,3,0)*0.475*44/12</f>
        <v>4.7329929013448166E-2</v>
      </c>
      <c r="DI104" s="22">
        <f t="shared" si="69"/>
        <v>69.187641366772311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>
        <f>DO104*VLOOKUP('Données projet'!$B$14,Paramètres!$A$1:$I$89,3,0)*VLOOKUP('Données projet'!$B$14,Paramètres!$A$1:$I$89,5,0)</f>
        <v>0</v>
      </c>
      <c r="DQ104" s="13" t="e">
        <f t="shared" si="97"/>
        <v>#NUM!</v>
      </c>
      <c r="DR104" s="20" t="e">
        <f t="shared" si="70"/>
        <v>#NUM!</v>
      </c>
      <c r="DS104" s="59" t="e">
        <f t="shared" si="71"/>
        <v>#NUM!</v>
      </c>
      <c r="DT104" s="59">
        <f ca="1">AVERAGE(OFFSET($DS$3,0,0,'Données projet'!$E$14+1,1))-AVERAGE(OFFSET($H$3,0,0,'Données projet'!$E$14+1,1))</f>
        <v>371.07993287480366</v>
      </c>
      <c r="DU104" s="59">
        <f t="shared" si="98"/>
        <v>358.67120540290637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>
        <f>EXP(-LN(2)/35)*EA103+(1-EXP(-LN(2)/35))/(LN(2)/35)*DW104*DX104*VLOOKUP('Données projet'!$B$14,Paramètres!$A$1:$I$89,3,0)*0.475*44/12</f>
        <v>27.278980650656955</v>
      </c>
      <c r="EB104" s="21">
        <f>EXP(-LN(2)/25)*EB103+(1-EXP(-LN(2)/25))/(LN(2)/25)*Calculateur!DW104*Calculateur!DY104*VLOOKUP('Données projet'!$B$14,Paramètres!$A$1:$I$89,3,0)*0.475*44/12</f>
        <v>22.805813685994497</v>
      </c>
      <c r="EC104" s="21">
        <f>EXP(-LN(2)/2)*EC103+(1-EXP(-LN(2)/2))/(LN(2)/2)*DW104*DZ104*VLOOKUP('Données projet'!$B$14,Paramètres!$A$1:$I$89,3,0)*0.475*44/12</f>
        <v>4.2258865190578761E-2</v>
      </c>
      <c r="ED104" s="22">
        <f t="shared" si="72"/>
        <v>50.127053201842031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45">
      <c r="A105" s="10">
        <f t="shared" si="85"/>
        <v>102</v>
      </c>
      <c r="B105" s="73">
        <f>'Scénario référence'!$B$16*5+'Scénario référence'!$B$17*0+'Scénario référence'!$B$18*5</f>
        <v>5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1">
        <f t="shared" si="86"/>
        <v>0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18.333333333333332</v>
      </c>
      <c r="H105" s="67">
        <f t="shared" si="56"/>
        <v>183.33333333333334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8.9420000000000019</v>
      </c>
      <c r="N105" s="13">
        <f>IF('Données projet'!$A$36&gt;35,N104+M105-V104,IF(A105&lt;'Données projet'!$A$36,$K$205^A105,IF(A105='Données projet'!$A$36,'Données projet'!$B$36,N104+M105-V104)))</f>
        <v>384.31600000000054</v>
      </c>
      <c r="O105" s="13">
        <f>N105*VLOOKUP('Données projet'!$B$9,Paramètres!$A$1:$I$89,3,0)*VLOOKUP('Données projet'!$B$9,Paramètres!$A$1:$I$89,5,0)</f>
        <v>347.7291168000005</v>
      </c>
      <c r="P105" s="13">
        <f t="shared" si="87"/>
        <v>81.094735802697301</v>
      </c>
      <c r="Q105" s="20">
        <f t="shared" si="107"/>
        <v>746.86820994969855</v>
      </c>
      <c r="R105" s="59">
        <f t="shared" si="55"/>
        <v>1024.8201460246814</v>
      </c>
      <c r="S105" s="59">
        <f ca="1">AVERAGE(OFFSET($R$3,0,0,'Données projet'!$E$9+1,1))-AVERAGE(OFFSET($H$3,0,0,'Données projet'!$E$9+1,1))</f>
        <v>681.47578137804555</v>
      </c>
      <c r="T105" s="59">
        <f t="shared" si="88"/>
        <v>300.88511065995885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24.081753981573542</v>
      </c>
      <c r="AA105" s="21">
        <f>EXP(-LN(2)/25)*AA104+(1-EXP(-LN(2)/25))/(LN(2)/25)*Calculateur!V105*Calculateur!X105*VLOOKUP('Données projet'!$B$9,Paramètres!$A$1:$I$89,3,0)*0.475*44/12</f>
        <v>22.579717269703753</v>
      </c>
      <c r="AB105" s="21">
        <f>EXP(-LN(2)/2)*AB104+(1-EXP(-LN(2)/2))/(LN(2)/2)*V105*Y105*VLOOKUP('Données projet'!$B$9,Paramètres!$A$1:$I$89,3,0)*0.475*44/12</f>
        <v>0.37076252898305184</v>
      </c>
      <c r="AC105" s="22">
        <f t="shared" si="57"/>
        <v>47.032233780260341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6.5620000000000003</v>
      </c>
      <c r="AI105" s="13">
        <f>IF('Données projet'!$A$62&gt;35,AI104+AH105-AQ104,IF(A105&lt;'Données projet'!$A$62,$AF$205^A105,IF(A105='Données projet'!$A$62,'Données projet'!$B$62,AI104+AH105-AQ104)))</f>
        <v>244.17600000000027</v>
      </c>
      <c r="AJ105" s="13">
        <f>AI105*VLOOKUP('Données projet'!$B$10,Paramètres!$A$1:$I$89,3,0)*VLOOKUP('Données projet'!$B$10,Paramètres!$A$1:$I$89,5,0)</f>
        <v>114.27436800000012</v>
      </c>
      <c r="AK105" s="13">
        <f t="shared" si="89"/>
        <v>30.335813756540151</v>
      </c>
      <c r="AL105" s="20">
        <f t="shared" si="58"/>
        <v>251.86273322597432</v>
      </c>
      <c r="AM105" s="59">
        <f t="shared" si="59"/>
        <v>529.81466930095723</v>
      </c>
      <c r="AN105" s="59">
        <f ca="1">AVERAGE(OFFSET($AM$3,0,0,'Données projet'!$E$10+1,1))-AVERAGE(OFFSET($H$3,0,0,'Données projet'!$E$10+1,1))</f>
        <v>325.45940224919184</v>
      </c>
      <c r="AO105" s="59">
        <f t="shared" si="90"/>
        <v>256.30046621034876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82.45871277341945</v>
      </c>
      <c r="AV105" s="21">
        <f>EXP(-LN(2)/25)*AV104+(1-EXP(-LN(2)/25))/(LN(2)/25)*Calculateur!AQ105*Calculateur!AS105*VLOOKUP('Données projet'!$B$10,Paramètres!$A$1:$I$89,3,0)*0.475*44/12</f>
        <v>26.893649936193381</v>
      </c>
      <c r="AW105" s="21">
        <f>EXP(-LN(2)/2)*AW104+(1-EXP(-LN(2)/2))/(LN(2)/2)*AQ105*AT105*VLOOKUP('Données projet'!$B$10,Paramètres!$A$1:$I$89,3,0)*0.475*44/12</f>
        <v>8.4052716314466469</v>
      </c>
      <c r="AX105" s="21">
        <f t="shared" si="60"/>
        <v>117.75763434105949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6.7777777777777777</v>
      </c>
      <c r="BD105" s="12">
        <f>IF('Données projet'!$A$88&gt;35,BD104+BC105-BL104,IF(A105&lt;'Données projet'!$A$88,$BA$205^A105,IF(A105='Données projet'!$A$88,'Données projet'!$B$88,BD104+BC105-BL104)))</f>
        <v>257.81444444444429</v>
      </c>
      <c r="BE105" s="13">
        <f>BD105*VLOOKUP('Données projet'!$B$11,Paramètres!$A$1:$I$89,3,0)*VLOOKUP('Données projet'!$B$11,Paramètres!$A$1:$I$89,5,0)</f>
        <v>261.42384666666652</v>
      </c>
      <c r="BF105" s="13">
        <f t="shared" si="91"/>
        <v>63.025787988714278</v>
      </c>
      <c r="BG105" s="20">
        <f t="shared" si="61"/>
        <v>565.08311369145497</v>
      </c>
      <c r="BH105" s="59">
        <f t="shared" si="62"/>
        <v>843.03504976643785</v>
      </c>
      <c r="BI105" s="59">
        <f ca="1">AVERAGE(OFFSET($BH$3,0,0,'Données projet'!$E$11+1,1))-AVERAGE(OFFSET($H$3,0,0,'Données projet'!$E$11+1,1))</f>
        <v>580.02848304986492</v>
      </c>
      <c r="BJ105" s="59">
        <f t="shared" si="92"/>
        <v>281.68891895586728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10.810862127818071</v>
      </c>
      <c r="BQ105" s="21">
        <f>EXP(-LN(2)/25)*BQ104+(1-EXP(-LN(2)/25))/(LN(2)/25)*Calculateur!BL105*Calculateur!BN105*VLOOKUP('Données projet'!$B$11,Paramètres!$A$1:$I$89,3,0)*0.475*44/12</f>
        <v>27.400189349539914</v>
      </c>
      <c r="BR105" s="21">
        <f>EXP(-LN(2)/2)*BR104+(1-EXP(-LN(2)/2))/(LN(2)/2)*BL105*BO105*VLOOKUP('Données projet'!$B$11,Paramètres!$A$1:$I$89,3,0)*0.475*44/12</f>
        <v>0.37210643823378203</v>
      </c>
      <c r="BS105" s="22">
        <f t="shared" si="63"/>
        <v>38.583157915591762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>
        <f>BY105*VLOOKUP('Données projet'!$B$12,Paramètres!$A$1:$I$89,3,0)*VLOOKUP('Données projet'!$B$12,Paramètres!$A$1:$I$89,5,0)</f>
        <v>0</v>
      </c>
      <c r="CA105" s="13" t="e">
        <f t="shared" si="93"/>
        <v>#NUM!</v>
      </c>
      <c r="CB105" s="20" t="e">
        <f t="shared" si="64"/>
        <v>#NUM!</v>
      </c>
      <c r="CC105" s="59" t="e">
        <f t="shared" si="65"/>
        <v>#NUM!</v>
      </c>
      <c r="CD105" s="59">
        <f ca="1">AVERAGE(OFFSET($CC$3,0,0,'Données projet'!$E$12+1,1))-AVERAGE(OFFSET($H$3,0,0,'Données projet'!$E$12+1,1))</f>
        <v>439.15394290667945</v>
      </c>
      <c r="CE105" s="59">
        <f t="shared" si="94"/>
        <v>423.56554025351068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32.627748903932066</v>
      </c>
      <c r="CL105" s="21">
        <f>EXP(-LN(2)/25)*CL104+(1-EXP(-LN(2)/25))/(LN(2)/25)*Calculateur!CG105*Calculateur!CI105*VLOOKUP('Données projet'!$B$12,Paramètres!$A$1:$I$89,3,0)*0.475*44/12</f>
        <v>27.062268763963342</v>
      </c>
      <c r="CM105" s="21">
        <f>EXP(-LN(2)/2)*CM104+(1-EXP(-LN(2)/2))/(LN(2)/2)*CG105*CJ105*VLOOKUP('Données projet'!$B$12,Paramètres!$A$1:$I$89,3,0)*0.475*44/12</f>
        <v>3.6455466772637744E-2</v>
      </c>
      <c r="CN105" s="22">
        <f t="shared" si="66"/>
        <v>59.726473134668041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>
        <f>CT105*VLOOKUP('Données projet'!$B$13,Paramètres!$A$1:$I$89,3,0)*VLOOKUP('Données projet'!$B$13,Paramètres!$A$1:$I$89,5,0)</f>
        <v>0</v>
      </c>
      <c r="CV105" s="13" t="e">
        <f t="shared" si="95"/>
        <v>#NUM!</v>
      </c>
      <c r="CW105" s="20" t="e">
        <f t="shared" si="67"/>
        <v>#NUM!</v>
      </c>
      <c r="CX105" s="59" t="e">
        <f t="shared" si="68"/>
        <v>#NUM!</v>
      </c>
      <c r="CY105" s="59">
        <f ca="1">AVERAGE(OFFSET($CX$3,0,0,'Données projet'!$E$13+1,1))-AVERAGE(OFFSET($H$3,0,0,'Données projet'!$E$13+1,1))</f>
        <v>408.246209980743</v>
      </c>
      <c r="CZ105" s="59">
        <f t="shared" si="96"/>
        <v>394.10236303013903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>
        <f>EXP(-LN(2)/35)*DF104+(1-EXP(-LN(2)/35))/(LN(2)/35)*DB105*DC105*VLOOKUP('Données projet'!$B$13,Paramètres!$A$1:$I$89,3,0)*0.475*44/12</f>
        <v>36.919237036549923</v>
      </c>
      <c r="DG105" s="21">
        <f>EXP(-LN(2)/25)*DG104+(1-EXP(-LN(2)/25))/(LN(2)/25)*Calculateur!DB105*Calculateur!DD105*VLOOKUP('Données projet'!$B$13,Paramètres!$A$1:$I$89,3,0)*0.475*44/12</f>
        <v>30.621736062311559</v>
      </c>
      <c r="DH105" s="21">
        <f>EXP(-LN(2)/2)*DH104+(1-EXP(-LN(2)/2))/(LN(2)/2)*DB105*DE105*VLOOKUP('Données projet'!$B$13,Paramètres!$A$1:$I$89,3,0)*0.475*44/12</f>
        <v>3.3467313758487119E-2</v>
      </c>
      <c r="DI105" s="22">
        <f t="shared" si="69"/>
        <v>67.574440412619978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>
        <f>DO105*VLOOKUP('Données projet'!$B$14,Paramètres!$A$1:$I$89,3,0)*VLOOKUP('Données projet'!$B$14,Paramètres!$A$1:$I$89,5,0)</f>
        <v>0</v>
      </c>
      <c r="DQ105" s="13" t="e">
        <f t="shared" si="97"/>
        <v>#NUM!</v>
      </c>
      <c r="DR105" s="20" t="e">
        <f t="shared" si="70"/>
        <v>#NUM!</v>
      </c>
      <c r="DS105" s="59" t="e">
        <f t="shared" si="71"/>
        <v>#NUM!</v>
      </c>
      <c r="DT105" s="59">
        <f ca="1">AVERAGE(OFFSET($DS$3,0,0,'Données projet'!$E$14+1,1))-AVERAGE(OFFSET($H$3,0,0,'Données projet'!$E$14+1,1))</f>
        <v>371.07993287480366</v>
      </c>
      <c r="DU105" s="59">
        <f t="shared" si="98"/>
        <v>358.67120540290637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>
        <f>EXP(-LN(2)/35)*EA104+(1-EXP(-LN(2)/35))/(LN(2)/35)*DW105*DX105*VLOOKUP('Données projet'!$B$14,Paramètres!$A$1:$I$89,3,0)*0.475*44/12</f>
        <v>26.744056478632849</v>
      </c>
      <c r="EB105" s="21">
        <f>EXP(-LN(2)/25)*EB104+(1-EXP(-LN(2)/25))/(LN(2)/25)*Calculateur!DW105*Calculateur!DY105*VLOOKUP('Données projet'!$B$14,Paramètres!$A$1:$I$89,3,0)*0.475*44/12</f>
        <v>22.18218751144536</v>
      </c>
      <c r="EC105" s="21">
        <f>EXP(-LN(2)/2)*EC104+(1-EXP(-LN(2)/2))/(LN(2)/2)*DW105*DZ105*VLOOKUP('Données projet'!$B$14,Paramètres!$A$1:$I$89,3,0)*0.475*44/12</f>
        <v>2.9881530141506386E-2</v>
      </c>
      <c r="ED105" s="22">
        <f t="shared" si="72"/>
        <v>48.956125520219715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45">
      <c r="A106" s="10">
        <f t="shared" si="85"/>
        <v>103</v>
      </c>
      <c r="B106" s="73">
        <f>'Scénario référence'!$B$16*5+'Scénario référence'!$B$17*0+'Scénario référence'!$B$18*5</f>
        <v>5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1">
        <f t="shared" si="86"/>
        <v>0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18.333333333333332</v>
      </c>
      <c r="H106" s="67">
        <f t="shared" si="56"/>
        <v>183.33333333333334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8.9420000000000019</v>
      </c>
      <c r="N106" s="13">
        <f>IF('Données projet'!$A$36&gt;35,N105+M106-V105,IF(A106&lt;'Données projet'!$A$36,$K$205^A106,IF(A106='Données projet'!$A$36,'Données projet'!$B$36,N105+M106-V105)))</f>
        <v>393.25800000000055</v>
      </c>
      <c r="O106" s="13">
        <f>N106*VLOOKUP('Données projet'!$B$9,Paramètres!$A$1:$I$89,3,0)*VLOOKUP('Données projet'!$B$9,Paramètres!$A$1:$I$89,5,0)</f>
        <v>355.81983840000049</v>
      </c>
      <c r="P106" s="13">
        <f t="shared" si="87"/>
        <v>82.759723795307863</v>
      </c>
      <c r="Q106" s="20">
        <f t="shared" si="107"/>
        <v>763.85940415682887</v>
      </c>
      <c r="R106" s="59">
        <f t="shared" si="55"/>
        <v>1042.0781730865915</v>
      </c>
      <c r="S106" s="59">
        <f ca="1">AVERAGE(OFFSET($R$3,0,0,'Données projet'!$E$9+1,1))-AVERAGE(OFFSET($H$3,0,0,'Données projet'!$E$9+1,1))</f>
        <v>681.47578137804555</v>
      </c>
      <c r="T106" s="59">
        <f t="shared" si="88"/>
        <v>300.88511065995885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23.60952547441445</v>
      </c>
      <c r="AA106" s="21">
        <f>EXP(-LN(2)/25)*AA105+(1-EXP(-LN(2)/25))/(LN(2)/25)*Calculateur!V106*Calculateur!X106*VLOOKUP('Données projet'!$B$9,Paramètres!$A$1:$I$89,3,0)*0.475*44/12</f>
        <v>21.96227371354798</v>
      </c>
      <c r="AB106" s="21">
        <f>EXP(-LN(2)/2)*AB105+(1-EXP(-LN(2)/2))/(LN(2)/2)*V106*Y106*VLOOKUP('Données projet'!$B$9,Paramètres!$A$1:$I$89,3,0)*0.475*44/12</f>
        <v>0.26216869845378982</v>
      </c>
      <c r="AC106" s="22">
        <f t="shared" si="57"/>
        <v>45.833967886416218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6.5620000000000003</v>
      </c>
      <c r="AI106" s="13">
        <f>IF('Données projet'!$A$62&gt;35,AI105+AH106-AQ105,IF(A106&lt;'Données projet'!$A$62,$AF$205^A106,IF(A106='Données projet'!$A$62,'Données projet'!$B$62,AI105+AH106-AQ105)))</f>
        <v>250.73800000000028</v>
      </c>
      <c r="AJ106" s="13">
        <f>AI106*VLOOKUP('Données projet'!$B$10,Paramètres!$A$1:$I$89,3,0)*VLOOKUP('Données projet'!$B$10,Paramètres!$A$1:$I$89,5,0)</f>
        <v>117.34538400000014</v>
      </c>
      <c r="AK106" s="13">
        <f t="shared" si="89"/>
        <v>31.055049922708768</v>
      </c>
      <c r="AL106" s="20">
        <f t="shared" si="58"/>
        <v>258.46408908205132</v>
      </c>
      <c r="AM106" s="59">
        <f t="shared" si="59"/>
        <v>536.68285801181401</v>
      </c>
      <c r="AN106" s="59">
        <f ca="1">AVERAGE(OFFSET($AM$3,0,0,'Données projet'!$E$10+1,1))-AVERAGE(OFFSET($H$3,0,0,'Données projet'!$E$10+1,1))</f>
        <v>325.45940224919184</v>
      </c>
      <c r="AO106" s="59">
        <f t="shared" si="90"/>
        <v>256.30046621034876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80.841747710781277</v>
      </c>
      <c r="AV106" s="21">
        <f>EXP(-LN(2)/25)*AV105+(1-EXP(-LN(2)/25))/(LN(2)/25)*Calculateur!AQ106*Calculateur!AS106*VLOOKUP('Données projet'!$B$10,Paramètres!$A$1:$I$89,3,0)*0.475*44/12</f>
        <v>26.158241664412589</v>
      </c>
      <c r="AW106" s="21">
        <f>EXP(-LN(2)/2)*AW105+(1-EXP(-LN(2)/2))/(LN(2)/2)*AQ106*AT106*VLOOKUP('Données projet'!$B$10,Paramètres!$A$1:$I$89,3,0)*0.475*44/12</f>
        <v>5.9434245683108395</v>
      </c>
      <c r="AX106" s="21">
        <f t="shared" si="60"/>
        <v>112.94341394350471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6.7777777777777777</v>
      </c>
      <c r="BD106" s="12">
        <f>IF('Données projet'!$A$88&gt;35,BD105+BC106-BL105,IF(A106&lt;'Données projet'!$A$88,$BA$205^A106,IF(A106='Données projet'!$A$88,'Données projet'!$B$88,BD105+BC106-BL105)))</f>
        <v>264.59222222222206</v>
      </c>
      <c r="BE106" s="13">
        <f>BD106*VLOOKUP('Données projet'!$B$11,Paramètres!$A$1:$I$89,3,0)*VLOOKUP('Données projet'!$B$11,Paramètres!$A$1:$I$89,5,0)</f>
        <v>268.29651333333322</v>
      </c>
      <c r="BF106" s="13">
        <f t="shared" si="91"/>
        <v>64.487613361575328</v>
      </c>
      <c r="BG106" s="20">
        <f t="shared" si="61"/>
        <v>579.59902066029906</v>
      </c>
      <c r="BH106" s="59">
        <f t="shared" si="62"/>
        <v>857.81778959006169</v>
      </c>
      <c r="BI106" s="59">
        <f ca="1">AVERAGE(OFFSET($BH$3,0,0,'Données projet'!$E$11+1,1))-AVERAGE(OFFSET($H$3,0,0,'Données projet'!$E$11+1,1))</f>
        <v>580.02848304986492</v>
      </c>
      <c r="BJ106" s="59">
        <f t="shared" si="92"/>
        <v>281.68891895586728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10.598867715466355</v>
      </c>
      <c r="BQ106" s="21">
        <f>EXP(-LN(2)/25)*BQ105+(1-EXP(-LN(2)/25))/(LN(2)/25)*Calculateur!BL106*Calculateur!BN106*VLOOKUP('Données projet'!$B$11,Paramètres!$A$1:$I$89,3,0)*0.475*44/12</f>
        <v>26.65092973086341</v>
      </c>
      <c r="BR106" s="21">
        <f>EXP(-LN(2)/2)*BR105+(1-EXP(-LN(2)/2))/(LN(2)/2)*BL106*BO106*VLOOKUP('Données projet'!$B$11,Paramètres!$A$1:$I$89,3,0)*0.475*44/12</f>
        <v>0.26311898579828047</v>
      </c>
      <c r="BS106" s="22">
        <f t="shared" si="63"/>
        <v>37.512916432128044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>
        <f>BY106*VLOOKUP('Données projet'!$B$12,Paramètres!$A$1:$I$89,3,0)*VLOOKUP('Données projet'!$B$12,Paramètres!$A$1:$I$89,5,0)</f>
        <v>0</v>
      </c>
      <c r="CA106" s="13" t="e">
        <f t="shared" si="93"/>
        <v>#NUM!</v>
      </c>
      <c r="CB106" s="20" t="e">
        <f t="shared" si="64"/>
        <v>#NUM!</v>
      </c>
      <c r="CC106" s="59" t="e">
        <f t="shared" si="65"/>
        <v>#NUM!</v>
      </c>
      <c r="CD106" s="59">
        <f ca="1">AVERAGE(OFFSET($CC$3,0,0,'Données projet'!$E$12+1,1))-AVERAGE(OFFSET($H$3,0,0,'Données projet'!$E$12+1,1))</f>
        <v>439.15394290667945</v>
      </c>
      <c r="CE106" s="59">
        <f t="shared" si="94"/>
        <v>423.56554025351068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31.987938648887731</v>
      </c>
      <c r="CL106" s="21">
        <f>EXP(-LN(2)/25)*CL105+(1-EXP(-LN(2)/25))/(LN(2)/25)*Calculateur!CG106*Calculateur!CI106*VLOOKUP('Données projet'!$B$12,Paramètres!$A$1:$I$89,3,0)*0.475*44/12</f>
        <v>26.322249601469903</v>
      </c>
      <c r="CM106" s="21">
        <f>EXP(-LN(2)/2)*CM105+(1-EXP(-LN(2)/2))/(LN(2)/2)*CG106*CJ106*VLOOKUP('Données projet'!$B$12,Paramètres!$A$1:$I$89,3,0)*0.475*44/12</f>
        <v>2.5777907766253012E-2</v>
      </c>
      <c r="CN106" s="22">
        <f t="shared" si="66"/>
        <v>58.335966158123888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>
        <f>CT106*VLOOKUP('Données projet'!$B$13,Paramètres!$A$1:$I$89,3,0)*VLOOKUP('Données projet'!$B$13,Paramètres!$A$1:$I$89,5,0)</f>
        <v>0</v>
      </c>
      <c r="CV106" s="13" t="e">
        <f t="shared" si="95"/>
        <v>#NUM!</v>
      </c>
      <c r="CW106" s="20" t="e">
        <f t="shared" si="67"/>
        <v>#NUM!</v>
      </c>
      <c r="CX106" s="59" t="e">
        <f t="shared" si="68"/>
        <v>#NUM!</v>
      </c>
      <c r="CY106" s="59">
        <f ca="1">AVERAGE(OFFSET($CX$3,0,0,'Données projet'!$E$13+1,1))-AVERAGE(OFFSET($H$3,0,0,'Données projet'!$E$13+1,1))</f>
        <v>408.246209980743</v>
      </c>
      <c r="CZ106" s="59">
        <f t="shared" si="96"/>
        <v>394.10236303013903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>
        <f>EXP(-LN(2)/35)*DF105+(1-EXP(-LN(2)/35))/(LN(2)/35)*DB106*DC106*VLOOKUP('Données projet'!$B$13,Paramètres!$A$1:$I$89,3,0)*0.475*44/12</f>
        <v>36.195273316774255</v>
      </c>
      <c r="DG106" s="21">
        <f>EXP(-LN(2)/25)*DG105+(1-EXP(-LN(2)/25))/(LN(2)/25)*Calculateur!DB106*Calculateur!DD106*VLOOKUP('Données projet'!$B$13,Paramètres!$A$1:$I$89,3,0)*0.475*44/12</f>
        <v>29.784383079360538</v>
      </c>
      <c r="DH106" s="21">
        <f>EXP(-LN(2)/2)*DH105+(1-EXP(-LN(2)/2))/(LN(2)/2)*DB106*DE106*VLOOKUP('Données projet'!$B$13,Paramètres!$A$1:$I$89,3,0)*0.475*44/12</f>
        <v>2.3664964506724083E-2</v>
      </c>
      <c r="DI106" s="22">
        <f t="shared" si="69"/>
        <v>66.003321360641522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>
        <f>DO106*VLOOKUP('Données projet'!$B$14,Paramètres!$A$1:$I$89,3,0)*VLOOKUP('Données projet'!$B$14,Paramètres!$A$1:$I$89,5,0)</f>
        <v>0</v>
      </c>
      <c r="DQ106" s="13" t="e">
        <f t="shared" si="97"/>
        <v>#NUM!</v>
      </c>
      <c r="DR106" s="20" t="e">
        <f t="shared" si="70"/>
        <v>#NUM!</v>
      </c>
      <c r="DS106" s="59" t="e">
        <f t="shared" si="71"/>
        <v>#NUM!</v>
      </c>
      <c r="DT106" s="59">
        <f ca="1">AVERAGE(OFFSET($DS$3,0,0,'Données projet'!$E$14+1,1))-AVERAGE(OFFSET($H$3,0,0,'Données projet'!$E$14+1,1))</f>
        <v>371.07993287480366</v>
      </c>
      <c r="DU106" s="59">
        <f t="shared" si="98"/>
        <v>358.67120540290637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>
        <f>EXP(-LN(2)/35)*EA105+(1-EXP(-LN(2)/35))/(LN(2)/35)*DW106*DX106*VLOOKUP('Données projet'!$B$14,Paramètres!$A$1:$I$89,3,0)*0.475*44/12</f>
        <v>26.219621843350609</v>
      </c>
      <c r="EB106" s="21">
        <f>EXP(-LN(2)/25)*EB105+(1-EXP(-LN(2)/25))/(LN(2)/25)*Calculateur!DW106*Calculateur!DY106*VLOOKUP('Données projet'!$B$14,Paramètres!$A$1:$I$89,3,0)*0.475*44/12</f>
        <v>21.575614427434342</v>
      </c>
      <c r="EC106" s="21">
        <f>EXP(-LN(2)/2)*EC105+(1-EXP(-LN(2)/2))/(LN(2)/2)*DW106*DZ106*VLOOKUP('Données projet'!$B$14,Paramètres!$A$1:$I$89,3,0)*0.475*44/12</f>
        <v>2.1129432595289384E-2</v>
      </c>
      <c r="ED106" s="22">
        <f t="shared" si="72"/>
        <v>47.816365703380242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45">
      <c r="A107" s="10">
        <f t="shared" si="85"/>
        <v>104</v>
      </c>
      <c r="B107" s="73">
        <f>'Scénario référence'!$B$16*5+'Scénario référence'!$B$17*0+'Scénario référence'!$B$18*5</f>
        <v>5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1">
        <f t="shared" si="86"/>
        <v>0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18.333333333333332</v>
      </c>
      <c r="H107" s="67">
        <f t="shared" si="56"/>
        <v>183.33333333333334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>
        <f>VLOOKUP(A107,'Données projet'!$A$35:$I$55,2,0)</f>
        <v>402.2</v>
      </c>
      <c r="L107" s="12">
        <f>VLOOKUP(A107,'Données projet'!$A$35:$I$55,9,0)</f>
        <v>8.9420000000000019</v>
      </c>
      <c r="M107" s="12">
        <f t="array" ref="M107">INDEX(L:L,MIN(IF(ISNUMBER(L107:L303),ROW(L107:L303),"")))</f>
        <v>8.9420000000000019</v>
      </c>
      <c r="N107" s="13">
        <f>IF('Données projet'!$A$36&gt;35,N106+M107-V106,IF(A107&lt;'Données projet'!$A$36,$K$205^A107,IF(A107='Données projet'!$A$36,'Données projet'!$B$36,N106+M107-V106)))</f>
        <v>402.20000000000056</v>
      </c>
      <c r="O107" s="13">
        <f>N107*VLOOKUP('Données projet'!$B$9,Paramètres!$A$1:$I$89,3,0)*VLOOKUP('Données projet'!$B$9,Paramètres!$A$1:$I$89,5,0)</f>
        <v>363.91056000000049</v>
      </c>
      <c r="P107" s="13">
        <f t="shared" si="87"/>
        <v>84.42031043556446</v>
      </c>
      <c r="Q107" s="20">
        <f t="shared" si="107"/>
        <v>780.84293267527562</v>
      </c>
      <c r="R107" s="59">
        <f t="shared" si="55"/>
        <v>1059.3239055063366</v>
      </c>
      <c r="S107" s="59">
        <f ca="1">AVERAGE(OFFSET($R$3,0,0,'Données projet'!$E$9+1,1))-AVERAGE(OFFSET($H$3,0,0,'Données projet'!$E$9+1,1))</f>
        <v>681.47578137804555</v>
      </c>
      <c r="T107" s="59">
        <f t="shared" si="88"/>
        <v>300.88511065995885</v>
      </c>
      <c r="U107" s="15">
        <f>IF(ISNA(VLOOKUP(A107,'Données projet'!$A$35:$I$55,3,0)),0,VLOOKUP(A107,'Données projet'!$A$35:$I$55,3,0))</f>
        <v>8</v>
      </c>
      <c r="V107" s="15">
        <f>IF(ISNA(VLOOKUP(A107,'Données projet'!$A$35:$I$55,4,0)),0,VLOOKUP(A107,'Données projet'!$A$35:$I$55,4,0))</f>
        <v>66.089999999999975</v>
      </c>
      <c r="W107" s="16">
        <f>IF(ISNA(VLOOKUP(A107,'Données projet'!$A$35:$I$55,5,0)),0%,VLOOKUP(A107,'Données projet'!$A$35:$I$55,5,0)*VLOOKUP('Données projet'!$B$9,Paramètres!$A$1:$I$89,7,0))</f>
        <v>0.15049999999999999</v>
      </c>
      <c r="X107" s="16">
        <f>IF(ISNA(VLOOKUP(A107,'Données projet'!$A$35:$I$55,6,0)),0%,VLOOKUP(A107,'Données projet'!$A$35:$I$55,6,0)*VLOOKUP('Données projet'!$B$9,Paramètres!$A$1:$I$89,7,0))</f>
        <v>8.6000000000000007E-2</v>
      </c>
      <c r="Y107" s="16">
        <f>IF(ISNA(VLOOKUP(A107,'Données projet'!$A$35:$I$55,7,0)),0%,VLOOKUP(A107,'Données projet'!$A$35:$I$55,7,0))</f>
        <v>0.1</v>
      </c>
      <c r="Z107" s="21">
        <f>EXP(-LN(2)/35)*Z106+(1-EXP(-LN(2)/35))/(LN(2)/35)*V107*W107*VLOOKUP('Données projet'!$B$9,Paramètres!$A$1:$I$89,3,0)*0.475*44/12</f>
        <v>33.09538580102793</v>
      </c>
      <c r="AA107" s="21">
        <f>EXP(-LN(2)/25)*AA106+(1-EXP(-LN(2)/25))/(LN(2)/25)*Calculateur!V107*Calculateur!X107*VLOOKUP('Données projet'!$B$9,Paramètres!$A$1:$I$89,3,0)*0.475*44/12</f>
        <v>27.024374978935796</v>
      </c>
      <c r="AB107" s="21">
        <f>EXP(-LN(2)/2)*AB106+(1-EXP(-LN(2)/2))/(LN(2)/2)*V107*Y107*VLOOKUP('Données projet'!$B$9,Paramètres!$A$1:$I$89,3,0)*0.475*44/12</f>
        <v>5.8275053982732432</v>
      </c>
      <c r="AC107" s="22">
        <f t="shared" si="57"/>
        <v>65.947266178236973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6.5620000000000003</v>
      </c>
      <c r="AI107" s="13">
        <f>IF('Données projet'!$A$62&gt;35,AI106+AH107-AQ106,IF(A107&lt;'Données projet'!$A$62,$AF$205^A107,IF(A107='Données projet'!$A$62,'Données projet'!$B$62,AI106+AH107-AQ106)))</f>
        <v>257.3000000000003</v>
      </c>
      <c r="AJ107" s="13">
        <f>AI107*VLOOKUP('Données projet'!$B$10,Paramètres!$A$1:$I$89,3,0)*VLOOKUP('Données projet'!$B$10,Paramètres!$A$1:$I$89,5,0)</f>
        <v>120.41640000000014</v>
      </c>
      <c r="AK107" s="13">
        <f t="shared" si="89"/>
        <v>31.772098167877449</v>
      </c>
      <c r="AL107" s="20">
        <f t="shared" si="58"/>
        <v>265.06163430905343</v>
      </c>
      <c r="AM107" s="59">
        <f t="shared" si="59"/>
        <v>543.54260714011434</v>
      </c>
      <c r="AN107" s="59">
        <f ca="1">AVERAGE(OFFSET($AM$3,0,0,'Données projet'!$E$10+1,1))-AVERAGE(OFFSET($H$3,0,0,'Données projet'!$E$10+1,1))</f>
        <v>325.45940224919184</v>
      </c>
      <c r="AO107" s="59">
        <f t="shared" si="90"/>
        <v>256.30046621034876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79.256490346770136</v>
      </c>
      <c r="AV107" s="21">
        <f>EXP(-LN(2)/25)*AV106+(1-EXP(-LN(2)/25))/(LN(2)/25)*Calculateur!AQ107*Calculateur!AS107*VLOOKUP('Données projet'!$B$10,Paramètres!$A$1:$I$89,3,0)*0.475*44/12</f>
        <v>25.442943170497085</v>
      </c>
      <c r="AW107" s="21">
        <f>EXP(-LN(2)/2)*AW106+(1-EXP(-LN(2)/2))/(LN(2)/2)*AQ107*AT107*VLOOKUP('Données projet'!$B$10,Paramètres!$A$1:$I$89,3,0)*0.475*44/12</f>
        <v>4.2026358157233235</v>
      </c>
      <c r="AX107" s="21">
        <f t="shared" si="60"/>
        <v>108.90206933299055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>
        <f>VLOOKUP(A107,'Données projet'!$A$87:$I$107,2,0)</f>
        <v>271.37</v>
      </c>
      <c r="BB107" s="12">
        <f>VLOOKUP(A107,'Données projet'!$A$87:$I$107,9,0)</f>
        <v>6.7777777777777777</v>
      </c>
      <c r="BC107" s="12">
        <f t="array" ref="BC107">INDEX(BB:BB,MIN(IF(ISNUMBER(BB107:BB303),ROW(BB107:BB303),"")))</f>
        <v>6.7777777777777777</v>
      </c>
      <c r="BD107" s="12">
        <f>IF('Données projet'!$A$88&gt;35,BD106+BC107-BL106,IF(A107&lt;'Données projet'!$A$88,$BA$205^A107,IF(A107='Données projet'!$A$88,'Données projet'!$B$88,BD106+BC107-BL106)))</f>
        <v>271.36999999999983</v>
      </c>
      <c r="BE107" s="13">
        <f>BD107*VLOOKUP('Données projet'!$B$11,Paramètres!$A$1:$I$89,3,0)*VLOOKUP('Données projet'!$B$11,Paramètres!$A$1:$I$89,5,0)</f>
        <v>275.16917999999981</v>
      </c>
      <c r="BF107" s="13">
        <f t="shared" si="91"/>
        <v>65.945086005549797</v>
      </c>
      <c r="BG107" s="20">
        <f t="shared" si="61"/>
        <v>594.10734662633229</v>
      </c>
      <c r="BH107" s="59">
        <f t="shared" si="62"/>
        <v>872.58831945739325</v>
      </c>
      <c r="BI107" s="59">
        <f ca="1">AVERAGE(OFFSET($BH$3,0,0,'Données projet'!$E$11+1,1))-AVERAGE(OFFSET($H$3,0,0,'Données projet'!$E$11+1,1))</f>
        <v>580.02848304986492</v>
      </c>
      <c r="BJ107" s="59">
        <f t="shared" si="92"/>
        <v>281.68891895586728</v>
      </c>
      <c r="BK107" s="15">
        <f>IF(ISNA(VLOOKUP(A107,'Données projet'!$A$87:$I$107,3,0)),0,VLOOKUP(A107,'Données projet'!$A$87:$I$107,3,0))</f>
        <v>6</v>
      </c>
      <c r="BL107" s="15">
        <f>IF(ISNA(VLOOKUP(A107,'Données projet'!$A$87:$I$107,4,0)),0,VLOOKUP(A107,'Données projet'!$A$87:$I$107,4,0))</f>
        <v>39.400000000000006</v>
      </c>
      <c r="BM107" s="16">
        <f>IF(ISNA(VLOOKUP(A107,'Données projet'!$A$87:$I$107,5,0)),0%,VLOOKUP(A107,'Données projet'!$A$87:$I$107,5,0)*VLOOKUP('Données projet'!$B$11,Paramètres!$A$1:$I$89,7,0))</f>
        <v>0.15049999999999999</v>
      </c>
      <c r="BN107" s="16">
        <f>IF(ISNA(VLOOKUP(A107,'Données projet'!$A$87:$I$107,6,0)),0%,VLOOKUP(A107,'Données projet'!$A$87:$I$107,6,0)*VLOOKUP('Données projet'!$B$11,Paramètres!$A$1:$I$89,7,0))</f>
        <v>8.6000000000000007E-2</v>
      </c>
      <c r="BO107" s="16">
        <f>IF(ISNA(VLOOKUP(A107,'Données projet'!$A$87:$I$107,7,0)),0%,VLOOKUP(A107,'Données projet'!$A$87:$I$107,7,0))</f>
        <v>0.1</v>
      </c>
      <c r="BP107" s="21">
        <f>EXP(-LN(2)/35)*BP106+(1-EXP(-LN(2)/35))/(LN(2)/35)*BL107*BM107*VLOOKUP('Données projet'!$B$11,Paramètres!$A$1:$I$89,3,0)*0.475*44/12</f>
        <v>17.037909601686799</v>
      </c>
      <c r="BQ107" s="21">
        <f>EXP(-LN(2)/25)*BQ106+(1-EXP(-LN(2)/25))/(LN(2)/25)*Calculateur!BL107*Calculateur!BN107*VLOOKUP('Données projet'!$B$11,Paramètres!$A$1:$I$89,3,0)*0.475*44/12</f>
        <v>29.705420325182111</v>
      </c>
      <c r="BR107" s="21">
        <f>EXP(-LN(2)/2)*BR106+(1-EXP(-LN(2)/2))/(LN(2)/2)*BL107*BO107*VLOOKUP('Données projet'!$B$11,Paramètres!$A$1:$I$89,3,0)*0.475*44/12</f>
        <v>3.9555942072717549</v>
      </c>
      <c r="BS107" s="22">
        <f t="shared" si="63"/>
        <v>50.698924134140668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>
        <f>BY107*VLOOKUP('Données projet'!$B$12,Paramètres!$A$1:$I$89,3,0)*VLOOKUP('Données projet'!$B$12,Paramètres!$A$1:$I$89,5,0)</f>
        <v>0</v>
      </c>
      <c r="CA107" s="13" t="e">
        <f t="shared" si="93"/>
        <v>#NUM!</v>
      </c>
      <c r="CB107" s="20" t="e">
        <f t="shared" si="64"/>
        <v>#NUM!</v>
      </c>
      <c r="CC107" s="59" t="e">
        <f t="shared" si="65"/>
        <v>#NUM!</v>
      </c>
      <c r="CD107" s="59">
        <f ca="1">AVERAGE(OFFSET($CC$3,0,0,'Données projet'!$E$12+1,1))-AVERAGE(OFFSET($H$3,0,0,'Données projet'!$E$12+1,1))</f>
        <v>439.15394290667945</v>
      </c>
      <c r="CE107" s="59">
        <f t="shared" si="94"/>
        <v>423.56554025351068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31.360674682699095</v>
      </c>
      <c r="CL107" s="21">
        <f>EXP(-LN(2)/25)*CL106+(1-EXP(-LN(2)/25))/(LN(2)/25)*Calculateur!CG107*Calculateur!CI107*VLOOKUP('Données projet'!$B$12,Paramètres!$A$1:$I$89,3,0)*0.475*44/12</f>
        <v>25.602466301890761</v>
      </c>
      <c r="CM107" s="21">
        <f>EXP(-LN(2)/2)*CM106+(1-EXP(-LN(2)/2))/(LN(2)/2)*CG107*CJ107*VLOOKUP('Données projet'!$B$12,Paramètres!$A$1:$I$89,3,0)*0.475*44/12</f>
        <v>1.8227733386318872E-2</v>
      </c>
      <c r="CN107" s="22">
        <f t="shared" si="66"/>
        <v>56.981368717976174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>
        <f>CT107*VLOOKUP('Données projet'!$B$13,Paramètres!$A$1:$I$89,3,0)*VLOOKUP('Données projet'!$B$13,Paramètres!$A$1:$I$89,5,0)</f>
        <v>0</v>
      </c>
      <c r="CV107" s="13" t="e">
        <f t="shared" si="95"/>
        <v>#NUM!</v>
      </c>
      <c r="CW107" s="20" t="e">
        <f t="shared" si="67"/>
        <v>#NUM!</v>
      </c>
      <c r="CX107" s="59" t="e">
        <f t="shared" si="68"/>
        <v>#NUM!</v>
      </c>
      <c r="CY107" s="59">
        <f ca="1">AVERAGE(OFFSET($CX$3,0,0,'Données projet'!$E$13+1,1))-AVERAGE(OFFSET($H$3,0,0,'Données projet'!$E$13+1,1))</f>
        <v>408.246209980743</v>
      </c>
      <c r="CZ107" s="59">
        <f t="shared" si="96"/>
        <v>394.10236303013903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>
        <f>EXP(-LN(2)/35)*DF106+(1-EXP(-LN(2)/35))/(LN(2)/35)*DB107*DC107*VLOOKUP('Données projet'!$B$13,Paramètres!$A$1:$I$89,3,0)*0.475*44/12</f>
        <v>35.485506083969121</v>
      </c>
      <c r="DG107" s="21">
        <f>EXP(-LN(2)/25)*DG106+(1-EXP(-LN(2)/25))/(LN(2)/25)*Calculateur!DB107*Calculateur!DD107*VLOOKUP('Données projet'!$B$13,Paramètres!$A$1:$I$89,3,0)*0.475*44/12</f>
        <v>28.969927557762791</v>
      </c>
      <c r="DH107" s="21">
        <f>EXP(-LN(2)/2)*DH106+(1-EXP(-LN(2)/2))/(LN(2)/2)*DB107*DE107*VLOOKUP('Données projet'!$B$13,Paramètres!$A$1:$I$89,3,0)*0.475*44/12</f>
        <v>1.6733656879243559E-2</v>
      </c>
      <c r="DI107" s="22">
        <f t="shared" si="69"/>
        <v>64.472167298611154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>
        <f>DO107*VLOOKUP('Données projet'!$B$14,Paramètres!$A$1:$I$89,3,0)*VLOOKUP('Données projet'!$B$14,Paramètres!$A$1:$I$89,5,0)</f>
        <v>0</v>
      </c>
      <c r="DQ107" s="13" t="e">
        <f t="shared" si="97"/>
        <v>#NUM!</v>
      </c>
      <c r="DR107" s="20" t="e">
        <f t="shared" si="70"/>
        <v>#NUM!</v>
      </c>
      <c r="DS107" s="59" t="e">
        <f t="shared" si="71"/>
        <v>#NUM!</v>
      </c>
      <c r="DT107" s="59">
        <f ca="1">AVERAGE(OFFSET($DS$3,0,0,'Données projet'!$E$14+1,1))-AVERAGE(OFFSET($H$3,0,0,'Données projet'!$E$14+1,1))</f>
        <v>371.07993287480366</v>
      </c>
      <c r="DU107" s="59">
        <f t="shared" si="98"/>
        <v>358.67120540290637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>
        <f>EXP(-LN(2)/35)*EA106+(1-EXP(-LN(2)/35))/(LN(2)/35)*DW107*DX107*VLOOKUP('Données projet'!$B$14,Paramètres!$A$1:$I$89,3,0)*0.475*44/12</f>
        <v>25.70547105139271</v>
      </c>
      <c r="EB107" s="21">
        <f>EXP(-LN(2)/25)*EB106+(1-EXP(-LN(2)/25))/(LN(2)/25)*Calculateur!DW107*Calculateur!DY107*VLOOKUP('Données projet'!$B$14,Paramètres!$A$1:$I$89,3,0)*0.475*44/12</f>
        <v>20.9856281163039</v>
      </c>
      <c r="EC107" s="21">
        <f>EXP(-LN(2)/2)*EC106+(1-EXP(-LN(2)/2))/(LN(2)/2)*DW107*DZ107*VLOOKUP('Données projet'!$B$14,Paramètres!$A$1:$I$89,3,0)*0.475*44/12</f>
        <v>1.4940765070753197E-2</v>
      </c>
      <c r="ED107" s="22">
        <f t="shared" si="72"/>
        <v>46.706039932767361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45">
      <c r="A108" s="10">
        <f t="shared" si="85"/>
        <v>105</v>
      </c>
      <c r="B108" s="73">
        <f>'Scénario référence'!$B$16*5+'Scénario référence'!$B$17*0+'Scénario référence'!$B$18*5</f>
        <v>5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1">
        <f t="shared" si="86"/>
        <v>0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18.333333333333332</v>
      </c>
      <c r="H108" s="67">
        <f t="shared" si="56"/>
        <v>183.33333333333334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8.8449999999999989</v>
      </c>
      <c r="N108" s="13">
        <f>IF('Données projet'!$A$36&gt;35,N107+M108-V107,IF(A108&lt;'Données projet'!$A$36,$K$205^A108,IF(A108='Données projet'!$A$36,'Données projet'!$B$36,N107+M108-V107)))</f>
        <v>344.95500000000055</v>
      </c>
      <c r="O108" s="13">
        <f>N108*VLOOKUP('Données projet'!$B$9,Paramètres!$A$1:$I$89,3,0)*VLOOKUP('Données projet'!$B$9,Paramètres!$A$1:$I$89,5,0)</f>
        <v>312.11528400000049</v>
      </c>
      <c r="P108" s="13">
        <f t="shared" si="87"/>
        <v>73.71041067221141</v>
      </c>
      <c r="Q108" s="20">
        <f t="shared" si="107"/>
        <v>671.97975155410234</v>
      </c>
      <c r="R108" s="59">
        <f t="shared" si="55"/>
        <v>950.7183796349741</v>
      </c>
      <c r="S108" s="59">
        <f ca="1">AVERAGE(OFFSET($R$3,0,0,'Données projet'!$E$9+1,1))-AVERAGE(OFFSET($H$3,0,0,'Données projet'!$E$9+1,1))</f>
        <v>681.47578137804555</v>
      </c>
      <c r="T108" s="59">
        <f t="shared" si="88"/>
        <v>300.88511065995885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32.44640547166189</v>
      </c>
      <c r="AA108" s="21">
        <f>EXP(-LN(2)/25)*AA107+(1-EXP(-LN(2)/25))/(LN(2)/25)*Calculateur!V108*Calculateur!X108*VLOOKUP('Données projet'!$B$9,Paramètres!$A$1:$I$89,3,0)*0.475*44/12</f>
        <v>26.285392023986681</v>
      </c>
      <c r="AB108" s="21">
        <f>EXP(-LN(2)/2)*AB107+(1-EXP(-LN(2)/2))/(LN(2)/2)*V108*Y108*VLOOKUP('Données projet'!$B$9,Paramètres!$A$1:$I$89,3,0)*0.475*44/12</f>
        <v>4.1206685845202227</v>
      </c>
      <c r="AC108" s="22">
        <f t="shared" si="57"/>
        <v>62.852466080168796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6.5620000000000003</v>
      </c>
      <c r="AI108" s="13">
        <f>IF('Données projet'!$A$62&gt;35,AI107+AH108-AQ107,IF(A108&lt;'Données projet'!$A$62,$AF$205^A108,IF(A108='Données projet'!$A$62,'Données projet'!$B$62,AI107+AH108-AQ107)))</f>
        <v>263.86200000000031</v>
      </c>
      <c r="AJ108" s="13">
        <f>AI108*VLOOKUP('Données projet'!$B$10,Paramètres!$A$1:$I$89,3,0)*VLOOKUP('Données projet'!$B$10,Paramètres!$A$1:$I$89,5,0)</f>
        <v>123.48741600000015</v>
      </c>
      <c r="AK108" s="13">
        <f t="shared" si="89"/>
        <v>32.48702070756385</v>
      </c>
      <c r="AL108" s="20">
        <f t="shared" si="58"/>
        <v>271.65547726567394</v>
      </c>
      <c r="AM108" s="59">
        <f t="shared" si="59"/>
        <v>550.39410534654576</v>
      </c>
      <c r="AN108" s="59">
        <f ca="1">AVERAGE(OFFSET($AM$3,0,0,'Données projet'!$E$10+1,1))-AVERAGE(OFFSET($H$3,0,0,'Données projet'!$E$10+1,1))</f>
        <v>325.45940224919184</v>
      </c>
      <c r="AO108" s="59">
        <f t="shared" si="90"/>
        <v>256.30046621034876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77.702318912755743</v>
      </c>
      <c r="AV108" s="21">
        <f>EXP(-LN(2)/25)*AV107+(1-EXP(-LN(2)/25))/(LN(2)/25)*Calculateur!AQ108*Calculateur!AS108*VLOOKUP('Données projet'!$B$10,Paramètres!$A$1:$I$89,3,0)*0.475*44/12</f>
        <v>24.747204551513612</v>
      </c>
      <c r="AW108" s="21">
        <f>EXP(-LN(2)/2)*AW107+(1-EXP(-LN(2)/2))/(LN(2)/2)*AQ108*AT108*VLOOKUP('Données projet'!$B$10,Paramètres!$A$1:$I$89,3,0)*0.475*44/12</f>
        <v>2.9717122841554198</v>
      </c>
      <c r="AX108" s="21">
        <f t="shared" si="60"/>
        <v>105.42123574842478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6.8811111111111085</v>
      </c>
      <c r="BD108" s="12">
        <f>IF('Données projet'!$A$88&gt;35,BD107+BC108-BL107,IF(A108&lt;'Données projet'!$A$88,$BA$205^A108,IF(A108='Données projet'!$A$88,'Données projet'!$B$88,BD107+BC108-BL107)))</f>
        <v>238.85111111111095</v>
      </c>
      <c r="BE108" s="13">
        <f>BD108*VLOOKUP('Données projet'!$B$11,Paramètres!$A$1:$I$89,3,0)*VLOOKUP('Données projet'!$B$11,Paramètres!$A$1:$I$89,5,0)</f>
        <v>242.19502666666651</v>
      </c>
      <c r="BF108" s="13">
        <f t="shared" si="91"/>
        <v>58.911550627030486</v>
      </c>
      <c r="BG108" s="20">
        <f t="shared" si="61"/>
        <v>524.42728878652235</v>
      </c>
      <c r="BH108" s="59">
        <f t="shared" si="62"/>
        <v>803.16591686739412</v>
      </c>
      <c r="BI108" s="59">
        <f ca="1">AVERAGE(OFFSET($BH$3,0,0,'Données projet'!$E$11+1,1))-AVERAGE(OFFSET($H$3,0,0,'Données projet'!$E$11+1,1))</f>
        <v>580.02848304986492</v>
      </c>
      <c r="BJ108" s="59">
        <f t="shared" si="92"/>
        <v>281.68891895586728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16.703806586496444</v>
      </c>
      <c r="BQ108" s="21">
        <f>EXP(-LN(2)/25)*BQ107+(1-EXP(-LN(2)/25))/(LN(2)/25)*Calculateur!BL108*Calculateur!BN108*VLOOKUP('Données projet'!$B$11,Paramètres!$A$1:$I$89,3,0)*0.475*44/12</f>
        <v>28.893124044249845</v>
      </c>
      <c r="BR108" s="21">
        <f>EXP(-LN(2)/2)*BR107+(1-EXP(-LN(2)/2))/(LN(2)/2)*BL108*BO108*VLOOKUP('Données projet'!$B$11,Paramètres!$A$1:$I$89,3,0)*0.475*44/12</f>
        <v>2.7970274875840837</v>
      </c>
      <c r="BS108" s="22">
        <f t="shared" si="63"/>
        <v>48.393958118330367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>
        <f>BY108*VLOOKUP('Données projet'!$B$12,Paramètres!$A$1:$I$89,3,0)*VLOOKUP('Données projet'!$B$12,Paramètres!$A$1:$I$89,5,0)</f>
        <v>0</v>
      </c>
      <c r="CA108" s="13" t="e">
        <f t="shared" si="93"/>
        <v>#NUM!</v>
      </c>
      <c r="CB108" s="20" t="e">
        <f t="shared" si="64"/>
        <v>#NUM!</v>
      </c>
      <c r="CC108" s="59" t="e">
        <f t="shared" si="65"/>
        <v>#NUM!</v>
      </c>
      <c r="CD108" s="59">
        <f ca="1">AVERAGE(OFFSET($CC$3,0,0,'Données projet'!$E$12+1,1))-AVERAGE(OFFSET($H$3,0,0,'Données projet'!$E$12+1,1))</f>
        <v>439.15394290667945</v>
      </c>
      <c r="CE108" s="59">
        <f t="shared" si="94"/>
        <v>423.56554025351068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30.745710980294177</v>
      </c>
      <c r="CL108" s="21">
        <f>EXP(-LN(2)/25)*CL107+(1-EXP(-LN(2)/25))/(LN(2)/25)*Calculateur!CG108*Calculateur!CI108*VLOOKUP('Données projet'!$B$12,Paramètres!$A$1:$I$89,3,0)*0.475*44/12</f>
        <v>24.90236551449037</v>
      </c>
      <c r="CM108" s="21">
        <f>EXP(-LN(2)/2)*CM107+(1-EXP(-LN(2)/2))/(LN(2)/2)*CG108*CJ108*VLOOKUP('Données projet'!$B$12,Paramètres!$A$1:$I$89,3,0)*0.475*44/12</f>
        <v>1.2888953883126506E-2</v>
      </c>
      <c r="CN108" s="22">
        <f t="shared" si="66"/>
        <v>55.660965448667675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>
        <f>CT108*VLOOKUP('Données projet'!$B$13,Paramètres!$A$1:$I$89,3,0)*VLOOKUP('Données projet'!$B$13,Paramètres!$A$1:$I$89,5,0)</f>
        <v>0</v>
      </c>
      <c r="CV108" s="13" t="e">
        <f t="shared" si="95"/>
        <v>#NUM!</v>
      </c>
      <c r="CW108" s="20" t="e">
        <f t="shared" si="67"/>
        <v>#NUM!</v>
      </c>
      <c r="CX108" s="59" t="e">
        <f t="shared" si="68"/>
        <v>#NUM!</v>
      </c>
      <c r="CY108" s="59">
        <f ca="1">AVERAGE(OFFSET($CX$3,0,0,'Données projet'!$E$13+1,1))-AVERAGE(OFFSET($H$3,0,0,'Données projet'!$E$13+1,1))</f>
        <v>408.246209980743</v>
      </c>
      <c r="CZ108" s="59">
        <f t="shared" si="96"/>
        <v>394.10236303013903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>
        <f>EXP(-LN(2)/35)*DF107+(1-EXP(-LN(2)/35))/(LN(2)/35)*DB108*DC108*VLOOKUP('Données projet'!$B$13,Paramètres!$A$1:$I$89,3,0)*0.475*44/12</f>
        <v>34.78965695368403</v>
      </c>
      <c r="DG108" s="21">
        <f>EXP(-LN(2)/25)*DG107+(1-EXP(-LN(2)/25))/(LN(2)/25)*Calculateur!DB108*Calculateur!DD108*VLOOKUP('Données projet'!$B$13,Paramètres!$A$1:$I$89,3,0)*0.475*44/12</f>
        <v>28.177743365233489</v>
      </c>
      <c r="DH108" s="21">
        <f>EXP(-LN(2)/2)*DH107+(1-EXP(-LN(2)/2))/(LN(2)/2)*DB108*DE108*VLOOKUP('Données projet'!$B$13,Paramètres!$A$1:$I$89,3,0)*0.475*44/12</f>
        <v>1.1832482253362041E-2</v>
      </c>
      <c r="DI108" s="22">
        <f t="shared" si="69"/>
        <v>62.97923280117088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>
        <f>DO108*VLOOKUP('Données projet'!$B$14,Paramètres!$A$1:$I$89,3,0)*VLOOKUP('Données projet'!$B$14,Paramètres!$A$1:$I$89,5,0)</f>
        <v>0</v>
      </c>
      <c r="DQ108" s="13" t="e">
        <f t="shared" si="97"/>
        <v>#NUM!</v>
      </c>
      <c r="DR108" s="20" t="e">
        <f t="shared" si="70"/>
        <v>#NUM!</v>
      </c>
      <c r="DS108" s="59" t="e">
        <f t="shared" si="71"/>
        <v>#NUM!</v>
      </c>
      <c r="DT108" s="59">
        <f ca="1">AVERAGE(OFFSET($DS$3,0,0,'Données projet'!$E$14+1,1))-AVERAGE(OFFSET($H$3,0,0,'Données projet'!$E$14+1,1))</f>
        <v>371.07993287480366</v>
      </c>
      <c r="DU108" s="59">
        <f t="shared" si="98"/>
        <v>358.67120540290637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>
        <f>EXP(-LN(2)/35)*EA107+(1-EXP(-LN(2)/35))/(LN(2)/35)*DW108*DX108*VLOOKUP('Données projet'!$B$14,Paramètres!$A$1:$I$89,3,0)*0.475*44/12</f>
        <v>25.201402442864087</v>
      </c>
      <c r="EB108" s="21">
        <f>EXP(-LN(2)/25)*EB107+(1-EXP(-LN(2)/25))/(LN(2)/25)*Calculateur!DW108*Calculateur!DY108*VLOOKUP('Données projet'!$B$14,Paramètres!$A$1:$I$89,3,0)*0.475*44/12</f>
        <v>20.411775011877349</v>
      </c>
      <c r="EC108" s="21">
        <f>EXP(-LN(2)/2)*EC107+(1-EXP(-LN(2)/2))/(LN(2)/2)*DW108*DZ108*VLOOKUP('Données projet'!$B$14,Paramètres!$A$1:$I$89,3,0)*0.475*44/12</f>
        <v>1.0564716297644694E-2</v>
      </c>
      <c r="ED108" s="22">
        <f t="shared" si="72"/>
        <v>45.623742171039076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45">
      <c r="A109" s="10">
        <f t="shared" si="85"/>
        <v>106</v>
      </c>
      <c r="B109" s="73">
        <f>'Scénario référence'!$B$16*5+'Scénario référence'!$B$17*0+'Scénario référence'!$B$18*5</f>
        <v>5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1">
        <f t="shared" si="86"/>
        <v>0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18.333333333333332</v>
      </c>
      <c r="H109" s="67">
        <f t="shared" si="56"/>
        <v>183.33333333333334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8.8449999999999989</v>
      </c>
      <c r="N109" s="13">
        <f>IF('Données projet'!$A$36&gt;35,N108+M109-V108,IF(A109&lt;'Données projet'!$A$36,$K$205^A109,IF(A109='Données projet'!$A$36,'Données projet'!$B$36,N108+M109-V108)))</f>
        <v>353.80000000000052</v>
      </c>
      <c r="O109" s="13">
        <f>N109*VLOOKUP('Données projet'!$B$9,Paramètres!$A$1:$I$89,3,0)*VLOOKUP('Données projet'!$B$9,Paramètres!$A$1:$I$89,5,0)</f>
        <v>320.11824000000047</v>
      </c>
      <c r="P109" s="13">
        <f t="shared" si="87"/>
        <v>75.377955265343587</v>
      </c>
      <c r="Q109" s="20">
        <f t="shared" si="107"/>
        <v>688.82254008714096</v>
      </c>
      <c r="R109" s="59">
        <f t="shared" si="55"/>
        <v>967.81435367527001</v>
      </c>
      <c r="S109" s="59">
        <f ca="1">AVERAGE(OFFSET($R$3,0,0,'Données projet'!$E$9+1,1))-AVERAGE(OFFSET($H$3,0,0,'Données projet'!$E$9+1,1))</f>
        <v>681.47578137804555</v>
      </c>
      <c r="T109" s="59">
        <f t="shared" si="88"/>
        <v>300.88511065995885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31.810151250715805</v>
      </c>
      <c r="AA109" s="21">
        <f>EXP(-LN(2)/25)*AA108+(1-EXP(-LN(2)/25))/(LN(2)/25)*Calculateur!V109*Calculateur!X109*VLOOKUP('Données projet'!$B$9,Paramètres!$A$1:$I$89,3,0)*0.475*44/12</f>
        <v>25.566616596802074</v>
      </c>
      <c r="AB109" s="21">
        <f>EXP(-LN(2)/2)*AB108+(1-EXP(-LN(2)/2))/(LN(2)/2)*V109*Y109*VLOOKUP('Données projet'!$B$9,Paramètres!$A$1:$I$89,3,0)*0.475*44/12</f>
        <v>2.9137526991366216</v>
      </c>
      <c r="AC109" s="22">
        <f t="shared" si="57"/>
        <v>60.290520546654506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6.5620000000000003</v>
      </c>
      <c r="AI109" s="13">
        <f>IF('Données projet'!$A$62&gt;35,AI108+AH109-AQ108,IF(A109&lt;'Données projet'!$A$62,$AF$205^A109,IF(A109='Données projet'!$A$62,'Données projet'!$B$62,AI108+AH109-AQ108)))</f>
        <v>270.42400000000032</v>
      </c>
      <c r="AJ109" s="13">
        <f>AI109*VLOOKUP('Données projet'!$B$10,Paramètres!$A$1:$I$89,3,0)*VLOOKUP('Données projet'!$B$10,Paramètres!$A$1:$I$89,5,0)</f>
        <v>126.55843200000014</v>
      </c>
      <c r="AK109" s="13">
        <f t="shared" si="89"/>
        <v>33.199876486422404</v>
      </c>
      <c r="AL109" s="20">
        <f t="shared" si="58"/>
        <v>278.2457206138526</v>
      </c>
      <c r="AM109" s="59">
        <f t="shared" si="59"/>
        <v>557.2375342019817</v>
      </c>
      <c r="AN109" s="59">
        <f ca="1">AVERAGE(OFFSET($AM$3,0,0,'Données projet'!$E$10+1,1))-AVERAGE(OFFSET($H$3,0,0,'Données projet'!$E$10+1,1))</f>
        <v>325.45940224919184</v>
      </c>
      <c r="AO109" s="59">
        <f t="shared" si="90"/>
        <v>256.30046621034876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76.178623832611393</v>
      </c>
      <c r="AV109" s="21">
        <f>EXP(-LN(2)/25)*AV108+(1-EXP(-LN(2)/25))/(LN(2)/25)*Calculateur!AQ109*Calculateur!AS109*VLOOKUP('Données projet'!$B$10,Paramètres!$A$1:$I$89,3,0)*0.475*44/12</f>
        <v>24.070490941653546</v>
      </c>
      <c r="AW109" s="21">
        <f>EXP(-LN(2)/2)*AW108+(1-EXP(-LN(2)/2))/(LN(2)/2)*AQ109*AT109*VLOOKUP('Données projet'!$B$10,Paramètres!$A$1:$I$89,3,0)*0.475*44/12</f>
        <v>2.1013179078616617</v>
      </c>
      <c r="AX109" s="21">
        <f t="shared" si="60"/>
        <v>102.35043268212659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6.8811111111111085</v>
      </c>
      <c r="BD109" s="12">
        <f>IF('Données projet'!$A$88&gt;35,BD108+BC109-BL108,IF(A109&lt;'Données projet'!$A$88,$BA$205^A109,IF(A109='Données projet'!$A$88,'Données projet'!$B$88,BD108+BC109-BL108)))</f>
        <v>245.73222222222205</v>
      </c>
      <c r="BE109" s="13">
        <f>BD109*VLOOKUP('Données projet'!$B$11,Paramètres!$A$1:$I$89,3,0)*VLOOKUP('Données projet'!$B$11,Paramètres!$A$1:$I$89,5,0)</f>
        <v>249.17247333333319</v>
      </c>
      <c r="BF109" s="13">
        <f t="shared" si="91"/>
        <v>60.408704291647716</v>
      </c>
      <c r="BG109" s="20">
        <f t="shared" si="61"/>
        <v>539.18721769684169</v>
      </c>
      <c r="BH109" s="59">
        <f t="shared" si="62"/>
        <v>818.17903128497073</v>
      </c>
      <c r="BI109" s="59">
        <f ca="1">AVERAGE(OFFSET($BH$3,0,0,'Données projet'!$E$11+1,1))-AVERAGE(OFFSET($H$3,0,0,'Données projet'!$E$11+1,1))</f>
        <v>580.02848304986492</v>
      </c>
      <c r="BJ109" s="59">
        <f t="shared" si="92"/>
        <v>281.68891895586728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16.376255127651255</v>
      </c>
      <c r="BQ109" s="21">
        <f>EXP(-LN(2)/25)*BQ108+(1-EXP(-LN(2)/25))/(LN(2)/25)*Calculateur!BL109*Calculateur!BN109*VLOOKUP('Données projet'!$B$11,Paramètres!$A$1:$I$89,3,0)*0.475*44/12</f>
        <v>28.103040047836476</v>
      </c>
      <c r="BR109" s="21">
        <f>EXP(-LN(2)/2)*BR108+(1-EXP(-LN(2)/2))/(LN(2)/2)*BL109*BO109*VLOOKUP('Données projet'!$B$11,Paramètres!$A$1:$I$89,3,0)*0.475*44/12</f>
        <v>1.9777971036358777</v>
      </c>
      <c r="BS109" s="22">
        <f t="shared" si="63"/>
        <v>46.457092279123614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>
        <f>BY109*VLOOKUP('Données projet'!$B$12,Paramètres!$A$1:$I$89,3,0)*VLOOKUP('Données projet'!$B$12,Paramètres!$A$1:$I$89,5,0)</f>
        <v>0</v>
      </c>
      <c r="CA109" s="13" t="e">
        <f t="shared" si="93"/>
        <v>#NUM!</v>
      </c>
      <c r="CB109" s="20" t="e">
        <f t="shared" si="64"/>
        <v>#NUM!</v>
      </c>
      <c r="CC109" s="59" t="e">
        <f t="shared" si="65"/>
        <v>#NUM!</v>
      </c>
      <c r="CD109" s="59">
        <f ca="1">AVERAGE(OFFSET($CC$3,0,0,'Données projet'!$E$12+1,1))-AVERAGE(OFFSET($H$3,0,0,'Données projet'!$E$12+1,1))</f>
        <v>439.15394290667945</v>
      </c>
      <c r="CE109" s="59">
        <f t="shared" si="94"/>
        <v>423.56554025351068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30.142806341002597</v>
      </c>
      <c r="CL109" s="21">
        <f>EXP(-LN(2)/25)*CL108+(1-EXP(-LN(2)/25))/(LN(2)/25)*Calculateur!CG109*Calculateur!CI109*VLOOKUP('Données projet'!$B$12,Paramètres!$A$1:$I$89,3,0)*0.475*44/12</f>
        <v>24.221409019938143</v>
      </c>
      <c r="CM109" s="21">
        <f>EXP(-LN(2)/2)*CM108+(1-EXP(-LN(2)/2))/(LN(2)/2)*CG109*CJ109*VLOOKUP('Données projet'!$B$12,Paramètres!$A$1:$I$89,3,0)*0.475*44/12</f>
        <v>9.1138666931594361E-3</v>
      </c>
      <c r="CN109" s="22">
        <f t="shared" si="66"/>
        <v>54.373329227633903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>
        <f>CT109*VLOOKUP('Données projet'!$B$13,Paramètres!$A$1:$I$89,3,0)*VLOOKUP('Données projet'!$B$13,Paramètres!$A$1:$I$89,5,0)</f>
        <v>0</v>
      </c>
      <c r="CV109" s="13" t="e">
        <f t="shared" si="95"/>
        <v>#NUM!</v>
      </c>
      <c r="CW109" s="20" t="e">
        <f t="shared" si="67"/>
        <v>#NUM!</v>
      </c>
      <c r="CX109" s="59" t="e">
        <f t="shared" si="68"/>
        <v>#NUM!</v>
      </c>
      <c r="CY109" s="59">
        <f ca="1">AVERAGE(OFFSET($CX$3,0,0,'Données projet'!$E$13+1,1))-AVERAGE(OFFSET($H$3,0,0,'Données projet'!$E$13+1,1))</f>
        <v>408.246209980743</v>
      </c>
      <c r="CZ109" s="59">
        <f t="shared" si="96"/>
        <v>394.10236303013903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>
        <f>EXP(-LN(2)/35)*DF108+(1-EXP(-LN(2)/35))/(LN(2)/35)*DB109*DC109*VLOOKUP('Données projet'!$B$13,Paramètres!$A$1:$I$89,3,0)*0.475*44/12</f>
        <v>34.10745300041777</v>
      </c>
      <c r="DG109" s="21">
        <f>EXP(-LN(2)/25)*DG108+(1-EXP(-LN(2)/25))/(LN(2)/25)*Calculateur!DB109*Calculateur!DD109*VLOOKUP('Données projet'!$B$13,Paramètres!$A$1:$I$89,3,0)*0.475*44/12</f>
        <v>27.407221491108057</v>
      </c>
      <c r="DH109" s="21">
        <f>EXP(-LN(2)/2)*DH108+(1-EXP(-LN(2)/2))/(LN(2)/2)*DB109*DE109*VLOOKUP('Données projet'!$B$13,Paramètres!$A$1:$I$89,3,0)*0.475*44/12</f>
        <v>8.3668284396217797E-3</v>
      </c>
      <c r="DI109" s="22">
        <f t="shared" si="69"/>
        <v>61.523041319965444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>
        <f>DO109*VLOOKUP('Données projet'!$B$14,Paramètres!$A$1:$I$89,3,0)*VLOOKUP('Données projet'!$B$14,Paramètres!$A$1:$I$89,5,0)</f>
        <v>0</v>
      </c>
      <c r="DQ109" s="13" t="e">
        <f t="shared" si="97"/>
        <v>#NUM!</v>
      </c>
      <c r="DR109" s="20" t="e">
        <f t="shared" si="70"/>
        <v>#NUM!</v>
      </c>
      <c r="DS109" s="59" t="e">
        <f t="shared" si="71"/>
        <v>#NUM!</v>
      </c>
      <c r="DT109" s="59">
        <f ca="1">AVERAGE(OFFSET($DS$3,0,0,'Données projet'!$E$14+1,1))-AVERAGE(OFFSET($H$3,0,0,'Données projet'!$E$14+1,1))</f>
        <v>371.07993287480366</v>
      </c>
      <c r="DU109" s="59">
        <f t="shared" si="98"/>
        <v>358.67120540290637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>
        <f>EXP(-LN(2)/35)*EA108+(1-EXP(-LN(2)/35))/(LN(2)/35)*DW109*DX109*VLOOKUP('Données projet'!$B$14,Paramètres!$A$1:$I$89,3,0)*0.475*44/12</f>
        <v>24.707218312297218</v>
      </c>
      <c r="EB109" s="21">
        <f>EXP(-LN(2)/25)*EB108+(1-EXP(-LN(2)/25))/(LN(2)/25)*Calculateur!DW109*Calculateur!DY109*VLOOKUP('Données projet'!$B$14,Paramètres!$A$1:$I$89,3,0)*0.475*44/12</f>
        <v>19.853613950768967</v>
      </c>
      <c r="EC109" s="21">
        <f>EXP(-LN(2)/2)*EC108+(1-EXP(-LN(2)/2))/(LN(2)/2)*DW109*DZ109*VLOOKUP('Données projet'!$B$14,Paramètres!$A$1:$I$89,3,0)*0.475*44/12</f>
        <v>7.4703825353765992E-3</v>
      </c>
      <c r="ED109" s="22">
        <f t="shared" si="72"/>
        <v>44.568302645601563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45">
      <c r="A110" s="10">
        <f t="shared" si="85"/>
        <v>107</v>
      </c>
      <c r="B110" s="73">
        <f>'Scénario référence'!$B$16*5+'Scénario référence'!$B$17*0+'Scénario référence'!$B$18*5</f>
        <v>5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1">
        <f t="shared" si="86"/>
        <v>0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18.333333333333332</v>
      </c>
      <c r="H110" s="67">
        <f t="shared" si="56"/>
        <v>183.33333333333334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8.8449999999999989</v>
      </c>
      <c r="N110" s="13">
        <f>IF('Données projet'!$A$36&gt;35,N109+M110-V109,IF(A110&lt;'Données projet'!$A$36,$K$205^A110,IF(A110='Données projet'!$A$36,'Données projet'!$B$36,N109+M110-V109)))</f>
        <v>362.64500000000055</v>
      </c>
      <c r="O110" s="13">
        <f>N110*VLOOKUP('Données projet'!$B$9,Paramètres!$A$1:$I$89,3,0)*VLOOKUP('Données projet'!$B$9,Paramètres!$A$1:$I$89,5,0)</f>
        <v>328.12119600000045</v>
      </c>
      <c r="P110" s="13">
        <f t="shared" si="87"/>
        <v>77.040653823854953</v>
      </c>
      <c r="Q110" s="20">
        <f t="shared" si="107"/>
        <v>705.65688844321483</v>
      </c>
      <c r="R110" s="59">
        <f t="shared" si="55"/>
        <v>984.89749533608847</v>
      </c>
      <c r="S110" s="59">
        <f ca="1">AVERAGE(OFFSET($R$3,0,0,'Données projet'!$E$9+1,1))-AVERAGE(OFFSET($H$3,0,0,'Données projet'!$E$9+1,1))</f>
        <v>681.47578137804555</v>
      </c>
      <c r="T110" s="59">
        <f t="shared" si="88"/>
        <v>300.88511065995885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31.186373586965715</v>
      </c>
      <c r="AA110" s="21">
        <f>EXP(-LN(2)/25)*AA109+(1-EXP(-LN(2)/25))/(LN(2)/25)*Calculateur!V110*Calculateur!X110*VLOOKUP('Données projet'!$B$9,Paramètres!$A$1:$I$89,3,0)*0.475*44/12</f>
        <v>24.867496121472588</v>
      </c>
      <c r="AB110" s="21">
        <f>EXP(-LN(2)/2)*AB109+(1-EXP(-LN(2)/2))/(LN(2)/2)*V110*Y110*VLOOKUP('Données projet'!$B$9,Paramètres!$A$1:$I$89,3,0)*0.475*44/12</f>
        <v>2.0603342922601113</v>
      </c>
      <c r="AC110" s="22">
        <f t="shared" si="57"/>
        <v>58.114204000698408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6.5620000000000003</v>
      </c>
      <c r="AI110" s="13">
        <f>IF('Données projet'!$A$62&gt;35,AI109+AH110-AQ109,IF(A110&lt;'Données projet'!$A$62,$AF$205^A110,IF(A110='Données projet'!$A$62,'Données projet'!$B$62,AI109+AH110-AQ109)))</f>
        <v>276.98600000000033</v>
      </c>
      <c r="AJ110" s="13">
        <f>AI110*VLOOKUP('Données projet'!$B$10,Paramètres!$A$1:$I$89,3,0)*VLOOKUP('Données projet'!$B$10,Paramètres!$A$1:$I$89,5,0)</f>
        <v>129.62944800000017</v>
      </c>
      <c r="AK110" s="13">
        <f t="shared" si="89"/>
        <v>33.910721425340135</v>
      </c>
      <c r="AL110" s="20">
        <f t="shared" si="58"/>
        <v>284.83246174913438</v>
      </c>
      <c r="AM110" s="59">
        <f t="shared" si="59"/>
        <v>564.07306864200802</v>
      </c>
      <c r="AN110" s="59">
        <f ca="1">AVERAGE(OFFSET($AM$3,0,0,'Données projet'!$E$10+1,1))-AVERAGE(OFFSET($H$3,0,0,'Données projet'!$E$10+1,1))</f>
        <v>325.45940224919184</v>
      </c>
      <c r="AO110" s="59">
        <f t="shared" si="90"/>
        <v>256.30046621034876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74.684807483626443</v>
      </c>
      <c r="AV110" s="21">
        <f>EXP(-LN(2)/25)*AV109+(1-EXP(-LN(2)/25))/(LN(2)/25)*Calculateur!AQ110*Calculateur!AS110*VLOOKUP('Données projet'!$B$10,Paramètres!$A$1:$I$89,3,0)*0.475*44/12</f>
        <v>23.412282101041924</v>
      </c>
      <c r="AW110" s="21">
        <f>EXP(-LN(2)/2)*AW109+(1-EXP(-LN(2)/2))/(LN(2)/2)*AQ110*AT110*VLOOKUP('Données projet'!$B$10,Paramètres!$A$1:$I$89,3,0)*0.475*44/12</f>
        <v>1.4858561420777099</v>
      </c>
      <c r="AX110" s="21">
        <f t="shared" si="60"/>
        <v>99.582945726746075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6.8811111111111085</v>
      </c>
      <c r="BD110" s="12">
        <f>IF('Données projet'!$A$88&gt;35,BD109+BC110-BL109,IF(A110&lt;'Données projet'!$A$88,$BA$205^A110,IF(A110='Données projet'!$A$88,'Données projet'!$B$88,BD109+BC110-BL109)))</f>
        <v>252.61333333333314</v>
      </c>
      <c r="BE110" s="13">
        <f>BD110*VLOOKUP('Données projet'!$B$11,Paramètres!$A$1:$I$89,3,0)*VLOOKUP('Données projet'!$B$11,Paramètres!$A$1:$I$89,5,0)</f>
        <v>256.14991999999984</v>
      </c>
      <c r="BF110" s="13">
        <f t="shared" si="91"/>
        <v>61.900985272770555</v>
      </c>
      <c r="BG110" s="20">
        <f t="shared" si="61"/>
        <v>553.93866001674166</v>
      </c>
      <c r="BH110" s="59">
        <f t="shared" si="62"/>
        <v>833.17926690961531</v>
      </c>
      <c r="BI110" s="59">
        <f ca="1">AVERAGE(OFFSET($BH$3,0,0,'Données projet'!$E$11+1,1))-AVERAGE(OFFSET($H$3,0,0,'Données projet'!$E$11+1,1))</f>
        <v>580.02848304986492</v>
      </c>
      <c r="BJ110" s="59">
        <f t="shared" si="92"/>
        <v>281.68891895586728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16.055126753127357</v>
      </c>
      <c r="BQ110" s="21">
        <f>EXP(-LN(2)/25)*BQ109+(1-EXP(-LN(2)/25))/(LN(2)/25)*Calculateur!BL110*Calculateur!BN110*VLOOKUP('Données projet'!$B$11,Paramètres!$A$1:$I$89,3,0)*0.475*44/12</f>
        <v>27.334560939853741</v>
      </c>
      <c r="BR110" s="21">
        <f>EXP(-LN(2)/2)*BR109+(1-EXP(-LN(2)/2))/(LN(2)/2)*BL110*BO110*VLOOKUP('Données projet'!$B$11,Paramètres!$A$1:$I$89,3,0)*0.475*44/12</f>
        <v>1.3985137437920421</v>
      </c>
      <c r="BS110" s="22">
        <f t="shared" si="63"/>
        <v>44.788201436773143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>
        <f>BY110*VLOOKUP('Données projet'!$B$12,Paramètres!$A$1:$I$89,3,0)*VLOOKUP('Données projet'!$B$12,Paramètres!$A$1:$I$89,5,0)</f>
        <v>0</v>
      </c>
      <c r="CA110" s="13" t="e">
        <f t="shared" si="93"/>
        <v>#NUM!</v>
      </c>
      <c r="CB110" s="20" t="e">
        <f t="shared" si="64"/>
        <v>#NUM!</v>
      </c>
      <c r="CC110" s="59" t="e">
        <f t="shared" si="65"/>
        <v>#NUM!</v>
      </c>
      <c r="CD110" s="59">
        <f ca="1">AVERAGE(OFFSET($CC$3,0,0,'Données projet'!$E$12+1,1))-AVERAGE(OFFSET($H$3,0,0,'Données projet'!$E$12+1,1))</f>
        <v>439.15394290667945</v>
      </c>
      <c r="CE110" s="59">
        <f t="shared" si="94"/>
        <v>423.56554025351068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29.551724293952006</v>
      </c>
      <c r="CL110" s="21">
        <f>EXP(-LN(2)/25)*CL109+(1-EXP(-LN(2)/25))/(LN(2)/25)*Calculateur!CG110*Calculateur!CI110*VLOOKUP('Données projet'!$B$12,Paramètres!$A$1:$I$89,3,0)*0.475*44/12</f>
        <v>23.559073316539394</v>
      </c>
      <c r="CM110" s="21">
        <f>EXP(-LN(2)/2)*CM109+(1-EXP(-LN(2)/2))/(LN(2)/2)*CG110*CJ110*VLOOKUP('Données projet'!$B$12,Paramètres!$A$1:$I$89,3,0)*0.475*44/12</f>
        <v>6.4444769415632529E-3</v>
      </c>
      <c r="CN110" s="22">
        <f t="shared" si="66"/>
        <v>53.117242087432963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>
        <f>CT110*VLOOKUP('Données projet'!$B$13,Paramètres!$A$1:$I$89,3,0)*VLOOKUP('Données projet'!$B$13,Paramètres!$A$1:$I$89,5,0)</f>
        <v>0</v>
      </c>
      <c r="CV110" s="13" t="e">
        <f t="shared" si="95"/>
        <v>#NUM!</v>
      </c>
      <c r="CW110" s="20" t="e">
        <f t="shared" si="67"/>
        <v>#NUM!</v>
      </c>
      <c r="CX110" s="59" t="e">
        <f t="shared" si="68"/>
        <v>#NUM!</v>
      </c>
      <c r="CY110" s="59">
        <f ca="1">AVERAGE(OFFSET($CX$3,0,0,'Données projet'!$E$13+1,1))-AVERAGE(OFFSET($H$3,0,0,'Données projet'!$E$13+1,1))</f>
        <v>408.246209980743</v>
      </c>
      <c r="CZ110" s="59">
        <f t="shared" si="96"/>
        <v>394.10236303013903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>
        <f>EXP(-LN(2)/35)*DF109+(1-EXP(-LN(2)/35))/(LN(2)/35)*DB110*DC110*VLOOKUP('Données projet'!$B$13,Paramètres!$A$1:$I$89,3,0)*0.475*44/12</f>
        <v>33.438626650571734</v>
      </c>
      <c r="DG110" s="21">
        <f>EXP(-LN(2)/25)*DG109+(1-EXP(-LN(2)/25))/(LN(2)/25)*Calculateur!DB110*Calculateur!DD110*VLOOKUP('Données projet'!$B$13,Paramètres!$A$1:$I$89,3,0)*0.475*44/12</f>
        <v>26.657769578150567</v>
      </c>
      <c r="DH110" s="21">
        <f>EXP(-LN(2)/2)*DH109+(1-EXP(-LN(2)/2))/(LN(2)/2)*DB110*DE110*VLOOKUP('Données projet'!$B$13,Paramètres!$A$1:$I$89,3,0)*0.475*44/12</f>
        <v>5.9162411266810207E-3</v>
      </c>
      <c r="DI110" s="22">
        <f t="shared" si="69"/>
        <v>60.102312469848982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>
        <f>DO110*VLOOKUP('Données projet'!$B$14,Paramètres!$A$1:$I$89,3,0)*VLOOKUP('Données projet'!$B$14,Paramètres!$A$1:$I$89,5,0)</f>
        <v>0</v>
      </c>
      <c r="DQ110" s="13" t="e">
        <f t="shared" si="97"/>
        <v>#NUM!</v>
      </c>
      <c r="DR110" s="20" t="e">
        <f t="shared" si="70"/>
        <v>#NUM!</v>
      </c>
      <c r="DS110" s="59" t="e">
        <f t="shared" si="71"/>
        <v>#NUM!</v>
      </c>
      <c r="DT110" s="59">
        <f ca="1">AVERAGE(OFFSET($DS$3,0,0,'Données projet'!$E$14+1,1))-AVERAGE(OFFSET($H$3,0,0,'Données projet'!$E$14+1,1))</f>
        <v>371.07993287480366</v>
      </c>
      <c r="DU110" s="59">
        <f t="shared" si="98"/>
        <v>358.67120540290637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>
        <f>EXP(-LN(2)/35)*EA109+(1-EXP(-LN(2)/35))/(LN(2)/35)*DW110*DX110*VLOOKUP('Données projet'!$B$14,Paramètres!$A$1:$I$89,3,0)*0.475*44/12</f>
        <v>24.222724831108209</v>
      </c>
      <c r="EB110" s="21">
        <f>EXP(-LN(2)/25)*EB109+(1-EXP(-LN(2)/25))/(LN(2)/25)*Calculateur!DW110*Calculateur!DY110*VLOOKUP('Données projet'!$B$14,Paramètres!$A$1:$I$89,3,0)*0.475*44/12</f>
        <v>19.310715833229008</v>
      </c>
      <c r="EC110" s="21">
        <f>EXP(-LN(2)/2)*EC109+(1-EXP(-LN(2)/2))/(LN(2)/2)*DW110*DZ110*VLOOKUP('Données projet'!$B$14,Paramètres!$A$1:$I$89,3,0)*0.475*44/12</f>
        <v>5.2823581488223477E-3</v>
      </c>
      <c r="ED110" s="22">
        <f t="shared" si="72"/>
        <v>43.538723022486046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45">
      <c r="A111" s="10">
        <f t="shared" si="85"/>
        <v>108</v>
      </c>
      <c r="B111" s="73">
        <f>'Scénario référence'!$B$16*5+'Scénario référence'!$B$17*0+'Scénario référence'!$B$18*5</f>
        <v>5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1">
        <f t="shared" si="86"/>
        <v>0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18.333333333333332</v>
      </c>
      <c r="H111" s="67">
        <f t="shared" si="56"/>
        <v>183.33333333333334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8.8449999999999989</v>
      </c>
      <c r="N111" s="13">
        <f>IF('Données projet'!$A$36&gt;35,N110+M111-V110,IF(A111&lt;'Données projet'!$A$36,$K$205^A111,IF(A111='Données projet'!$A$36,'Données projet'!$B$36,N110+M111-V110)))</f>
        <v>371.49000000000058</v>
      </c>
      <c r="O111" s="13">
        <f>N111*VLOOKUP('Données projet'!$B$9,Paramètres!$A$1:$I$89,3,0)*VLOOKUP('Données projet'!$B$9,Paramètres!$A$1:$I$89,5,0)</f>
        <v>336.12415200000049</v>
      </c>
      <c r="P111" s="13">
        <f t="shared" si="87"/>
        <v>78.698638141016232</v>
      </c>
      <c r="Q111" s="20">
        <f t="shared" si="107"/>
        <v>722.4830261622709</v>
      </c>
      <c r="R111" s="59">
        <f t="shared" si="55"/>
        <v>1001.9681103522703</v>
      </c>
      <c r="S111" s="59">
        <f ca="1">AVERAGE(OFFSET($R$3,0,0,'Données projet'!$E$9+1,1))-AVERAGE(OFFSET($H$3,0,0,'Données projet'!$E$9+1,1))</f>
        <v>681.47578137804555</v>
      </c>
      <c r="T111" s="59">
        <f t="shared" si="88"/>
        <v>300.88511065995885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30.574827822734957</v>
      </c>
      <c r="AA111" s="21">
        <f>EXP(-LN(2)/25)*AA110+(1-EXP(-LN(2)/25))/(LN(2)/25)*Calculateur!V111*Calculateur!X111*VLOOKUP('Données projet'!$B$9,Paramètres!$A$1:$I$89,3,0)*0.475*44/12</f>
        <v>24.187493132306134</v>
      </c>
      <c r="AB111" s="21">
        <f>EXP(-LN(2)/2)*AB110+(1-EXP(-LN(2)/2))/(LN(2)/2)*V111*Y111*VLOOKUP('Données projet'!$B$9,Paramètres!$A$1:$I$89,3,0)*0.475*44/12</f>
        <v>1.4568763495683108</v>
      </c>
      <c r="AC111" s="22">
        <f t="shared" si="57"/>
        <v>56.219197304609402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6.5620000000000003</v>
      </c>
      <c r="AI111" s="13">
        <f>IF('Données projet'!$A$62&gt;35,AI110+AH111-AQ110,IF(A111&lt;'Données projet'!$A$62,$AF$205^A111,IF(A111='Données projet'!$A$62,'Données projet'!$B$62,AI110+AH111-AQ110)))</f>
        <v>283.54800000000034</v>
      </c>
      <c r="AJ111" s="13">
        <f>AI111*VLOOKUP('Données projet'!$B$10,Paramètres!$A$1:$I$89,3,0)*VLOOKUP('Données projet'!$B$10,Paramètres!$A$1:$I$89,5,0)</f>
        <v>132.70046400000015</v>
      </c>
      <c r="AK111" s="13">
        <f t="shared" si="89"/>
        <v>34.619608644457088</v>
      </c>
      <c r="AL111" s="20">
        <f t="shared" si="58"/>
        <v>291.41579318909641</v>
      </c>
      <c r="AM111" s="59">
        <f t="shared" si="59"/>
        <v>570.90087737909573</v>
      </c>
      <c r="AN111" s="59">
        <f ca="1">AVERAGE(OFFSET($AM$3,0,0,'Données projet'!$E$10+1,1))-AVERAGE(OFFSET($H$3,0,0,'Données projet'!$E$10+1,1))</f>
        <v>325.45940224919184</v>
      </c>
      <c r="AO111" s="59">
        <f t="shared" si="90"/>
        <v>256.30046621034876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73.220283962107089</v>
      </c>
      <c r="AV111" s="21">
        <f>EXP(-LN(2)/25)*AV110+(1-EXP(-LN(2)/25))/(LN(2)/25)*Calculateur!AQ111*Calculateur!AS111*VLOOKUP('Données projet'!$B$10,Paramètres!$A$1:$I$89,3,0)*0.475*44/12</f>
        <v>22.772072015790528</v>
      </c>
      <c r="AW111" s="21">
        <f>EXP(-LN(2)/2)*AW110+(1-EXP(-LN(2)/2))/(LN(2)/2)*AQ111*AT111*VLOOKUP('Données projet'!$B$10,Paramètres!$A$1:$I$89,3,0)*0.475*44/12</f>
        <v>1.0506589539308309</v>
      </c>
      <c r="AX111" s="21">
        <f t="shared" si="60"/>
        <v>97.043014931828452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6.8811111111111085</v>
      </c>
      <c r="BD111" s="12">
        <f>IF('Données projet'!$A$88&gt;35,BD110+BC111-BL110,IF(A111&lt;'Données projet'!$A$88,$BA$205^A111,IF(A111='Données projet'!$A$88,'Données projet'!$B$88,BD110+BC111-BL110)))</f>
        <v>259.49444444444424</v>
      </c>
      <c r="BE111" s="13">
        <f>BD111*VLOOKUP('Données projet'!$B$11,Paramètres!$A$1:$I$89,3,0)*VLOOKUP('Données projet'!$B$11,Paramètres!$A$1:$I$89,5,0)</f>
        <v>263.12736666666649</v>
      </c>
      <c r="BF111" s="13">
        <f t="shared" si="91"/>
        <v>63.388541553044227</v>
      </c>
      <c r="BG111" s="20">
        <f t="shared" si="61"/>
        <v>568.68187348266281</v>
      </c>
      <c r="BH111" s="59">
        <f t="shared" si="62"/>
        <v>848.16695767266219</v>
      </c>
      <c r="BI111" s="59">
        <f ca="1">AVERAGE(OFFSET($BH$3,0,0,'Données projet'!$E$11+1,1))-AVERAGE(OFFSET($H$3,0,0,'Données projet'!$E$11+1,1))</f>
        <v>580.02848304986492</v>
      </c>
      <c r="BJ111" s="59">
        <f t="shared" si="92"/>
        <v>281.68891895586728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15.740295510158905</v>
      </c>
      <c r="BQ111" s="21">
        <f>EXP(-LN(2)/25)*BQ110+(1-EXP(-LN(2)/25))/(LN(2)/25)*Calculateur!BL111*Calculateur!BN111*VLOOKUP('Données projet'!$B$11,Paramètres!$A$1:$I$89,3,0)*0.475*44/12</f>
        <v>26.587095933491355</v>
      </c>
      <c r="BR111" s="21">
        <f>EXP(-LN(2)/2)*BR110+(1-EXP(-LN(2)/2))/(LN(2)/2)*BL111*BO111*VLOOKUP('Données projet'!$B$11,Paramètres!$A$1:$I$89,3,0)*0.475*44/12</f>
        <v>0.98889855181793895</v>
      </c>
      <c r="BS111" s="22">
        <f t="shared" si="63"/>
        <v>43.316289995468196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>
        <f>BY111*VLOOKUP('Données projet'!$B$12,Paramètres!$A$1:$I$89,3,0)*VLOOKUP('Données projet'!$B$12,Paramètres!$A$1:$I$89,5,0)</f>
        <v>0</v>
      </c>
      <c r="CA111" s="13" t="e">
        <f t="shared" si="93"/>
        <v>#NUM!</v>
      </c>
      <c r="CB111" s="20" t="e">
        <f t="shared" si="64"/>
        <v>#NUM!</v>
      </c>
      <c r="CC111" s="59" t="e">
        <f t="shared" si="65"/>
        <v>#NUM!</v>
      </c>
      <c r="CD111" s="59">
        <f ca="1">AVERAGE(OFFSET($CC$3,0,0,'Données projet'!$E$12+1,1))-AVERAGE(OFFSET($H$3,0,0,'Données projet'!$E$12+1,1))</f>
        <v>439.15394290667945</v>
      </c>
      <c r="CE111" s="59">
        <f t="shared" si="94"/>
        <v>423.56554025351068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28.972233005319627</v>
      </c>
      <c r="CL111" s="21">
        <f>EXP(-LN(2)/25)*CL110+(1-EXP(-LN(2)/25))/(LN(2)/25)*Calculateur!CG111*Calculateur!CI111*VLOOKUP('Données projet'!$B$12,Paramètres!$A$1:$I$89,3,0)*0.475*44/12</f>
        <v>22.914849217780802</v>
      </c>
      <c r="CM111" s="21">
        <f>EXP(-LN(2)/2)*CM110+(1-EXP(-LN(2)/2))/(LN(2)/2)*CG111*CJ111*VLOOKUP('Données projet'!$B$12,Paramètres!$A$1:$I$89,3,0)*0.475*44/12</f>
        <v>4.556933346579718E-3</v>
      </c>
      <c r="CN111" s="22">
        <f t="shared" si="66"/>
        <v>51.891639156447006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>
        <f>CT111*VLOOKUP('Données projet'!$B$13,Paramètres!$A$1:$I$89,3,0)*VLOOKUP('Données projet'!$B$13,Paramètres!$A$1:$I$89,5,0)</f>
        <v>0</v>
      </c>
      <c r="CV111" s="13" t="e">
        <f t="shared" si="95"/>
        <v>#NUM!</v>
      </c>
      <c r="CW111" s="20" t="e">
        <f t="shared" si="67"/>
        <v>#NUM!</v>
      </c>
      <c r="CX111" s="59" t="e">
        <f t="shared" si="68"/>
        <v>#NUM!</v>
      </c>
      <c r="CY111" s="59">
        <f ca="1">AVERAGE(OFFSET($CX$3,0,0,'Données projet'!$E$13+1,1))-AVERAGE(OFFSET($H$3,0,0,'Données projet'!$E$13+1,1))</f>
        <v>408.246209980743</v>
      </c>
      <c r="CZ111" s="59">
        <f t="shared" si="96"/>
        <v>394.10236303013903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>
        <f>EXP(-LN(2)/35)*DF110+(1-EXP(-LN(2)/35))/(LN(2)/35)*DB111*DC111*VLOOKUP('Données projet'!$B$13,Paramètres!$A$1:$I$89,3,0)*0.475*44/12</f>
        <v>32.782915577502386</v>
      </c>
      <c r="DG111" s="21">
        <f>EXP(-LN(2)/25)*DG110+(1-EXP(-LN(2)/25))/(LN(2)/25)*Calculateur!DB111*Calculateur!DD111*VLOOKUP('Données projet'!$B$13,Paramètres!$A$1:$I$89,3,0)*0.475*44/12</f>
        <v>25.928811467164866</v>
      </c>
      <c r="DH111" s="21">
        <f>EXP(-LN(2)/2)*DH110+(1-EXP(-LN(2)/2))/(LN(2)/2)*DB111*DE111*VLOOKUP('Données projet'!$B$13,Paramètres!$A$1:$I$89,3,0)*0.475*44/12</f>
        <v>4.1834142198108899E-3</v>
      </c>
      <c r="DI111" s="22">
        <f t="shared" si="69"/>
        <v>58.715910458887066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>
        <f>DO111*VLOOKUP('Données projet'!$B$14,Paramètres!$A$1:$I$89,3,0)*VLOOKUP('Données projet'!$B$14,Paramètres!$A$1:$I$89,5,0)</f>
        <v>0</v>
      </c>
      <c r="DQ111" s="13" t="e">
        <f t="shared" si="97"/>
        <v>#NUM!</v>
      </c>
      <c r="DR111" s="20" t="e">
        <f t="shared" si="70"/>
        <v>#NUM!</v>
      </c>
      <c r="DS111" s="59" t="e">
        <f t="shared" si="71"/>
        <v>#NUM!</v>
      </c>
      <c r="DT111" s="59">
        <f ca="1">AVERAGE(OFFSET($DS$3,0,0,'Données projet'!$E$14+1,1))-AVERAGE(OFFSET($H$3,0,0,'Données projet'!$E$14+1,1))</f>
        <v>371.07993287480366</v>
      </c>
      <c r="DU111" s="59">
        <f t="shared" si="98"/>
        <v>358.67120540290637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>
        <f>EXP(-LN(2)/35)*EA110+(1-EXP(-LN(2)/35))/(LN(2)/35)*DW111*DX111*VLOOKUP('Données projet'!$B$14,Paramètres!$A$1:$I$89,3,0)*0.475*44/12</f>
        <v>23.747731971573472</v>
      </c>
      <c r="EB111" s="21">
        <f>EXP(-LN(2)/25)*EB110+(1-EXP(-LN(2)/25))/(LN(2)/25)*Calculateur!DW111*Calculateur!DY111*VLOOKUP('Données projet'!$B$14,Paramètres!$A$1:$I$89,3,0)*0.475*44/12</f>
        <v>18.782663293262949</v>
      </c>
      <c r="EC111" s="21">
        <f>EXP(-LN(2)/2)*EC110+(1-EXP(-LN(2)/2))/(LN(2)/2)*DW111*DZ111*VLOOKUP('Données projet'!$B$14,Paramètres!$A$1:$I$89,3,0)*0.475*44/12</f>
        <v>3.7351912676883005E-3</v>
      </c>
      <c r="ED111" s="22">
        <f t="shared" si="72"/>
        <v>42.534130456104108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45">
      <c r="A112" s="10">
        <f t="shared" si="85"/>
        <v>109</v>
      </c>
      <c r="B112" s="73">
        <f>'Scénario référence'!$B$16*5+'Scénario référence'!$B$17*0+'Scénario référence'!$B$18*5</f>
        <v>5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1">
        <f t="shared" si="86"/>
        <v>0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18.333333333333332</v>
      </c>
      <c r="H112" s="67">
        <f t="shared" si="56"/>
        <v>183.33333333333334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8.8449999999999989</v>
      </c>
      <c r="N112" s="13">
        <f>IF('Données projet'!$A$36&gt;35,N111+M112-V111,IF(A112&lt;'Données projet'!$A$36,$K$205^A112,IF(A112='Données projet'!$A$36,'Données projet'!$B$36,N111+M112-V111)))</f>
        <v>380.3350000000006</v>
      </c>
      <c r="O112" s="13">
        <f>N112*VLOOKUP('Données projet'!$B$9,Paramètres!$A$1:$I$89,3,0)*VLOOKUP('Données projet'!$B$9,Paramètres!$A$1:$I$89,5,0)</f>
        <v>344.12710800000053</v>
      </c>
      <c r="P112" s="13">
        <f t="shared" si="87"/>
        <v>80.352033376279337</v>
      </c>
      <c r="Q112" s="20">
        <f t="shared" si="107"/>
        <v>739.30117123035416</v>
      </c>
      <c r="R112" s="59">
        <f t="shared" si="55"/>
        <v>1019.0264915829434</v>
      </c>
      <c r="S112" s="59">
        <f ca="1">AVERAGE(OFFSET($R$3,0,0,'Données projet'!$E$9+1,1))-AVERAGE(OFFSET($H$3,0,0,'Données projet'!$E$9+1,1))</f>
        <v>681.47578137804555</v>
      </c>
      <c r="T112" s="59">
        <f t="shared" si="88"/>
        <v>300.88511065995885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29.97527409793468</v>
      </c>
      <c r="AA112" s="21">
        <f>EXP(-LN(2)/25)*AA111+(1-EXP(-LN(2)/25))/(LN(2)/25)*Calculateur!V112*Calculateur!X112*VLOOKUP('Données projet'!$B$9,Paramètres!$A$1:$I$89,3,0)*0.475*44/12</f>
        <v>23.526084860638239</v>
      </c>
      <c r="AB112" s="21">
        <f>EXP(-LN(2)/2)*AB111+(1-EXP(-LN(2)/2))/(LN(2)/2)*V112*Y112*VLOOKUP('Données projet'!$B$9,Paramètres!$A$1:$I$89,3,0)*0.475*44/12</f>
        <v>1.0301671461300557</v>
      </c>
      <c r="AC112" s="22">
        <f t="shared" si="57"/>
        <v>54.531526104702976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>
        <f>VLOOKUP(A112,'Données projet'!$A$61:$I$81,2,0)</f>
        <v>290.11</v>
      </c>
      <c r="AG112" s="12">
        <f>VLOOKUP(A112,'Données projet'!$A$61:$I$81,9,0)</f>
        <v>6.5620000000000003</v>
      </c>
      <c r="AH112" s="12">
        <f t="array" ref="AH112">INDEX(AG:AG,MIN(IF(ISNUMBER(AG112:AG308),ROW(AG112:AG308),"")))</f>
        <v>6.5620000000000003</v>
      </c>
      <c r="AI112" s="13">
        <f>IF('Données projet'!$A$62&gt;35,AI111+AH112-AQ111,IF(A112&lt;'Données projet'!$A$62,$AF$205^A112,IF(A112='Données projet'!$A$62,'Données projet'!$B$62,AI111+AH112-AQ111)))</f>
        <v>290.11000000000035</v>
      </c>
      <c r="AJ112" s="13">
        <f>AI112*VLOOKUP('Données projet'!$B$10,Paramètres!$A$1:$I$89,3,0)*VLOOKUP('Données projet'!$B$10,Paramètres!$A$1:$I$89,5,0)</f>
        <v>135.77148000000017</v>
      </c>
      <c r="AK112" s="13">
        <f t="shared" si="89"/>
        <v>35.326588664960227</v>
      </c>
      <c r="AL112" s="20">
        <f t="shared" si="58"/>
        <v>297.99580292480601</v>
      </c>
      <c r="AM112" s="59">
        <f t="shared" si="59"/>
        <v>577.72112327739524</v>
      </c>
      <c r="AN112" s="59">
        <f ca="1">AVERAGE(OFFSET($AM$3,0,0,'Données projet'!$E$10+1,1))-AVERAGE(OFFSET($H$3,0,0,'Données projet'!$E$10+1,1))</f>
        <v>325.45940224919184</v>
      </c>
      <c r="AO112" s="59">
        <f t="shared" si="90"/>
        <v>256.30046621034876</v>
      </c>
      <c r="AP112" s="15">
        <f>IF(ISNA(VLOOKUP(A112,'Données projet'!$A$61:$I$81,3,0)),0,VLOOKUP(A112,'Données projet'!$A$61:$I$81,3,0))</f>
        <v>6</v>
      </c>
      <c r="AQ112" s="15">
        <f>IF(ISNA(VLOOKUP(A112,'Données projet'!$A$61:$I$81,4,0)),0,VLOOKUP(A112,'Données projet'!$A$61:$I$81,4,0))</f>
        <v>290.11</v>
      </c>
      <c r="AR112" s="16">
        <f>IF(ISNA(VLOOKUP(A112,'Données projet'!$A$61:$I$81,5,0)),0%,VLOOKUP(A112,'Données projet'!$A$61:$I$81,5,0)*VLOOKUP('Données projet'!$B$10,Paramètres!$A$1:$I$89,7,0))</f>
        <v>0.33</v>
      </c>
      <c r="AS112" s="16">
        <f>IF(ISNA(VLOOKUP(A112,'Données projet'!$A$61:$I$81,6,0)),0%,VLOOKUP(A112,'Données projet'!$A$61:$I$81,6,0)*VLOOKUP('Données projet'!$B$10,Paramètres!$A$1:$I$89,7,0))</f>
        <v>0.11000000000000001</v>
      </c>
      <c r="AT112" s="16">
        <f>IF(ISNA(VLOOKUP(A112,'Données projet'!$A$61:$I$81,7,0)),0%,VLOOKUP(A112,'Données projet'!$A$61:$I$81,7,0))</f>
        <v>0.2</v>
      </c>
      <c r="AU112" s="21">
        <f>EXP(-LN(2)/35)*AU111+(1-EXP(-LN(2)/35))/(LN(2)/35)*AQ112*AR112*VLOOKUP('Données projet'!$B$10,Paramètres!$A$1:$I$89,3,0)*0.475*44/12</f>
        <v>131.2206532656123</v>
      </c>
      <c r="AV112" s="21">
        <f>EXP(-LN(2)/25)*AV111+(1-EXP(-LN(2)/25))/(LN(2)/25)*Calculateur!AQ112*Calculateur!AS112*VLOOKUP('Données projet'!$B$10,Paramètres!$A$1:$I$89,3,0)*0.475*44/12</f>
        <v>41.883419024461048</v>
      </c>
      <c r="AW112" s="21">
        <f>EXP(-LN(2)/2)*AW111+(1-EXP(-LN(2)/2))/(LN(2)/2)*AQ112*AT112*VLOOKUP('Données projet'!$B$10,Paramètres!$A$1:$I$89,3,0)*0.475*44/12</f>
        <v>31.487899018832582</v>
      </c>
      <c r="AX112" s="21">
        <f t="shared" si="60"/>
        <v>204.59197130890595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6.8811111111111085</v>
      </c>
      <c r="BD112" s="12">
        <f>IF('Données projet'!$A$88&gt;35,BD111+BC112-BL111,IF(A112&lt;'Données projet'!$A$88,$BA$205^A112,IF(A112='Données projet'!$A$88,'Données projet'!$B$88,BD111+BC112-BL111)))</f>
        <v>266.37555555555537</v>
      </c>
      <c r="BE112" s="13">
        <f>BD112*VLOOKUP('Données projet'!$B$11,Paramètres!$A$1:$I$89,3,0)*VLOOKUP('Données projet'!$B$11,Paramètres!$A$1:$I$89,5,0)</f>
        <v>270.10481333333314</v>
      </c>
      <c r="BF112" s="13">
        <f t="shared" si="91"/>
        <v>64.87151281999401</v>
      </c>
      <c r="BG112" s="20">
        <f t="shared" si="61"/>
        <v>583.41710138371138</v>
      </c>
      <c r="BH112" s="59">
        <f t="shared" si="62"/>
        <v>863.14242173630066</v>
      </c>
      <c r="BI112" s="59">
        <f ca="1">AVERAGE(OFFSET($BH$3,0,0,'Données projet'!$E$11+1,1))-AVERAGE(OFFSET($H$3,0,0,'Données projet'!$E$11+1,1))</f>
        <v>580.02848304986492</v>
      </c>
      <c r="BJ112" s="59">
        <f t="shared" si="92"/>
        <v>281.68891895586728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15.431637915836966</v>
      </c>
      <c r="BQ112" s="21">
        <f>EXP(-LN(2)/25)*BQ111+(1-EXP(-LN(2)/25))/(LN(2)/25)*Calculateur!BL112*Calculateur!BN112*VLOOKUP('Données projet'!$B$11,Paramètres!$A$1:$I$89,3,0)*0.475*44/12</f>
        <v>25.860070397035425</v>
      </c>
      <c r="BR112" s="21">
        <f>EXP(-LN(2)/2)*BR111+(1-EXP(-LN(2)/2))/(LN(2)/2)*BL112*BO112*VLOOKUP('Données projet'!$B$11,Paramètres!$A$1:$I$89,3,0)*0.475*44/12</f>
        <v>0.69925687189602115</v>
      </c>
      <c r="BS112" s="22">
        <f t="shared" si="63"/>
        <v>41.990965184768406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>
        <f>BY112*VLOOKUP('Données projet'!$B$12,Paramètres!$A$1:$I$89,3,0)*VLOOKUP('Données projet'!$B$12,Paramètres!$A$1:$I$89,5,0)</f>
        <v>0</v>
      </c>
      <c r="CA112" s="13" t="e">
        <f t="shared" si="93"/>
        <v>#NUM!</v>
      </c>
      <c r="CB112" s="20" t="e">
        <f t="shared" si="64"/>
        <v>#NUM!</v>
      </c>
      <c r="CC112" s="59" t="e">
        <f t="shared" si="65"/>
        <v>#NUM!</v>
      </c>
      <c r="CD112" s="59">
        <f ca="1">AVERAGE(OFFSET($CC$3,0,0,'Données projet'!$E$12+1,1))-AVERAGE(OFFSET($H$3,0,0,'Données projet'!$E$12+1,1))</f>
        <v>439.15394290667945</v>
      </c>
      <c r="CE112" s="59">
        <f t="shared" si="94"/>
        <v>423.56554025351068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28.404105187402543</v>
      </c>
      <c r="CL112" s="21">
        <f>EXP(-LN(2)/25)*CL111+(1-EXP(-LN(2)/25))/(LN(2)/25)*Calculateur!CG112*Calculateur!CI112*VLOOKUP('Données projet'!$B$12,Paramètres!$A$1:$I$89,3,0)*0.475*44/12</f>
        <v>22.288241460881039</v>
      </c>
      <c r="CM112" s="21">
        <f>EXP(-LN(2)/2)*CM111+(1-EXP(-LN(2)/2))/(LN(2)/2)*CG112*CJ112*VLOOKUP('Données projet'!$B$12,Paramètres!$A$1:$I$89,3,0)*0.475*44/12</f>
        <v>3.2222384707816265E-3</v>
      </c>
      <c r="CN112" s="22">
        <f t="shared" si="66"/>
        <v>50.695568886754366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>
        <f>CT112*VLOOKUP('Données projet'!$B$13,Paramètres!$A$1:$I$89,3,0)*VLOOKUP('Données projet'!$B$13,Paramètres!$A$1:$I$89,5,0)</f>
        <v>0</v>
      </c>
      <c r="CV112" s="13" t="e">
        <f t="shared" si="95"/>
        <v>#NUM!</v>
      </c>
      <c r="CW112" s="20" t="e">
        <f t="shared" si="67"/>
        <v>#NUM!</v>
      </c>
      <c r="CX112" s="59" t="e">
        <f t="shared" si="68"/>
        <v>#NUM!</v>
      </c>
      <c r="CY112" s="59">
        <f ca="1">AVERAGE(OFFSET($CX$3,0,0,'Données projet'!$E$13+1,1))-AVERAGE(OFFSET($H$3,0,0,'Données projet'!$E$13+1,1))</f>
        <v>408.246209980743</v>
      </c>
      <c r="CZ112" s="59">
        <f t="shared" si="96"/>
        <v>394.10236303013903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>
        <f>EXP(-LN(2)/35)*DF111+(1-EXP(-LN(2)/35))/(LN(2)/35)*DB112*DC112*VLOOKUP('Données projet'!$B$13,Paramètres!$A$1:$I$89,3,0)*0.475*44/12</f>
        <v>32.140062598631665</v>
      </c>
      <c r="DG112" s="21">
        <f>EXP(-LN(2)/25)*DG111+(1-EXP(-LN(2)/25))/(LN(2)/25)*Calculateur!DB112*Calculateur!DD112*VLOOKUP('Données projet'!$B$13,Paramètres!$A$1:$I$89,3,0)*0.475*44/12</f>
        <v>25.219786754058308</v>
      </c>
      <c r="DH112" s="21">
        <f>EXP(-LN(2)/2)*DH111+(1-EXP(-LN(2)/2))/(LN(2)/2)*DB112*DE112*VLOOKUP('Données projet'!$B$13,Paramètres!$A$1:$I$89,3,0)*0.475*44/12</f>
        <v>2.9581205633405104E-3</v>
      </c>
      <c r="DI112" s="22">
        <f t="shared" si="69"/>
        <v>57.362807473253319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>
        <f>DO112*VLOOKUP('Données projet'!$B$14,Paramètres!$A$1:$I$89,3,0)*VLOOKUP('Données projet'!$B$14,Paramètres!$A$1:$I$89,5,0)</f>
        <v>0</v>
      </c>
      <c r="DQ112" s="13" t="e">
        <f t="shared" si="97"/>
        <v>#NUM!</v>
      </c>
      <c r="DR112" s="20" t="e">
        <f t="shared" si="70"/>
        <v>#NUM!</v>
      </c>
      <c r="DS112" s="59" t="e">
        <f t="shared" si="71"/>
        <v>#NUM!</v>
      </c>
      <c r="DT112" s="59">
        <f ca="1">AVERAGE(OFFSET($DS$3,0,0,'Données projet'!$E$14+1,1))-AVERAGE(OFFSET($H$3,0,0,'Données projet'!$E$14+1,1))</f>
        <v>371.07993287480366</v>
      </c>
      <c r="DU112" s="59">
        <f t="shared" si="98"/>
        <v>358.67120540290637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>
        <f>EXP(-LN(2)/35)*EA111+(1-EXP(-LN(2)/35))/(LN(2)/35)*DW112*DX112*VLOOKUP('Données projet'!$B$14,Paramètres!$A$1:$I$89,3,0)*0.475*44/12</f>
        <v>23.282053432297175</v>
      </c>
      <c r="EB112" s="21">
        <f>EXP(-LN(2)/25)*EB111+(1-EXP(-LN(2)/25))/(LN(2)/25)*Calculateur!DW112*Calculateur!DY112*VLOOKUP('Données projet'!$B$14,Paramètres!$A$1:$I$89,3,0)*0.475*44/12</f>
        <v>18.26905037777134</v>
      </c>
      <c r="EC112" s="21">
        <f>EXP(-LN(2)/2)*EC111+(1-EXP(-LN(2)/2))/(LN(2)/2)*DW112*DZ112*VLOOKUP('Données projet'!$B$14,Paramètres!$A$1:$I$89,3,0)*0.475*44/12</f>
        <v>2.6411790744111743E-3</v>
      </c>
      <c r="ED112" s="22">
        <f t="shared" si="72"/>
        <v>41.55374498914292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45">
      <c r="A113" s="10">
        <f t="shared" si="85"/>
        <v>110</v>
      </c>
      <c r="B113" s="73">
        <f>'Scénario référence'!$B$16*5+'Scénario référence'!$B$17*0+'Scénario référence'!$B$18*5</f>
        <v>5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1">
        <f t="shared" si="86"/>
        <v>0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18.333333333333332</v>
      </c>
      <c r="H113" s="67">
        <f t="shared" si="56"/>
        <v>183.33333333333334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8.8449999999999989</v>
      </c>
      <c r="N113" s="13">
        <f>IF('Données projet'!$A$36&gt;35,N112+M113-V112,IF(A113&lt;'Données projet'!$A$36,$K$205^A113,IF(A113='Données projet'!$A$36,'Données projet'!$B$36,N112+M113-V112)))</f>
        <v>389.18000000000063</v>
      </c>
      <c r="O113" s="13">
        <f>N113*VLOOKUP('Données projet'!$B$9,Paramètres!$A$1:$I$89,3,0)*VLOOKUP('Données projet'!$B$9,Paramètres!$A$1:$I$89,5,0)</f>
        <v>352.13006400000057</v>
      </c>
      <c r="P113" s="13">
        <f t="shared" si="87"/>
        <v>82.000958535583734</v>
      </c>
      <c r="Q113" s="20">
        <f t="shared" si="107"/>
        <v>756.11153091614267</v>
      </c>
      <c r="R113" s="59">
        <f t="shared" si="55"/>
        <v>1036.0729198709885</v>
      </c>
      <c r="S113" s="59">
        <f ca="1">AVERAGE(OFFSET($R$3,0,0,'Données projet'!$E$9+1,1))-AVERAGE(OFFSET($H$3,0,0,'Données projet'!$E$9+1,1))</f>
        <v>681.47578137804555</v>
      </c>
      <c r="T113" s="59">
        <f t="shared" si="88"/>
        <v>300.88511065995885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29.387477255986074</v>
      </c>
      <c r="AA113" s="21">
        <f>EXP(-LN(2)/25)*AA112+(1-EXP(-LN(2)/25))/(LN(2)/25)*Calculateur!V113*Calculateur!X113*VLOOKUP('Données projet'!$B$9,Paramètres!$A$1:$I$89,3,0)*0.475*44/12</f>
        <v>22.882762832941054</v>
      </c>
      <c r="AB113" s="21">
        <f>EXP(-LN(2)/2)*AB112+(1-EXP(-LN(2)/2))/(LN(2)/2)*V113*Y113*VLOOKUP('Données projet'!$B$9,Paramètres!$A$1:$I$89,3,0)*0.475*44/12</f>
        <v>0.7284381747841554</v>
      </c>
      <c r="AC113" s="22">
        <f t="shared" si="57"/>
        <v>52.998678263711277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3.4106051316484809E-13</v>
      </c>
      <c r="AJ113" s="13">
        <f>AI113*VLOOKUP('Données projet'!$B$10,Paramètres!$A$1:$I$89,3,0)*VLOOKUP('Données projet'!$B$10,Paramètres!$A$1:$I$89,5,0)</f>
        <v>1.5961632016114892E-13</v>
      </c>
      <c r="AK113" s="13">
        <f t="shared" si="89"/>
        <v>2.2708641912150958E-12</v>
      </c>
      <c r="AL113" s="20">
        <f t="shared" si="58"/>
        <v>4.2330868906469593E-12</v>
      </c>
      <c r="AM113" s="59">
        <f t="shared" si="59"/>
        <v>279.96138895485007</v>
      </c>
      <c r="AN113" s="59">
        <f ca="1">AVERAGE(OFFSET($AM$3,0,0,'Données projet'!$E$10+1,1))-AVERAGE(OFFSET($H$3,0,0,'Données projet'!$E$10+1,1))</f>
        <v>325.45940224919184</v>
      </c>
      <c r="AO113" s="59">
        <f t="shared" si="90"/>
        <v>256.30046621034876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128.64749629176916</v>
      </c>
      <c r="AV113" s="21">
        <f>EXP(-LN(2)/25)*AV112+(1-EXP(-LN(2)/25))/(LN(2)/25)*Calculateur!AQ113*Calculateur!AS113*VLOOKUP('Données projet'!$B$10,Paramètres!$A$1:$I$89,3,0)*0.475*44/12</f>
        <v>40.738114728683883</v>
      </c>
      <c r="AW113" s="21">
        <f>EXP(-LN(2)/2)*AW112+(1-EXP(-LN(2)/2))/(LN(2)/2)*AQ113*AT113*VLOOKUP('Données projet'!$B$10,Paramètres!$A$1:$I$89,3,0)*0.475*44/12</f>
        <v>22.265306921533757</v>
      </c>
      <c r="AX113" s="21">
        <f t="shared" si="60"/>
        <v>191.65091794198679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6.8811111111111085</v>
      </c>
      <c r="BD113" s="12">
        <f>IF('Données projet'!$A$88&gt;35,BD112+BC113-BL112,IF(A113&lt;'Données projet'!$A$88,$BA$205^A113,IF(A113='Données projet'!$A$88,'Données projet'!$B$88,BD112+BC113-BL112)))</f>
        <v>273.25666666666649</v>
      </c>
      <c r="BE113" s="13">
        <f>BD113*VLOOKUP('Données projet'!$B$11,Paramètres!$A$1:$I$89,3,0)*VLOOKUP('Données projet'!$B$11,Paramètres!$A$1:$I$89,5,0)</f>
        <v>277.08225999999985</v>
      </c>
      <c r="BF113" s="13">
        <f t="shared" si="91"/>
        <v>66.350031133112068</v>
      </c>
      <c r="BG113" s="20">
        <f t="shared" si="61"/>
        <v>598.14457372350319</v>
      </c>
      <c r="BH113" s="59">
        <f t="shared" si="62"/>
        <v>878.10596267834899</v>
      </c>
      <c r="BI113" s="59">
        <f ca="1">AVERAGE(OFFSET($BH$3,0,0,'Données projet'!$E$11+1,1))-AVERAGE(OFFSET($H$3,0,0,'Données projet'!$E$11+1,1))</f>
        <v>580.02848304986492</v>
      </c>
      <c r="BJ113" s="59">
        <f t="shared" si="92"/>
        <v>281.68891895586728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15.129032908677138</v>
      </c>
      <c r="BQ113" s="21">
        <f>EXP(-LN(2)/25)*BQ112+(1-EXP(-LN(2)/25))/(LN(2)/25)*Calculateur!BL113*Calculateur!BN113*VLOOKUP('Données projet'!$B$11,Paramètres!$A$1:$I$89,3,0)*0.475*44/12</f>
        <v>25.152925412106494</v>
      </c>
      <c r="BR113" s="21">
        <f>EXP(-LN(2)/2)*BR112+(1-EXP(-LN(2)/2))/(LN(2)/2)*BL113*BO113*VLOOKUP('Données projet'!$B$11,Paramètres!$A$1:$I$89,3,0)*0.475*44/12</f>
        <v>0.49444927590896953</v>
      </c>
      <c r="BS113" s="22">
        <f t="shared" si="63"/>
        <v>40.7764075966926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>
        <f>BY113*VLOOKUP('Données projet'!$B$12,Paramètres!$A$1:$I$89,3,0)*VLOOKUP('Données projet'!$B$12,Paramètres!$A$1:$I$89,5,0)</f>
        <v>0</v>
      </c>
      <c r="CA113" s="13" t="e">
        <f t="shared" si="93"/>
        <v>#NUM!</v>
      </c>
      <c r="CB113" s="20" t="e">
        <f t="shared" si="64"/>
        <v>#NUM!</v>
      </c>
      <c r="CC113" s="59" t="e">
        <f t="shared" si="65"/>
        <v>#NUM!</v>
      </c>
      <c r="CD113" s="59">
        <f ca="1">AVERAGE(OFFSET($CC$3,0,0,'Données projet'!$E$12+1,1))-AVERAGE(OFFSET($H$3,0,0,'Données projet'!$E$12+1,1))</f>
        <v>439.15394290667945</v>
      </c>
      <c r="CE113" s="59">
        <f t="shared" si="94"/>
        <v>423.56554025351068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27.84711800947106</v>
      </c>
      <c r="CL113" s="21">
        <f>EXP(-LN(2)/25)*CL112+(1-EXP(-LN(2)/25))/(LN(2)/25)*Calculateur!CG113*Calculateur!CI113*VLOOKUP('Données projet'!$B$12,Paramètres!$A$1:$I$89,3,0)*0.475*44/12</f>
        <v>21.678768326045571</v>
      </c>
      <c r="CM113" s="21">
        <f>EXP(-LN(2)/2)*CM112+(1-EXP(-LN(2)/2))/(LN(2)/2)*CG113*CJ113*VLOOKUP('Données projet'!$B$12,Paramètres!$A$1:$I$89,3,0)*0.475*44/12</f>
        <v>2.278466673289859E-3</v>
      </c>
      <c r="CN113" s="22">
        <f t="shared" si="66"/>
        <v>49.52816480218992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>
        <f>CT113*VLOOKUP('Données projet'!$B$13,Paramètres!$A$1:$I$89,3,0)*VLOOKUP('Données projet'!$B$13,Paramètres!$A$1:$I$89,5,0)</f>
        <v>0</v>
      </c>
      <c r="CV113" s="13" t="e">
        <f t="shared" si="95"/>
        <v>#NUM!</v>
      </c>
      <c r="CW113" s="20" t="e">
        <f t="shared" si="67"/>
        <v>#NUM!</v>
      </c>
      <c r="CX113" s="59" t="e">
        <f t="shared" si="68"/>
        <v>#NUM!</v>
      </c>
      <c r="CY113" s="59">
        <f ca="1">AVERAGE(OFFSET($CX$3,0,0,'Données projet'!$E$13+1,1))-AVERAGE(OFFSET($H$3,0,0,'Données projet'!$E$13+1,1))</f>
        <v>408.246209980743</v>
      </c>
      <c r="CZ113" s="59">
        <f t="shared" si="96"/>
        <v>394.10236303013903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>
        <f>EXP(-LN(2)/35)*DF112+(1-EXP(-LN(2)/35))/(LN(2)/35)*DB113*DC113*VLOOKUP('Données projet'!$B$13,Paramètres!$A$1:$I$89,3,0)*0.475*44/12</f>
        <v>31.509815574574997</v>
      </c>
      <c r="DG113" s="21">
        <f>EXP(-LN(2)/25)*DG112+(1-EXP(-LN(2)/25))/(LN(2)/25)*Calculateur!DB113*Calculateur!DD113*VLOOKUP('Données projet'!$B$13,Paramètres!$A$1:$I$89,3,0)*0.475*44/12</f>
        <v>24.53015035901764</v>
      </c>
      <c r="DH113" s="21">
        <f>EXP(-LN(2)/2)*DH112+(1-EXP(-LN(2)/2))/(LN(2)/2)*DB113*DE113*VLOOKUP('Données projet'!$B$13,Paramètres!$A$1:$I$89,3,0)*0.475*44/12</f>
        <v>2.0917071099054449E-3</v>
      </c>
      <c r="DI113" s="22">
        <f t="shared" si="69"/>
        <v>56.042057640702545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>
        <f>DO113*VLOOKUP('Données projet'!$B$14,Paramètres!$A$1:$I$89,3,0)*VLOOKUP('Données projet'!$B$14,Paramètres!$A$1:$I$89,5,0)</f>
        <v>0</v>
      </c>
      <c r="DQ113" s="13" t="e">
        <f t="shared" si="97"/>
        <v>#NUM!</v>
      </c>
      <c r="DR113" s="20" t="e">
        <f t="shared" si="70"/>
        <v>#NUM!</v>
      </c>
      <c r="DS113" s="59" t="e">
        <f t="shared" si="71"/>
        <v>#NUM!</v>
      </c>
      <c r="DT113" s="59">
        <f ca="1">AVERAGE(OFFSET($DS$3,0,0,'Données projet'!$E$14+1,1))-AVERAGE(OFFSET($H$3,0,0,'Données projet'!$E$14+1,1))</f>
        <v>371.07993287480366</v>
      </c>
      <c r="DU113" s="59">
        <f t="shared" si="98"/>
        <v>358.67120540290637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>
        <f>EXP(-LN(2)/35)*EA112+(1-EXP(-LN(2)/35))/(LN(2)/35)*DW113*DX113*VLOOKUP('Données projet'!$B$14,Paramètres!$A$1:$I$89,3,0)*0.475*44/12</f>
        <v>22.825506565140223</v>
      </c>
      <c r="EB113" s="21">
        <f>EXP(-LN(2)/25)*EB112+(1-EXP(-LN(2)/25))/(LN(2)/25)*Calculateur!DW113*Calculateur!DY113*VLOOKUP('Données projet'!$B$14,Paramètres!$A$1:$I$89,3,0)*0.475*44/12</f>
        <v>17.769482234463577</v>
      </c>
      <c r="EC113" s="21">
        <f>EXP(-LN(2)/2)*EC112+(1-EXP(-LN(2)/2))/(LN(2)/2)*DW113*DZ113*VLOOKUP('Données projet'!$B$14,Paramètres!$A$1:$I$89,3,0)*0.475*44/12</f>
        <v>1.8675956338441504E-3</v>
      </c>
      <c r="ED113" s="22">
        <f t="shared" si="72"/>
        <v>40.596856395237644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45">
      <c r="A114" s="10">
        <f t="shared" si="85"/>
        <v>111</v>
      </c>
      <c r="B114" s="73">
        <f>'Scénario référence'!$B$16*5+'Scénario référence'!$B$17*0+'Scénario référence'!$B$18*5</f>
        <v>5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1">
        <f t="shared" si="86"/>
        <v>0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18.333333333333332</v>
      </c>
      <c r="H114" s="67">
        <f t="shared" si="56"/>
        <v>183.33333333333334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8.8449999999999989</v>
      </c>
      <c r="N114" s="13">
        <f>IF('Données projet'!$A$36&gt;35,N113+M114-V113,IF(A114&lt;'Données projet'!$A$36,$K$205^A114,IF(A114='Données projet'!$A$36,'Données projet'!$B$36,N113+M114-V113)))</f>
        <v>398.02500000000066</v>
      </c>
      <c r="O114" s="13">
        <f>N114*VLOOKUP('Données projet'!$B$9,Paramètres!$A$1:$I$89,3,0)*VLOOKUP('Données projet'!$B$9,Paramètres!$A$1:$I$89,5,0)</f>
        <v>360.13302000000061</v>
      </c>
      <c r="P114" s="13">
        <f t="shared" si="87"/>
        <v>83.645526906767415</v>
      </c>
      <c r="Q114" s="20">
        <f t="shared" si="107"/>
        <v>772.91430252928774</v>
      </c>
      <c r="R114" s="59">
        <f t="shared" si="55"/>
        <v>1053.1076648239114</v>
      </c>
      <c r="S114" s="59">
        <f ca="1">AVERAGE(OFFSET($R$3,0,0,'Données projet'!$E$9+1,1))-AVERAGE(OFFSET($H$3,0,0,'Données projet'!$E$9+1,1))</f>
        <v>681.47578137804555</v>
      </c>
      <c r="T114" s="59">
        <f t="shared" si="88"/>
        <v>300.88511065995885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28.811206751587406</v>
      </c>
      <c r="AA114" s="21">
        <f>EXP(-LN(2)/25)*AA113+(1-EXP(-LN(2)/25))/(LN(2)/25)*Calculateur!V114*Calculateur!X114*VLOOKUP('Données projet'!$B$9,Paramètres!$A$1:$I$89,3,0)*0.475*44/12</f>
        <v>22.257032479922085</v>
      </c>
      <c r="AB114" s="21">
        <f>EXP(-LN(2)/2)*AB113+(1-EXP(-LN(2)/2))/(LN(2)/2)*V114*Y114*VLOOKUP('Données projet'!$B$9,Paramètres!$A$1:$I$89,3,0)*0.475*44/12</f>
        <v>0.51508357306502783</v>
      </c>
      <c r="AC114" s="22">
        <f t="shared" si="57"/>
        <v>51.583322804574522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3.4106051316484809E-13</v>
      </c>
      <c r="AJ114" s="13">
        <f>AI114*VLOOKUP('Données projet'!$B$10,Paramètres!$A$1:$I$89,3,0)*VLOOKUP('Données projet'!$B$10,Paramètres!$A$1:$I$89,5,0)</f>
        <v>1.5961632016114892E-13</v>
      </c>
      <c r="AK114" s="13">
        <f t="shared" si="89"/>
        <v>2.2708641912150958E-12</v>
      </c>
      <c r="AL114" s="20">
        <f t="shared" si="58"/>
        <v>4.2330868906469593E-12</v>
      </c>
      <c r="AM114" s="59">
        <f t="shared" si="59"/>
        <v>280.19336229462778</v>
      </c>
      <c r="AN114" s="59">
        <f ca="1">AVERAGE(OFFSET($AM$3,0,0,'Données projet'!$E$10+1,1))-AVERAGE(OFFSET($H$3,0,0,'Données projet'!$E$10+1,1))</f>
        <v>325.45940224919184</v>
      </c>
      <c r="AO114" s="59">
        <f t="shared" si="90"/>
        <v>256.30046621034876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126.12479735671231</v>
      </c>
      <c r="AV114" s="21">
        <f>EXP(-LN(2)/25)*AV113+(1-EXP(-LN(2)/25))/(LN(2)/25)*Calculateur!AQ114*Calculateur!AS114*VLOOKUP('Données projet'!$B$10,Paramètres!$A$1:$I$89,3,0)*0.475*44/12</f>
        <v>39.624128839103676</v>
      </c>
      <c r="AW114" s="21">
        <f>EXP(-LN(2)/2)*AW113+(1-EXP(-LN(2)/2))/(LN(2)/2)*AQ114*AT114*VLOOKUP('Données projet'!$B$10,Paramètres!$A$1:$I$89,3,0)*0.475*44/12</f>
        <v>15.743949509416293</v>
      </c>
      <c r="AX114" s="21">
        <f t="shared" si="60"/>
        <v>181.49287570523228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6.8811111111111085</v>
      </c>
      <c r="BD114" s="12">
        <f>IF('Données projet'!$A$88&gt;35,BD113+BC114-BL113,IF(A114&lt;'Données projet'!$A$88,$BA$205^A114,IF(A114='Données projet'!$A$88,'Données projet'!$B$88,BD113+BC114-BL113)))</f>
        <v>280.13777777777761</v>
      </c>
      <c r="BE114" s="13">
        <f>BD114*VLOOKUP('Données projet'!$B$11,Paramètres!$A$1:$I$89,3,0)*VLOOKUP('Données projet'!$B$11,Paramètres!$A$1:$I$89,5,0)</f>
        <v>284.0597066666665</v>
      </c>
      <c r="BF114" s="13">
        <f t="shared" si="91"/>
        <v>67.824221521859315</v>
      </c>
      <c r="BG114" s="20">
        <f t="shared" si="61"/>
        <v>612.86450826168243</v>
      </c>
      <c r="BH114" s="59">
        <f t="shared" si="62"/>
        <v>893.05787055630594</v>
      </c>
      <c r="BI114" s="59">
        <f ca="1">AVERAGE(OFFSET($BH$3,0,0,'Données projet'!$E$11+1,1))-AVERAGE(OFFSET($H$3,0,0,'Données projet'!$E$11+1,1))</f>
        <v>580.02848304986492</v>
      </c>
      <c r="BJ114" s="59">
        <f t="shared" si="92"/>
        <v>281.68891895586728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14.832361801136884</v>
      </c>
      <c r="BQ114" s="21">
        <f>EXP(-LN(2)/25)*BQ113+(1-EXP(-LN(2)/25))/(LN(2)/25)*Calculateur!BL114*Calculateur!BN114*VLOOKUP('Données projet'!$B$11,Paramètres!$A$1:$I$89,3,0)*0.475*44/12</f>
        <v>24.465117343977582</v>
      </c>
      <c r="BR114" s="21">
        <f>EXP(-LN(2)/2)*BR113+(1-EXP(-LN(2)/2))/(LN(2)/2)*BL114*BO114*VLOOKUP('Données projet'!$B$11,Paramètres!$A$1:$I$89,3,0)*0.475*44/12</f>
        <v>0.34962843594801063</v>
      </c>
      <c r="BS114" s="22">
        <f t="shared" si="63"/>
        <v>39.647107581062478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>
        <f>BY114*VLOOKUP('Données projet'!$B$12,Paramètres!$A$1:$I$89,3,0)*VLOOKUP('Données projet'!$B$12,Paramètres!$A$1:$I$89,5,0)</f>
        <v>0</v>
      </c>
      <c r="CA114" s="13" t="e">
        <f t="shared" si="93"/>
        <v>#NUM!</v>
      </c>
      <c r="CB114" s="20" t="e">
        <f t="shared" si="64"/>
        <v>#NUM!</v>
      </c>
      <c r="CC114" s="59" t="e">
        <f t="shared" si="65"/>
        <v>#NUM!</v>
      </c>
      <c r="CD114" s="59">
        <f ca="1">AVERAGE(OFFSET($CC$3,0,0,'Données projet'!$E$12+1,1))-AVERAGE(OFFSET($H$3,0,0,'Données projet'!$E$12+1,1))</f>
        <v>439.15394290667945</v>
      </c>
      <c r="CE114" s="59">
        <f t="shared" si="94"/>
        <v>423.56554025351068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27.301053010370183</v>
      </c>
      <c r="CL114" s="21">
        <f>EXP(-LN(2)/25)*CL113+(1-EXP(-LN(2)/25))/(LN(2)/25)*Calculateur!CG114*Calculateur!CI114*VLOOKUP('Données projet'!$B$12,Paramètres!$A$1:$I$89,3,0)*0.475*44/12</f>
        <v>21.085961266132976</v>
      </c>
      <c r="CM114" s="21">
        <f>EXP(-LN(2)/2)*CM113+(1-EXP(-LN(2)/2))/(LN(2)/2)*CG114*CJ114*VLOOKUP('Données projet'!$B$12,Paramètres!$A$1:$I$89,3,0)*0.475*44/12</f>
        <v>1.6111192353908132E-3</v>
      </c>
      <c r="CN114" s="22">
        <f t="shared" si="66"/>
        <v>48.388625395738551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>
        <f>CT114*VLOOKUP('Données projet'!$B$13,Paramètres!$A$1:$I$89,3,0)*VLOOKUP('Données projet'!$B$13,Paramètres!$A$1:$I$89,5,0)</f>
        <v>0</v>
      </c>
      <c r="CV114" s="13" t="e">
        <f t="shared" si="95"/>
        <v>#NUM!</v>
      </c>
      <c r="CW114" s="20" t="e">
        <f t="shared" si="67"/>
        <v>#NUM!</v>
      </c>
      <c r="CX114" s="59" t="e">
        <f t="shared" si="68"/>
        <v>#NUM!</v>
      </c>
      <c r="CY114" s="59">
        <f ca="1">AVERAGE(OFFSET($CX$3,0,0,'Données projet'!$E$13+1,1))-AVERAGE(OFFSET($H$3,0,0,'Données projet'!$E$13+1,1))</f>
        <v>408.246209980743</v>
      </c>
      <c r="CZ114" s="59">
        <f t="shared" si="96"/>
        <v>394.10236303013903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>
        <f>EXP(-LN(2)/35)*DF113+(1-EXP(-LN(2)/35))/(LN(2)/35)*DB114*DC114*VLOOKUP('Données projet'!$B$13,Paramètres!$A$1:$I$89,3,0)*0.475*44/12</f>
        <v>30.891927310247354</v>
      </c>
      <c r="DG114" s="21">
        <f>EXP(-LN(2)/25)*DG113+(1-EXP(-LN(2)/25))/(LN(2)/25)*Calculateur!DB114*Calculateur!DD114*VLOOKUP('Données projet'!$B$13,Paramètres!$A$1:$I$89,3,0)*0.475*44/12</f>
        <v>23.859372107465759</v>
      </c>
      <c r="DH114" s="21">
        <f>EXP(-LN(2)/2)*DH113+(1-EXP(-LN(2)/2))/(LN(2)/2)*DB114*DE114*VLOOKUP('Données projet'!$B$13,Paramètres!$A$1:$I$89,3,0)*0.475*44/12</f>
        <v>1.4790602816702552E-3</v>
      </c>
      <c r="DI114" s="22">
        <f t="shared" si="69"/>
        <v>54.752778477994781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>
        <f>DO114*VLOOKUP('Données projet'!$B$14,Paramètres!$A$1:$I$89,3,0)*VLOOKUP('Données projet'!$B$14,Paramètres!$A$1:$I$89,5,0)</f>
        <v>0</v>
      </c>
      <c r="DQ114" s="13" t="e">
        <f t="shared" si="97"/>
        <v>#NUM!</v>
      </c>
      <c r="DR114" s="20" t="e">
        <f t="shared" si="70"/>
        <v>#NUM!</v>
      </c>
      <c r="DS114" s="59" t="e">
        <f t="shared" si="71"/>
        <v>#NUM!</v>
      </c>
      <c r="DT114" s="59">
        <f ca="1">AVERAGE(OFFSET($DS$3,0,0,'Données projet'!$E$14+1,1))-AVERAGE(OFFSET($H$3,0,0,'Données projet'!$E$14+1,1))</f>
        <v>371.07993287480366</v>
      </c>
      <c r="DU114" s="59">
        <f t="shared" si="98"/>
        <v>358.67120540290637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>
        <f>EXP(-LN(2)/35)*EA113+(1-EXP(-LN(2)/35))/(LN(2)/35)*DW114*DX114*VLOOKUP('Données projet'!$B$14,Paramètres!$A$1:$I$89,3,0)*0.475*44/12</f>
        <v>22.377912303582125</v>
      </c>
      <c r="EB114" s="21">
        <f>EXP(-LN(2)/25)*EB113+(1-EXP(-LN(2)/25))/(LN(2)/25)*Calculateur!DW114*Calculateur!DY114*VLOOKUP('Données projet'!$B$14,Paramètres!$A$1:$I$89,3,0)*0.475*44/12</f>
        <v>17.283574808305712</v>
      </c>
      <c r="EC114" s="21">
        <f>EXP(-LN(2)/2)*EC113+(1-EXP(-LN(2)/2))/(LN(2)/2)*DW114*DZ114*VLOOKUP('Données projet'!$B$14,Paramètres!$A$1:$I$89,3,0)*0.475*44/12</f>
        <v>1.3205895372055874E-3</v>
      </c>
      <c r="ED114" s="22">
        <f t="shared" si="72"/>
        <v>39.662807701425045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45">
      <c r="A115" s="10">
        <f t="shared" si="85"/>
        <v>112</v>
      </c>
      <c r="B115" s="73">
        <f>'Scénario référence'!$B$16*5+'Scénario référence'!$B$17*0+'Scénario référence'!$B$18*5</f>
        <v>5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1">
        <f t="shared" si="86"/>
        <v>0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18.333333333333332</v>
      </c>
      <c r="H115" s="67">
        <f t="shared" si="56"/>
        <v>183.33333333333334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8.8449999999999989</v>
      </c>
      <c r="N115" s="13">
        <f>IF('Données projet'!$A$36&gt;35,N114+M115-V114,IF(A115&lt;'Données projet'!$A$36,$K$205^A115,IF(A115='Données projet'!$A$36,'Données projet'!$B$36,N114+M115-V114)))</f>
        <v>406.87000000000069</v>
      </c>
      <c r="O115" s="13">
        <f>N115*VLOOKUP('Données projet'!$B$9,Paramètres!$A$1:$I$89,3,0)*VLOOKUP('Données projet'!$B$9,Paramètres!$A$1:$I$89,5,0)</f>
        <v>368.1359760000006</v>
      </c>
      <c r="P115" s="13">
        <f t="shared" si="87"/>
        <v>85.285846455183602</v>
      </c>
      <c r="Q115" s="20">
        <f t="shared" si="107"/>
        <v>789.70967410944593</v>
      </c>
      <c r="R115" s="59">
        <f t="shared" si="55"/>
        <v>1070.1309855250167</v>
      </c>
      <c r="S115" s="59">
        <f ca="1">AVERAGE(OFFSET($R$3,0,0,'Données projet'!$E$9+1,1))-AVERAGE(OFFSET($H$3,0,0,'Données projet'!$E$9+1,1))</f>
        <v>681.47578137804555</v>
      </c>
      <c r="T115" s="59">
        <f t="shared" si="88"/>
        <v>300.88511065995885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28.246236560289695</v>
      </c>
      <c r="AA115" s="21">
        <f>EXP(-LN(2)/25)*AA114+(1-EXP(-LN(2)/25))/(LN(2)/25)*Calculateur!V115*Calculateur!X115*VLOOKUP('Données projet'!$B$9,Paramètres!$A$1:$I$89,3,0)*0.475*44/12</f>
        <v>21.648412756312148</v>
      </c>
      <c r="AB115" s="21">
        <f>EXP(-LN(2)/2)*AB114+(1-EXP(-LN(2)/2))/(LN(2)/2)*V115*Y115*VLOOKUP('Données projet'!$B$9,Paramètres!$A$1:$I$89,3,0)*0.475*44/12</f>
        <v>0.3642190873920777</v>
      </c>
      <c r="AC115" s="22">
        <f t="shared" si="57"/>
        <v>50.258868403993922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3.4106051316484809E-13</v>
      </c>
      <c r="AJ115" s="13">
        <f>AI115*VLOOKUP('Données projet'!$B$10,Paramètres!$A$1:$I$89,3,0)*VLOOKUP('Données projet'!$B$10,Paramètres!$A$1:$I$89,5,0)</f>
        <v>1.5961632016114892E-13</v>
      </c>
      <c r="AK115" s="13">
        <f t="shared" si="89"/>
        <v>2.2708641912150958E-12</v>
      </c>
      <c r="AL115" s="20">
        <f t="shared" si="58"/>
        <v>4.2330868906469593E-12</v>
      </c>
      <c r="AM115" s="59">
        <f t="shared" si="59"/>
        <v>280.42131141557508</v>
      </c>
      <c r="AN115" s="59">
        <f ca="1">AVERAGE(OFFSET($AM$3,0,0,'Données projet'!$E$10+1,1))-AVERAGE(OFFSET($H$3,0,0,'Données projet'!$E$10+1,1))</f>
        <v>325.45940224919184</v>
      </c>
      <c r="AO115" s="59">
        <f t="shared" si="90"/>
        <v>256.30046621034876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123.65156700907751</v>
      </c>
      <c r="AV115" s="21">
        <f>EXP(-LN(2)/25)*AV114+(1-EXP(-LN(2)/25))/(LN(2)/25)*Calculateur!AQ115*Calculateur!AS115*VLOOKUP('Données projet'!$B$10,Paramètres!$A$1:$I$89,3,0)*0.475*44/12</f>
        <v>38.540604952256011</v>
      </c>
      <c r="AW115" s="21">
        <f>EXP(-LN(2)/2)*AW114+(1-EXP(-LN(2)/2))/(LN(2)/2)*AQ115*AT115*VLOOKUP('Données projet'!$B$10,Paramètres!$A$1:$I$89,3,0)*0.475*44/12</f>
        <v>11.13265346076688</v>
      </c>
      <c r="AX115" s="21">
        <f t="shared" si="60"/>
        <v>173.32482542210039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6.8811111111111085</v>
      </c>
      <c r="BD115" s="12">
        <f>IF('Données projet'!$A$88&gt;35,BD114+BC115-BL114,IF(A115&lt;'Données projet'!$A$88,$BA$205^A115,IF(A115='Données projet'!$A$88,'Données projet'!$B$88,BD114+BC115-BL114)))</f>
        <v>287.01888888888874</v>
      </c>
      <c r="BE115" s="13">
        <f>BD115*VLOOKUP('Données projet'!$B$11,Paramètres!$A$1:$I$89,3,0)*VLOOKUP('Données projet'!$B$11,Paramètres!$A$1:$I$89,5,0)</f>
        <v>291.03715333333321</v>
      </c>
      <c r="BF115" s="13">
        <f t="shared" si="91"/>
        <v>69.294202523257042</v>
      </c>
      <c r="BG115" s="20">
        <f t="shared" si="61"/>
        <v>627.57711145022802</v>
      </c>
      <c r="BH115" s="59">
        <f t="shared" si="62"/>
        <v>907.99842286579883</v>
      </c>
      <c r="BI115" s="59">
        <f ca="1">AVERAGE(OFFSET($BH$3,0,0,'Données projet'!$E$11+1,1))-AVERAGE(OFFSET($H$3,0,0,'Données projet'!$E$11+1,1))</f>
        <v>580.02848304986492</v>
      </c>
      <c r="BJ115" s="59">
        <f t="shared" si="92"/>
        <v>281.68891895586728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14.541508233063986</v>
      </c>
      <c r="BQ115" s="21">
        <f>EXP(-LN(2)/25)*BQ114+(1-EXP(-LN(2)/25))/(LN(2)/25)*Calculateur!BL115*Calculateur!BN115*VLOOKUP('Données projet'!$B$11,Paramètres!$A$1:$I$89,3,0)*0.475*44/12</f>
        <v>23.79611742364191</v>
      </c>
      <c r="BR115" s="21">
        <f>EXP(-LN(2)/2)*BR114+(1-EXP(-LN(2)/2))/(LN(2)/2)*BL115*BO115*VLOOKUP('Données projet'!$B$11,Paramètres!$A$1:$I$89,3,0)*0.475*44/12</f>
        <v>0.24722463795448482</v>
      </c>
      <c r="BS115" s="22">
        <f t="shared" si="63"/>
        <v>38.584850294660377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>
        <f>BY115*VLOOKUP('Données projet'!$B$12,Paramètres!$A$1:$I$89,3,0)*VLOOKUP('Données projet'!$B$12,Paramètres!$A$1:$I$89,5,0)</f>
        <v>0</v>
      </c>
      <c r="CA115" s="13" t="e">
        <f t="shared" si="93"/>
        <v>#NUM!</v>
      </c>
      <c r="CB115" s="20" t="e">
        <f t="shared" si="64"/>
        <v>#NUM!</v>
      </c>
      <c r="CC115" s="59" t="e">
        <f t="shared" si="65"/>
        <v>#NUM!</v>
      </c>
      <c r="CD115" s="59">
        <f ca="1">AVERAGE(OFFSET($CC$3,0,0,'Données projet'!$E$12+1,1))-AVERAGE(OFFSET($H$3,0,0,'Données projet'!$E$12+1,1))</f>
        <v>439.15394290667945</v>
      </c>
      <c r="CE115" s="59">
        <f t="shared" si="94"/>
        <v>423.56554025351068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26.765696012834912</v>
      </c>
      <c r="CL115" s="21">
        <f>EXP(-LN(2)/25)*CL114+(1-EXP(-LN(2)/25))/(LN(2)/25)*Calculateur!CG115*Calculateur!CI115*VLOOKUP('Données projet'!$B$12,Paramètres!$A$1:$I$89,3,0)*0.475*44/12</f>
        <v>20.509364546448058</v>
      </c>
      <c r="CM115" s="21">
        <f>EXP(-LN(2)/2)*CM114+(1-EXP(-LN(2)/2))/(LN(2)/2)*CG115*CJ115*VLOOKUP('Données projet'!$B$12,Paramètres!$A$1:$I$89,3,0)*0.475*44/12</f>
        <v>1.1392333366449295E-3</v>
      </c>
      <c r="CN115" s="22">
        <f t="shared" si="66"/>
        <v>47.276199792619614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>
        <f>CT115*VLOOKUP('Données projet'!$B$13,Paramètres!$A$1:$I$89,3,0)*VLOOKUP('Données projet'!$B$13,Paramètres!$A$1:$I$89,5,0)</f>
        <v>0</v>
      </c>
      <c r="CV115" s="13" t="e">
        <f t="shared" si="95"/>
        <v>#NUM!</v>
      </c>
      <c r="CW115" s="20" t="e">
        <f t="shared" si="67"/>
        <v>#NUM!</v>
      </c>
      <c r="CX115" s="59" t="e">
        <f t="shared" si="68"/>
        <v>#NUM!</v>
      </c>
      <c r="CY115" s="59">
        <f ca="1">AVERAGE(OFFSET($CX$3,0,0,'Données projet'!$E$13+1,1))-AVERAGE(OFFSET($H$3,0,0,'Données projet'!$E$13+1,1))</f>
        <v>408.246209980743</v>
      </c>
      <c r="CZ115" s="59">
        <f t="shared" si="96"/>
        <v>394.10236303013903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>
        <f>EXP(-LN(2)/35)*DF114+(1-EXP(-LN(2)/35))/(LN(2)/35)*DB115*DC115*VLOOKUP('Données projet'!$B$13,Paramètres!$A$1:$I$89,3,0)*0.475*44/12</f>
        <v>30.286155457908549</v>
      </c>
      <c r="DG115" s="21">
        <f>EXP(-LN(2)/25)*DG114+(1-EXP(-LN(2)/25))/(LN(2)/25)*Calculateur!DB115*Calculateur!DD115*VLOOKUP('Données projet'!$B$13,Paramètres!$A$1:$I$89,3,0)*0.475*44/12</f>
        <v>23.206936322477262</v>
      </c>
      <c r="DH115" s="21">
        <f>EXP(-LN(2)/2)*DH114+(1-EXP(-LN(2)/2))/(LN(2)/2)*DB115*DE115*VLOOKUP('Données projet'!$B$13,Paramètres!$A$1:$I$89,3,0)*0.475*44/12</f>
        <v>1.0458535549527225E-3</v>
      </c>
      <c r="DI115" s="22">
        <f t="shared" si="69"/>
        <v>53.494137633940767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>
        <f>DO115*VLOOKUP('Données projet'!$B$14,Paramètres!$A$1:$I$89,3,0)*VLOOKUP('Données projet'!$B$14,Paramètres!$A$1:$I$89,5,0)</f>
        <v>0</v>
      </c>
      <c r="DQ115" s="13" t="e">
        <f t="shared" si="97"/>
        <v>#NUM!</v>
      </c>
      <c r="DR115" s="20" t="e">
        <f t="shared" si="70"/>
        <v>#NUM!</v>
      </c>
      <c r="DS115" s="59" t="e">
        <f t="shared" si="71"/>
        <v>#NUM!</v>
      </c>
      <c r="DT115" s="59">
        <f ca="1">AVERAGE(OFFSET($DS$3,0,0,'Données projet'!$E$14+1,1))-AVERAGE(OFFSET($H$3,0,0,'Données projet'!$E$14+1,1))</f>
        <v>371.07993287480366</v>
      </c>
      <c r="DU115" s="59">
        <f t="shared" si="98"/>
        <v>358.67120540290637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>
        <f>EXP(-LN(2)/35)*EA114+(1-EXP(-LN(2)/35))/(LN(2)/35)*DW115*DX115*VLOOKUP('Données projet'!$B$14,Paramètres!$A$1:$I$89,3,0)*0.475*44/12</f>
        <v>21.939095092487641</v>
      </c>
      <c r="EB115" s="21">
        <f>EXP(-LN(2)/25)*EB114+(1-EXP(-LN(2)/25))/(LN(2)/25)*Calculateur!DW115*Calculateur!DY115*VLOOKUP('Données projet'!$B$14,Paramètres!$A$1:$I$89,3,0)*0.475*44/12</f>
        <v>16.810954546268896</v>
      </c>
      <c r="EC115" s="21">
        <f>EXP(-LN(2)/2)*EC114+(1-EXP(-LN(2)/2))/(LN(2)/2)*DW115*DZ115*VLOOKUP('Données projet'!$B$14,Paramètres!$A$1:$I$89,3,0)*0.475*44/12</f>
        <v>9.3379781692207533E-4</v>
      </c>
      <c r="ED115" s="22">
        <f t="shared" si="72"/>
        <v>38.750983436573456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45">
      <c r="A116" s="10">
        <f t="shared" si="85"/>
        <v>113</v>
      </c>
      <c r="B116" s="73">
        <f>'Scénario référence'!$B$16*5+'Scénario référence'!$B$17*0+'Scénario référence'!$B$18*5</f>
        <v>5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1">
        <f t="shared" si="86"/>
        <v>0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18.333333333333332</v>
      </c>
      <c r="H116" s="67">
        <f t="shared" si="56"/>
        <v>183.33333333333334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8.8449999999999989</v>
      </c>
      <c r="N116" s="13">
        <f>IF('Données projet'!$A$36&gt;35,N115+M116-V115,IF(A116&lt;'Données projet'!$A$36,$K$205^A116,IF(A116='Données projet'!$A$36,'Données projet'!$B$36,N115+M116-V115)))</f>
        <v>415.71500000000071</v>
      </c>
      <c r="O116" s="13">
        <f>N116*VLOOKUP('Données projet'!$B$9,Paramètres!$A$1:$I$89,3,0)*VLOOKUP('Données projet'!$B$9,Paramètres!$A$1:$I$89,5,0)</f>
        <v>376.13893200000064</v>
      </c>
      <c r="P116" s="13">
        <f t="shared" si="87"/>
        <v>86.922020183945492</v>
      </c>
      <c r="Q116" s="20">
        <f t="shared" si="107"/>
        <v>806.49782505370615</v>
      </c>
      <c r="R116" s="59">
        <f t="shared" si="55"/>
        <v>1087.1431311825938</v>
      </c>
      <c r="S116" s="59">
        <f ca="1">AVERAGE(OFFSET($R$3,0,0,'Données projet'!$E$9+1,1))-AVERAGE(OFFSET($H$3,0,0,'Données projet'!$E$9+1,1))</f>
        <v>681.47578137804555</v>
      </c>
      <c r="T116" s="59">
        <f t="shared" si="88"/>
        <v>300.88511065995885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27.692345089845542</v>
      </c>
      <c r="AA116" s="21">
        <f>EXP(-LN(2)/25)*AA115+(1-EXP(-LN(2)/25))/(LN(2)/25)*Calculateur!V116*Calculateur!X116*VLOOKUP('Données projet'!$B$9,Paramètres!$A$1:$I$89,3,0)*0.475*44/12</f>
        <v>21.056435771050243</v>
      </c>
      <c r="AB116" s="21">
        <f>EXP(-LN(2)/2)*AB115+(1-EXP(-LN(2)/2))/(LN(2)/2)*V116*Y116*VLOOKUP('Données projet'!$B$9,Paramètres!$A$1:$I$89,3,0)*0.475*44/12</f>
        <v>0.25754178653251392</v>
      </c>
      <c r="AC116" s="22">
        <f t="shared" si="57"/>
        <v>49.006322647428298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3.4106051316484809E-13</v>
      </c>
      <c r="AJ116" s="13">
        <f>AI116*VLOOKUP('Données projet'!$B$10,Paramètres!$A$1:$I$89,3,0)*VLOOKUP('Données projet'!$B$10,Paramètres!$A$1:$I$89,5,0)</f>
        <v>1.5961632016114892E-13</v>
      </c>
      <c r="AK116" s="13">
        <f t="shared" si="89"/>
        <v>2.2708641912150958E-12</v>
      </c>
      <c r="AL116" s="20">
        <f t="shared" si="58"/>
        <v>4.2330868906469593E-12</v>
      </c>
      <c r="AM116" s="59">
        <f t="shared" si="59"/>
        <v>280.64530612889183</v>
      </c>
      <c r="AN116" s="59">
        <f ca="1">AVERAGE(OFFSET($AM$3,0,0,'Données projet'!$E$10+1,1))-AVERAGE(OFFSET($H$3,0,0,'Données projet'!$E$10+1,1))</f>
        <v>325.45940224919184</v>
      </c>
      <c r="AO116" s="59">
        <f t="shared" si="90"/>
        <v>256.30046621034876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121.22683520003827</v>
      </c>
      <c r="AV116" s="21">
        <f>EXP(-LN(2)/25)*AV115+(1-EXP(-LN(2)/25))/(LN(2)/25)*Calculateur!AQ116*Calculateur!AS116*VLOOKUP('Données projet'!$B$10,Paramètres!$A$1:$I$89,3,0)*0.475*44/12</f>
        <v>37.486710083074243</v>
      </c>
      <c r="AW116" s="21">
        <f>EXP(-LN(2)/2)*AW115+(1-EXP(-LN(2)/2))/(LN(2)/2)*AQ116*AT116*VLOOKUP('Données projet'!$B$10,Paramètres!$A$1:$I$89,3,0)*0.475*44/12</f>
        <v>7.8719747547081482</v>
      </c>
      <c r="AX116" s="21">
        <f t="shared" si="60"/>
        <v>166.58552003782069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>
        <f>VLOOKUP(A116,'Données projet'!$A$87:$I$107,2,0)</f>
        <v>293.89999999999998</v>
      </c>
      <c r="BB116" s="12">
        <f>VLOOKUP(A116,'Données projet'!$A$87:$I$107,9,0)</f>
        <v>6.8811111111111085</v>
      </c>
      <c r="BC116" s="12">
        <f t="array" ref="BC116">INDEX(BB:BB,MIN(IF(ISNUMBER(BB116:BB312),ROW(BB116:BB312),"")))</f>
        <v>6.8811111111111085</v>
      </c>
      <c r="BD116" s="12">
        <f>IF('Données projet'!$A$88&gt;35,BD115+BC116-BL115,IF(A116&lt;'Données projet'!$A$88,$BA$205^A116,IF(A116='Données projet'!$A$88,'Données projet'!$B$88,BD115+BC116-BL115)))</f>
        <v>293.89999999999986</v>
      </c>
      <c r="BE116" s="13">
        <f>BD116*VLOOKUP('Données projet'!$B$11,Paramètres!$A$1:$I$89,3,0)*VLOOKUP('Données projet'!$B$11,Paramètres!$A$1:$I$89,5,0)</f>
        <v>298.01459999999986</v>
      </c>
      <c r="BF116" s="13">
        <f t="shared" si="91"/>
        <v>70.760086666473185</v>
      </c>
      <c r="BG116" s="20">
        <f t="shared" si="61"/>
        <v>642.2825792774405</v>
      </c>
      <c r="BH116" s="59">
        <f t="shared" si="62"/>
        <v>922.92788540632819</v>
      </c>
      <c r="BI116" s="59">
        <f ca="1">AVERAGE(OFFSET($BH$3,0,0,'Données projet'!$E$11+1,1))-AVERAGE(OFFSET($H$3,0,0,'Données projet'!$E$11+1,1))</f>
        <v>580.02848304986492</v>
      </c>
      <c r="BJ116" s="59">
        <f t="shared" si="92"/>
        <v>281.68891895586728</v>
      </c>
      <c r="BK116" s="15">
        <f>IF(ISNA(VLOOKUP(A116,'Données projet'!$A$87:$I$107,3,0)),0,VLOOKUP(A116,'Données projet'!$A$87:$I$107,3,0))</f>
        <v>7</v>
      </c>
      <c r="BL116" s="15">
        <f>IF(ISNA(VLOOKUP(A116,'Données projet'!$A$87:$I$107,4,0)),0,VLOOKUP(A116,'Données projet'!$A$87:$I$107,4,0))</f>
        <v>41.639999999999986</v>
      </c>
      <c r="BM116" s="16">
        <f>IF(ISNA(VLOOKUP(A116,'Données projet'!$A$87:$I$107,5,0)),0%,VLOOKUP(A116,'Données projet'!$A$87:$I$107,5,0)*VLOOKUP('Données projet'!$B$11,Paramètres!$A$1:$I$89,7,0))</f>
        <v>0.15049999999999999</v>
      </c>
      <c r="BN116" s="16">
        <f>IF(ISNA(VLOOKUP(A116,'Données projet'!$A$87:$I$107,6,0)),0%,VLOOKUP(A116,'Données projet'!$A$87:$I$107,6,0)*VLOOKUP('Données projet'!$B$11,Paramètres!$A$1:$I$89,7,0))</f>
        <v>8.6000000000000007E-2</v>
      </c>
      <c r="BO116" s="16">
        <f>IF(ISNA(VLOOKUP(A116,'Données projet'!$A$87:$I$107,7,0)),0%,VLOOKUP(A116,'Données projet'!$A$87:$I$107,7,0))</f>
        <v>0.1</v>
      </c>
      <c r="BP116" s="21">
        <f>EXP(-LN(2)/35)*BP115+(1-EXP(-LN(2)/35))/(LN(2)/35)*BL116*BM116*VLOOKUP('Données projet'!$B$11,Paramètres!$A$1:$I$89,3,0)*0.475*44/12</f>
        <v>21.281130984296624</v>
      </c>
      <c r="BQ116" s="21">
        <f>EXP(-LN(2)/25)*BQ115+(1-EXP(-LN(2)/25))/(LN(2)/25)*Calculateur!BL116*Calculateur!BN116*VLOOKUP('Données projet'!$B$11,Paramètres!$A$1:$I$89,3,0)*0.475*44/12</f>
        <v>27.143761998936192</v>
      </c>
      <c r="BR116" s="21">
        <f>EXP(-LN(2)/2)*BR115+(1-EXP(-LN(2)/2))/(LN(2)/2)*BL116*BO116*VLOOKUP('Données projet'!$B$11,Paramètres!$A$1:$I$89,3,0)*0.475*44/12</f>
        <v>4.1586641354046767</v>
      </c>
      <c r="BS116" s="22">
        <f t="shared" si="63"/>
        <v>52.583557118637493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>
        <f>BY116*VLOOKUP('Données projet'!$B$12,Paramètres!$A$1:$I$89,3,0)*VLOOKUP('Données projet'!$B$12,Paramètres!$A$1:$I$89,5,0)</f>
        <v>0</v>
      </c>
      <c r="CA116" s="13" t="e">
        <f t="shared" si="93"/>
        <v>#NUM!</v>
      </c>
      <c r="CB116" s="20" t="e">
        <f t="shared" si="64"/>
        <v>#NUM!</v>
      </c>
      <c r="CC116" s="59" t="e">
        <f t="shared" si="65"/>
        <v>#NUM!</v>
      </c>
      <c r="CD116" s="59">
        <f ca="1">AVERAGE(OFFSET($CC$3,0,0,'Données projet'!$E$12+1,1))-AVERAGE(OFFSET($H$3,0,0,'Données projet'!$E$12+1,1))</f>
        <v>439.15394290667945</v>
      </c>
      <c r="CE116" s="59">
        <f t="shared" si="94"/>
        <v>423.56554025351068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26.240837039485783</v>
      </c>
      <c r="CL116" s="21">
        <f>EXP(-LN(2)/25)*CL115+(1-EXP(-LN(2)/25))/(LN(2)/25)*Calculateur!CG116*Calculateur!CI116*VLOOKUP('Données projet'!$B$12,Paramètres!$A$1:$I$89,3,0)*0.475*44/12</f>
        <v>19.948534894384828</v>
      </c>
      <c r="CM116" s="21">
        <f>EXP(-LN(2)/2)*CM115+(1-EXP(-LN(2)/2))/(LN(2)/2)*CG116*CJ116*VLOOKUP('Données projet'!$B$12,Paramètres!$A$1:$I$89,3,0)*0.475*44/12</f>
        <v>8.0555961769540661E-4</v>
      </c>
      <c r="CN116" s="22">
        <f t="shared" si="66"/>
        <v>46.190177493488306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>
        <f>CT116*VLOOKUP('Données projet'!$B$13,Paramètres!$A$1:$I$89,3,0)*VLOOKUP('Données projet'!$B$13,Paramètres!$A$1:$I$89,5,0)</f>
        <v>0</v>
      </c>
      <c r="CV116" s="13" t="e">
        <f t="shared" si="95"/>
        <v>#NUM!</v>
      </c>
      <c r="CW116" s="20" t="e">
        <f t="shared" si="67"/>
        <v>#NUM!</v>
      </c>
      <c r="CX116" s="59" t="e">
        <f t="shared" si="68"/>
        <v>#NUM!</v>
      </c>
      <c r="CY116" s="59">
        <f ca="1">AVERAGE(OFFSET($CX$3,0,0,'Données projet'!$E$13+1,1))-AVERAGE(OFFSET($H$3,0,0,'Données projet'!$E$13+1,1))</f>
        <v>408.246209980743</v>
      </c>
      <c r="CZ116" s="59">
        <f t="shared" si="96"/>
        <v>394.10236303013903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>
        <f>EXP(-LN(2)/35)*DF115+(1-EXP(-LN(2)/35))/(LN(2)/35)*DB116*DC116*VLOOKUP('Données projet'!$B$13,Paramètres!$A$1:$I$89,3,0)*0.475*44/12</f>
        <v>29.69226242210976</v>
      </c>
      <c r="DG116" s="21">
        <f>EXP(-LN(2)/25)*DG115+(1-EXP(-LN(2)/25))/(LN(2)/25)*Calculateur!DB116*Calculateur!DD116*VLOOKUP('Données projet'!$B$13,Paramètres!$A$1:$I$89,3,0)*0.475*44/12</f>
        <v>22.572341428339382</v>
      </c>
      <c r="DH116" s="21">
        <f>EXP(-LN(2)/2)*DH115+(1-EXP(-LN(2)/2))/(LN(2)/2)*DB116*DE116*VLOOKUP('Données projet'!$B$13,Paramètres!$A$1:$I$89,3,0)*0.475*44/12</f>
        <v>7.3953014083512759E-4</v>
      </c>
      <c r="DI116" s="22">
        <f t="shared" si="69"/>
        <v>52.265343380589975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>
        <f>DO116*VLOOKUP('Données projet'!$B$14,Paramètres!$A$1:$I$89,3,0)*VLOOKUP('Données projet'!$B$14,Paramètres!$A$1:$I$89,5,0)</f>
        <v>0</v>
      </c>
      <c r="DQ116" s="13" t="e">
        <f t="shared" si="97"/>
        <v>#NUM!</v>
      </c>
      <c r="DR116" s="20" t="e">
        <f t="shared" si="70"/>
        <v>#NUM!</v>
      </c>
      <c r="DS116" s="59" t="e">
        <f t="shared" si="71"/>
        <v>#NUM!</v>
      </c>
      <c r="DT116" s="59">
        <f ca="1">AVERAGE(OFFSET($DS$3,0,0,'Données projet'!$E$14+1,1))-AVERAGE(OFFSET($H$3,0,0,'Données projet'!$E$14+1,1))</f>
        <v>371.07993287480366</v>
      </c>
      <c r="DU116" s="59">
        <f t="shared" si="98"/>
        <v>358.67120540290637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>
        <f>EXP(-LN(2)/35)*EA115+(1-EXP(-LN(2)/35))/(LN(2)/35)*DW116*DX116*VLOOKUP('Données projet'!$B$14,Paramètres!$A$1:$I$89,3,0)*0.475*44/12</f>
        <v>21.508882819250648</v>
      </c>
      <c r="EB116" s="21">
        <f>EXP(-LN(2)/25)*EB115+(1-EXP(-LN(2)/25))/(LN(2)/25)*Calculateur!DW116*Calculateur!DY116*VLOOKUP('Données projet'!$B$14,Paramètres!$A$1:$I$89,3,0)*0.475*44/12</f>
        <v>16.351258110151495</v>
      </c>
      <c r="EC116" s="21">
        <f>EXP(-LN(2)/2)*EC115+(1-EXP(-LN(2)/2))/(LN(2)/2)*DW116*DZ116*VLOOKUP('Données projet'!$B$14,Paramètres!$A$1:$I$89,3,0)*0.475*44/12</f>
        <v>6.6029476860279368E-4</v>
      </c>
      <c r="ED116" s="22">
        <f t="shared" si="72"/>
        <v>37.860801224170743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45">
      <c r="A117" s="10">
        <f t="shared" si="85"/>
        <v>114</v>
      </c>
      <c r="B117" s="73">
        <f>'Scénario référence'!$B$16*5+'Scénario référence'!$B$17*0+'Scénario référence'!$B$18*5</f>
        <v>5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1">
        <f t="shared" si="86"/>
        <v>0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18.333333333333332</v>
      </c>
      <c r="H117" s="67">
        <f t="shared" si="56"/>
        <v>183.33333333333334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>
        <f>VLOOKUP(A117,'Données projet'!$A$35:$I$55,2,0)</f>
        <v>424.56</v>
      </c>
      <c r="L117" s="12">
        <f>VLOOKUP(A117,'Données projet'!$A$35:$I$55,9,0)</f>
        <v>8.8449999999999989</v>
      </c>
      <c r="M117" s="12">
        <f t="array" ref="M117">INDEX(L:L,MIN(IF(ISNUMBER(L117:L313),ROW(L117:L313),"")))</f>
        <v>8.8449999999999989</v>
      </c>
      <c r="N117" s="13">
        <f>IF('Données projet'!$A$36&gt;35,N116+M117-V116,IF(A117&lt;'Données projet'!$A$36,$K$205^A117,IF(A117='Données projet'!$A$36,'Données projet'!$B$36,N116+M117-V116)))</f>
        <v>424.56000000000074</v>
      </c>
      <c r="O117" s="13">
        <f>N117*VLOOKUP('Données projet'!$B$9,Paramètres!$A$1:$I$89,3,0)*VLOOKUP('Données projet'!$B$9,Paramètres!$A$1:$I$89,5,0)</f>
        <v>384.14188800000068</v>
      </c>
      <c r="P117" s="13">
        <f t="shared" si="87"/>
        <v>88.554146462646884</v>
      </c>
      <c r="Q117" s="20">
        <f t="shared" si="107"/>
        <v>823.27892668911102</v>
      </c>
      <c r="R117" s="59">
        <f t="shared" si="55"/>
        <v>1104.1443417238165</v>
      </c>
      <c r="S117" s="59">
        <f ca="1">AVERAGE(OFFSET($R$3,0,0,'Données projet'!$E$9+1,1))-AVERAGE(OFFSET($H$3,0,0,'Données projet'!$E$9+1,1))</f>
        <v>681.47578137804555</v>
      </c>
      <c r="T117" s="59">
        <f t="shared" si="88"/>
        <v>300.88511065995885</v>
      </c>
      <c r="U117" s="15">
        <f>IF(ISNA(VLOOKUP(A117,'Données projet'!$A$35:$I$55,3,0)),0,VLOOKUP(A117,'Données projet'!$A$35:$I$55,3,0))</f>
        <v>9</v>
      </c>
      <c r="V117" s="15">
        <f>IF(ISNA(VLOOKUP(A117,'Données projet'!$A$35:$I$55,4,0)),0,VLOOKUP(A117,'Données projet'!$A$35:$I$55,4,0))</f>
        <v>61.860000000000014</v>
      </c>
      <c r="W117" s="16">
        <f>IF(ISNA(VLOOKUP(A117,'Données projet'!$A$35:$I$55,5,0)),0%,VLOOKUP(A117,'Données projet'!$A$35:$I$55,5,0)*VLOOKUP('Données projet'!$B$9,Paramètres!$A$1:$I$89,7,0))</f>
        <v>0.15049999999999999</v>
      </c>
      <c r="X117" s="16">
        <f>IF(ISNA(VLOOKUP(A117,'Données projet'!$A$35:$I$55,6,0)),0%,VLOOKUP(A117,'Données projet'!$A$35:$I$55,6,0)*VLOOKUP('Données projet'!$B$9,Paramètres!$A$1:$I$89,7,0))</f>
        <v>8.6000000000000007E-2</v>
      </c>
      <c r="Y117" s="16">
        <f>IF(ISNA(VLOOKUP(A117,'Données projet'!$A$35:$I$55,7,0)),0%,VLOOKUP(A117,'Données projet'!$A$35:$I$55,7,0))</f>
        <v>0.1</v>
      </c>
      <c r="Z117" s="21">
        <f>EXP(-LN(2)/35)*Z116+(1-EXP(-LN(2)/35))/(LN(2)/35)*V117*W117*VLOOKUP('Données projet'!$B$9,Paramètres!$A$1:$I$89,3,0)*0.475*44/12</f>
        <v>36.461382647651561</v>
      </c>
      <c r="AA117" s="21">
        <f>EXP(-LN(2)/25)*AA116+(1-EXP(-LN(2)/25))/(LN(2)/25)*Calculateur!V117*Calculateur!X117*VLOOKUP('Données projet'!$B$9,Paramètres!$A$1:$I$89,3,0)*0.475*44/12</f>
        <v>25.780876368276925</v>
      </c>
      <c r="AB117" s="21">
        <f>EXP(-LN(2)/2)*AB116+(1-EXP(-LN(2)/2))/(LN(2)/2)*V117*Y117*VLOOKUP('Données projet'!$B$9,Paramètres!$A$1:$I$89,3,0)*0.475*44/12</f>
        <v>5.4631172440400739</v>
      </c>
      <c r="AC117" s="22">
        <f t="shared" si="57"/>
        <v>67.70537625996856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3.4106051316484809E-13</v>
      </c>
      <c r="AJ117" s="13">
        <f>AI117*VLOOKUP('Données projet'!$B$10,Paramètres!$A$1:$I$89,3,0)*VLOOKUP('Données projet'!$B$10,Paramètres!$A$1:$I$89,5,0)</f>
        <v>1.5961632016114892E-13</v>
      </c>
      <c r="AK117" s="13">
        <f t="shared" si="89"/>
        <v>2.2708641912150958E-12</v>
      </c>
      <c r="AL117" s="20">
        <f t="shared" si="58"/>
        <v>4.2330868906469593E-12</v>
      </c>
      <c r="AM117" s="59">
        <f t="shared" si="59"/>
        <v>280.86541503470966</v>
      </c>
      <c r="AN117" s="59">
        <f ca="1">AVERAGE(OFFSET($AM$3,0,0,'Données projet'!$E$10+1,1))-AVERAGE(OFFSET($H$3,0,0,'Données projet'!$E$10+1,1))</f>
        <v>325.45940224919184</v>
      </c>
      <c r="AO117" s="59">
        <f t="shared" si="90"/>
        <v>256.30046621034876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118.84965090283391</v>
      </c>
      <c r="AV117" s="21">
        <f>EXP(-LN(2)/25)*AV116+(1-EXP(-LN(2)/25))/(LN(2)/25)*Calculateur!AQ117*Calculateur!AS117*VLOOKUP('Données projet'!$B$10,Paramètres!$A$1:$I$89,3,0)*0.475*44/12</f>
        <v>36.461634024512172</v>
      </c>
      <c r="AW117" s="21">
        <f>EXP(-LN(2)/2)*AW116+(1-EXP(-LN(2)/2))/(LN(2)/2)*AQ117*AT117*VLOOKUP('Données projet'!$B$10,Paramètres!$A$1:$I$89,3,0)*0.475*44/12</f>
        <v>5.5663267303834409</v>
      </c>
      <c r="AX117" s="21">
        <f t="shared" si="60"/>
        <v>160.87761165772955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7.0011111111111104</v>
      </c>
      <c r="BD117" s="12">
        <f>IF('Données projet'!$A$88&gt;35,BD116+BC117-BL116,IF(A117&lt;'Données projet'!$A$88,$BA$205^A117,IF(A117='Données projet'!$A$88,'Données projet'!$B$88,BD116+BC117-BL116)))</f>
        <v>259.26111111111101</v>
      </c>
      <c r="BE117" s="13">
        <f>BD117*VLOOKUP('Données projet'!$B$11,Paramètres!$A$1:$I$89,3,0)*VLOOKUP('Données projet'!$B$11,Paramètres!$A$1:$I$89,5,0)</f>
        <v>262.89076666666659</v>
      </c>
      <c r="BF117" s="13">
        <f t="shared" si="91"/>
        <v>63.338175499546331</v>
      </c>
      <c r="BG117" s="20">
        <f t="shared" si="61"/>
        <v>568.18207427282073</v>
      </c>
      <c r="BH117" s="59">
        <f t="shared" si="62"/>
        <v>849.04748930752612</v>
      </c>
      <c r="BI117" s="59">
        <f ca="1">AVERAGE(OFFSET($BH$3,0,0,'Données projet'!$E$11+1,1))-AVERAGE(OFFSET($H$3,0,0,'Données projet'!$E$11+1,1))</f>
        <v>580.02848304986492</v>
      </c>
      <c r="BJ117" s="59">
        <f t="shared" si="92"/>
        <v>281.68891895586728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20.863820985902777</v>
      </c>
      <c r="BQ117" s="21">
        <f>EXP(-LN(2)/25)*BQ116+(1-EXP(-LN(2)/25))/(LN(2)/25)*Calculateur!BL117*Calculateur!BN117*VLOOKUP('Données projet'!$B$11,Paramètres!$A$1:$I$89,3,0)*0.475*44/12</f>
        <v>26.401514399646878</v>
      </c>
      <c r="BR117" s="21">
        <f>EXP(-LN(2)/2)*BR116+(1-EXP(-LN(2)/2))/(LN(2)/2)*BL117*BO117*VLOOKUP('Données projet'!$B$11,Paramètres!$A$1:$I$89,3,0)*0.475*44/12</f>
        <v>2.9406196108219378</v>
      </c>
      <c r="BS117" s="22">
        <f t="shared" si="63"/>
        <v>50.205954996371595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>
        <f>BY117*VLOOKUP('Données projet'!$B$12,Paramètres!$A$1:$I$89,3,0)*VLOOKUP('Données projet'!$B$12,Paramètres!$A$1:$I$89,5,0)</f>
        <v>0</v>
      </c>
      <c r="CA117" s="13" t="e">
        <f t="shared" si="93"/>
        <v>#NUM!</v>
      </c>
      <c r="CB117" s="20" t="e">
        <f t="shared" si="64"/>
        <v>#NUM!</v>
      </c>
      <c r="CC117" s="59" t="e">
        <f t="shared" si="65"/>
        <v>#NUM!</v>
      </c>
      <c r="CD117" s="59">
        <f ca="1">AVERAGE(OFFSET($CC$3,0,0,'Données projet'!$E$12+1,1))-AVERAGE(OFFSET($H$3,0,0,'Données projet'!$E$12+1,1))</f>
        <v>439.15394290667945</v>
      </c>
      <c r="CE117" s="59">
        <f t="shared" si="94"/>
        <v>423.56554025351068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25.726270230471666</v>
      </c>
      <c r="CL117" s="21">
        <f>EXP(-LN(2)/25)*CL116+(1-EXP(-LN(2)/25))/(LN(2)/25)*Calculateur!CG117*Calculateur!CI117*VLOOKUP('Données projet'!$B$12,Paramètres!$A$1:$I$89,3,0)*0.475*44/12</f>
        <v>19.403041158650019</v>
      </c>
      <c r="CM117" s="21">
        <f>EXP(-LN(2)/2)*CM116+(1-EXP(-LN(2)/2))/(LN(2)/2)*CG117*CJ117*VLOOKUP('Données projet'!$B$12,Paramètres!$A$1:$I$89,3,0)*0.475*44/12</f>
        <v>5.6961666832246476E-4</v>
      </c>
      <c r="CN117" s="22">
        <f t="shared" si="66"/>
        <v>45.129881005790004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>
        <f>CT117*VLOOKUP('Données projet'!$B$13,Paramètres!$A$1:$I$89,3,0)*VLOOKUP('Données projet'!$B$13,Paramètres!$A$1:$I$89,5,0)</f>
        <v>0</v>
      </c>
      <c r="CV117" s="13" t="e">
        <f t="shared" si="95"/>
        <v>#NUM!</v>
      </c>
      <c r="CW117" s="20" t="e">
        <f t="shared" si="67"/>
        <v>#NUM!</v>
      </c>
      <c r="CX117" s="59" t="e">
        <f t="shared" si="68"/>
        <v>#NUM!</v>
      </c>
      <c r="CY117" s="59">
        <f ca="1">AVERAGE(OFFSET($CX$3,0,0,'Données projet'!$E$13+1,1))-AVERAGE(OFFSET($H$3,0,0,'Données projet'!$E$13+1,1))</f>
        <v>408.246209980743</v>
      </c>
      <c r="CZ117" s="59">
        <f t="shared" si="96"/>
        <v>394.10236303013903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>
        <f>EXP(-LN(2)/35)*DF116+(1-EXP(-LN(2)/35))/(LN(2)/35)*DB117*DC117*VLOOKUP('Données projet'!$B$13,Paramètres!$A$1:$I$89,3,0)*0.475*44/12</f>
        <v>29.110015266504004</v>
      </c>
      <c r="DG117" s="21">
        <f>EXP(-LN(2)/25)*DG116+(1-EXP(-LN(2)/25))/(LN(2)/25)*Calculateur!DB117*Calculateur!DD117*VLOOKUP('Données projet'!$B$13,Paramètres!$A$1:$I$89,3,0)*0.475*44/12</f>
        <v>21.955099564953596</v>
      </c>
      <c r="DH117" s="21">
        <f>EXP(-LN(2)/2)*DH116+(1-EXP(-LN(2)/2))/(LN(2)/2)*DB117*DE117*VLOOKUP('Données projet'!$B$13,Paramètres!$A$1:$I$89,3,0)*0.475*44/12</f>
        <v>5.2292677747636123E-4</v>
      </c>
      <c r="DI117" s="22">
        <f t="shared" si="69"/>
        <v>51.065637758235077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>
        <f>DO117*VLOOKUP('Données projet'!$B$14,Paramètres!$A$1:$I$89,3,0)*VLOOKUP('Données projet'!$B$14,Paramètres!$A$1:$I$89,5,0)</f>
        <v>0</v>
      </c>
      <c r="DQ117" s="13" t="e">
        <f t="shared" si="97"/>
        <v>#NUM!</v>
      </c>
      <c r="DR117" s="20" t="e">
        <f t="shared" si="70"/>
        <v>#NUM!</v>
      </c>
      <c r="DS117" s="59" t="e">
        <f t="shared" si="71"/>
        <v>#NUM!</v>
      </c>
      <c r="DT117" s="59">
        <f ca="1">AVERAGE(OFFSET($DS$3,0,0,'Données projet'!$E$14+1,1))-AVERAGE(OFFSET($H$3,0,0,'Données projet'!$E$14+1,1))</f>
        <v>371.07993287480366</v>
      </c>
      <c r="DU117" s="59">
        <f t="shared" si="98"/>
        <v>358.67120540290637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>
        <f>EXP(-LN(2)/35)*EA116+(1-EXP(-LN(2)/35))/(LN(2)/35)*DW117*DX117*VLOOKUP('Données projet'!$B$14,Paramètres!$A$1:$I$89,3,0)*0.475*44/12</f>
        <v>21.087106746288256</v>
      </c>
      <c r="EB117" s="21">
        <f>EXP(-LN(2)/25)*EB116+(1-EXP(-LN(2)/25))/(LN(2)/25)*Calculateur!DW117*Calculateur!DY117*VLOOKUP('Données projet'!$B$14,Paramètres!$A$1:$I$89,3,0)*0.475*44/12</f>
        <v>15.904132097254109</v>
      </c>
      <c r="EC117" s="21">
        <f>EXP(-LN(2)/2)*EC116+(1-EXP(-LN(2)/2))/(LN(2)/2)*DW117*DZ117*VLOOKUP('Données projet'!$B$14,Paramètres!$A$1:$I$89,3,0)*0.475*44/12</f>
        <v>4.6689890846103767E-4</v>
      </c>
      <c r="ED117" s="22">
        <f t="shared" si="72"/>
        <v>36.991705742450826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45">
      <c r="A118" s="10">
        <f t="shared" si="85"/>
        <v>115</v>
      </c>
      <c r="B118" s="73">
        <f>'Scénario référence'!$B$16*5+'Scénario référence'!$B$17*0+'Scénario référence'!$B$18*5</f>
        <v>5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1">
        <f t="shared" si="86"/>
        <v>0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18.333333333333332</v>
      </c>
      <c r="H118" s="67">
        <f t="shared" si="56"/>
        <v>183.33333333333334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8.9160000000000021</v>
      </c>
      <c r="N118" s="13">
        <f>IF('Données projet'!$A$36&gt;35,N117+M118-V117,IF(A118&lt;'Données projet'!$A$36,$K$205^A118,IF(A118='Données projet'!$A$36,'Données projet'!$B$36,N117+M118-V117)))</f>
        <v>371.61600000000072</v>
      </c>
      <c r="O118" s="13">
        <f>N118*VLOOKUP('Données projet'!$B$9,Paramètres!$A$1:$I$89,3,0)*VLOOKUP('Données projet'!$B$9,Paramètres!$A$1:$I$89,5,0)</f>
        <v>336.23815680000064</v>
      </c>
      <c r="P118" s="13">
        <f t="shared" si="87"/>
        <v>78.722223243612518</v>
      </c>
      <c r="Q118" s="20">
        <f t="shared" si="107"/>
        <v>722.72266190929292</v>
      </c>
      <c r="R118" s="59">
        <f t="shared" si="55"/>
        <v>1003.8043674523901</v>
      </c>
      <c r="S118" s="59">
        <f ca="1">AVERAGE(OFFSET($R$3,0,0,'Données projet'!$E$9+1,1))-AVERAGE(OFFSET($H$3,0,0,'Données projet'!$E$9+1,1))</f>
        <v>681.47578137804555</v>
      </c>
      <c r="T118" s="59">
        <f t="shared" si="88"/>
        <v>300.88511065995885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35.746397173178586</v>
      </c>
      <c r="AA118" s="21">
        <f>EXP(-LN(2)/25)*AA117+(1-EXP(-LN(2)/25))/(LN(2)/25)*Calculateur!V118*Calculateur!X118*VLOOKUP('Données projet'!$B$9,Paramètres!$A$1:$I$89,3,0)*0.475*44/12</f>
        <v>25.075896948229026</v>
      </c>
      <c r="AB118" s="21">
        <f>EXP(-LN(2)/2)*AB117+(1-EXP(-LN(2)/2))/(LN(2)/2)*V118*Y118*VLOOKUP('Données projet'!$B$9,Paramètres!$A$1:$I$89,3,0)*0.475*44/12</f>
        <v>3.8630072496778993</v>
      </c>
      <c r="AC118" s="22">
        <f t="shared" si="57"/>
        <v>64.685301371085501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3.4106051316484809E-13</v>
      </c>
      <c r="AJ118" s="13">
        <f>AI118*VLOOKUP('Données projet'!$B$10,Paramètres!$A$1:$I$89,3,0)*VLOOKUP('Données projet'!$B$10,Paramètres!$A$1:$I$89,5,0)</f>
        <v>1.5961632016114892E-13</v>
      </c>
      <c r="AK118" s="13">
        <f t="shared" si="89"/>
        <v>2.2708641912150958E-12</v>
      </c>
      <c r="AL118" s="20">
        <f t="shared" si="58"/>
        <v>4.2330868906469593E-12</v>
      </c>
      <c r="AM118" s="59">
        <f t="shared" si="59"/>
        <v>281.08170554310146</v>
      </c>
      <c r="AN118" s="59">
        <f ca="1">AVERAGE(OFFSET($AM$3,0,0,'Données projet'!$E$10+1,1))-AVERAGE(OFFSET($H$3,0,0,'Données projet'!$E$10+1,1))</f>
        <v>325.45940224919184</v>
      </c>
      <c r="AO118" s="59">
        <f t="shared" si="90"/>
        <v>256.30046621034876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116.51908173975849</v>
      </c>
      <c r="AV118" s="21">
        <f>EXP(-LN(2)/25)*AV117+(1-EXP(-LN(2)/25))/(LN(2)/25)*Calculateur!AQ118*Calculateur!AS118*VLOOKUP('Données projet'!$B$10,Paramètres!$A$1:$I$89,3,0)*0.475*44/12</f>
        <v>35.464588724677888</v>
      </c>
      <c r="AW118" s="21">
        <f>EXP(-LN(2)/2)*AW117+(1-EXP(-LN(2)/2))/(LN(2)/2)*AQ118*AT118*VLOOKUP('Données projet'!$B$10,Paramètres!$A$1:$I$89,3,0)*0.475*44/12</f>
        <v>3.9359873773540746</v>
      </c>
      <c r="AX118" s="21">
        <f t="shared" si="60"/>
        <v>155.91965784179047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7.0011111111111104</v>
      </c>
      <c r="BD118" s="12">
        <f>IF('Données projet'!$A$88&gt;35,BD117+BC118-BL117,IF(A118&lt;'Données projet'!$A$88,$BA$205^A118,IF(A118='Données projet'!$A$88,'Données projet'!$B$88,BD117+BC118-BL117)))</f>
        <v>266.26222222222214</v>
      </c>
      <c r="BE118" s="13">
        <f>BD118*VLOOKUP('Données projet'!$B$11,Paramètres!$A$1:$I$89,3,0)*VLOOKUP('Données projet'!$B$11,Paramètres!$A$1:$I$89,5,0)</f>
        <v>269.98989333333327</v>
      </c>
      <c r="BF118" s="13">
        <f t="shared" si="91"/>
        <v>64.847124393424096</v>
      </c>
      <c r="BG118" s="20">
        <f t="shared" si="61"/>
        <v>583.1744725407691</v>
      </c>
      <c r="BH118" s="59">
        <f t="shared" si="62"/>
        <v>864.25617808386642</v>
      </c>
      <c r="BI118" s="59">
        <f ca="1">AVERAGE(OFFSET($BH$3,0,0,'Données projet'!$E$11+1,1))-AVERAGE(OFFSET($H$3,0,0,'Données projet'!$E$11+1,1))</f>
        <v>580.02848304986492</v>
      </c>
      <c r="BJ118" s="59">
        <f t="shared" si="92"/>
        <v>281.68891895586728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20.454694182043468</v>
      </c>
      <c r="BQ118" s="21">
        <f>EXP(-LN(2)/25)*BQ117+(1-EXP(-LN(2)/25))/(LN(2)/25)*Calculateur!BL118*Calculateur!BN118*VLOOKUP('Données projet'!$B$11,Paramètres!$A$1:$I$89,3,0)*0.475*44/12</f>
        <v>25.679563599993234</v>
      </c>
      <c r="BR118" s="21">
        <f>EXP(-LN(2)/2)*BR117+(1-EXP(-LN(2)/2))/(LN(2)/2)*BL118*BO118*VLOOKUP('Données projet'!$B$11,Paramètres!$A$1:$I$89,3,0)*0.475*44/12</f>
        <v>2.0793320677023388</v>
      </c>
      <c r="BS118" s="22">
        <f t="shared" si="63"/>
        <v>48.213589849739037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>
        <f>BY118*VLOOKUP('Données projet'!$B$12,Paramètres!$A$1:$I$89,3,0)*VLOOKUP('Données projet'!$B$12,Paramètres!$A$1:$I$89,5,0)</f>
        <v>0</v>
      </c>
      <c r="CA118" s="13" t="e">
        <f t="shared" si="93"/>
        <v>#NUM!</v>
      </c>
      <c r="CB118" s="20" t="e">
        <f t="shared" si="64"/>
        <v>#NUM!</v>
      </c>
      <c r="CC118" s="59" t="e">
        <f t="shared" si="65"/>
        <v>#NUM!</v>
      </c>
      <c r="CD118" s="59">
        <f ca="1">AVERAGE(OFFSET($CC$3,0,0,'Données projet'!$E$12+1,1))-AVERAGE(OFFSET($H$3,0,0,'Données projet'!$E$12+1,1))</f>
        <v>439.15394290667945</v>
      </c>
      <c r="CE118" s="59">
        <f t="shared" si="94"/>
        <v>423.56554025351068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25.221793762727554</v>
      </c>
      <c r="CL118" s="21">
        <f>EXP(-LN(2)/25)*CL117+(1-EXP(-LN(2)/25))/(LN(2)/25)*Calculateur!CG118*Calculateur!CI118*VLOOKUP('Données projet'!$B$12,Paramètres!$A$1:$I$89,3,0)*0.475*44/12</f>
        <v>18.872463977805147</v>
      </c>
      <c r="CM118" s="21">
        <f>EXP(-LN(2)/2)*CM117+(1-EXP(-LN(2)/2))/(LN(2)/2)*CG118*CJ118*VLOOKUP('Données projet'!$B$12,Paramètres!$A$1:$I$89,3,0)*0.475*44/12</f>
        <v>4.0277980884770331E-4</v>
      </c>
      <c r="CN118" s="22">
        <f t="shared" si="66"/>
        <v>44.094660520341542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>
        <f>CT118*VLOOKUP('Données projet'!$B$13,Paramètres!$A$1:$I$89,3,0)*VLOOKUP('Données projet'!$B$13,Paramètres!$A$1:$I$89,5,0)</f>
        <v>0</v>
      </c>
      <c r="CV118" s="13" t="e">
        <f t="shared" si="95"/>
        <v>#NUM!</v>
      </c>
      <c r="CW118" s="20" t="e">
        <f t="shared" si="67"/>
        <v>#NUM!</v>
      </c>
      <c r="CX118" s="59" t="e">
        <f t="shared" si="68"/>
        <v>#NUM!</v>
      </c>
      <c r="CY118" s="59">
        <f ca="1">AVERAGE(OFFSET($CX$3,0,0,'Données projet'!$E$13+1,1))-AVERAGE(OFFSET($H$3,0,0,'Données projet'!$E$13+1,1))</f>
        <v>408.246209980743</v>
      </c>
      <c r="CZ118" s="59">
        <f t="shared" si="96"/>
        <v>394.10236303013903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>
        <f>EXP(-LN(2)/35)*DF117+(1-EXP(-LN(2)/35))/(LN(2)/35)*DB118*DC118*VLOOKUP('Données projet'!$B$13,Paramètres!$A$1:$I$89,3,0)*0.475*44/12</f>
        <v>28.539185622483977</v>
      </c>
      <c r="DG118" s="21">
        <f>EXP(-LN(2)/25)*DG117+(1-EXP(-LN(2)/25))/(LN(2)/25)*Calculateur!DB118*Calculateur!DD118*VLOOKUP('Données projet'!$B$13,Paramètres!$A$1:$I$89,3,0)*0.475*44/12</f>
        <v>21.354736212781432</v>
      </c>
      <c r="DH118" s="21">
        <f>EXP(-LN(2)/2)*DH117+(1-EXP(-LN(2)/2))/(LN(2)/2)*DB118*DE118*VLOOKUP('Données projet'!$B$13,Paramètres!$A$1:$I$89,3,0)*0.475*44/12</f>
        <v>3.697650704175638E-4</v>
      </c>
      <c r="DI118" s="22">
        <f t="shared" si="69"/>
        <v>49.894291600335826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>
        <f>DO118*VLOOKUP('Données projet'!$B$14,Paramètres!$A$1:$I$89,3,0)*VLOOKUP('Données projet'!$B$14,Paramètres!$A$1:$I$89,5,0)</f>
        <v>0</v>
      </c>
      <c r="DQ118" s="13" t="e">
        <f t="shared" si="97"/>
        <v>#NUM!</v>
      </c>
      <c r="DR118" s="20" t="e">
        <f t="shared" si="70"/>
        <v>#NUM!</v>
      </c>
      <c r="DS118" s="59" t="e">
        <f t="shared" si="71"/>
        <v>#NUM!</v>
      </c>
      <c r="DT118" s="59">
        <f ca="1">AVERAGE(OFFSET($DS$3,0,0,'Données projet'!$E$14+1,1))-AVERAGE(OFFSET($H$3,0,0,'Données projet'!$E$14+1,1))</f>
        <v>371.07993287480366</v>
      </c>
      <c r="DU118" s="59">
        <f t="shared" si="98"/>
        <v>358.67120540290637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>
        <f>EXP(-LN(2)/35)*EA117+(1-EXP(-LN(2)/35))/(LN(2)/35)*DW118*DX118*VLOOKUP('Données projet'!$B$14,Paramètres!$A$1:$I$89,3,0)*0.475*44/12</f>
        <v>20.673601444858654</v>
      </c>
      <c r="EB118" s="21">
        <f>EXP(-LN(2)/25)*EB117+(1-EXP(-LN(2)/25))/(LN(2)/25)*Calculateur!DW118*Calculateur!DY118*VLOOKUP('Données projet'!$B$14,Paramètres!$A$1:$I$89,3,0)*0.475*44/12</f>
        <v>15.469232768692738</v>
      </c>
      <c r="EC118" s="21">
        <f>EXP(-LN(2)/2)*EC117+(1-EXP(-LN(2)/2))/(LN(2)/2)*DW118*DZ118*VLOOKUP('Données projet'!$B$14,Paramètres!$A$1:$I$89,3,0)*0.475*44/12</f>
        <v>3.3014738430139684E-4</v>
      </c>
      <c r="ED118" s="22">
        <f t="shared" si="72"/>
        <v>36.1431643609357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45">
      <c r="A119" s="10">
        <f t="shared" si="85"/>
        <v>116</v>
      </c>
      <c r="B119" s="73">
        <f>'Scénario référence'!$B$16*5+'Scénario référence'!$B$17*0+'Scénario référence'!$B$18*5</f>
        <v>5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1">
        <f t="shared" si="86"/>
        <v>0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18.333333333333332</v>
      </c>
      <c r="H119" s="67">
        <f t="shared" si="56"/>
        <v>183.33333333333334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8.9160000000000021</v>
      </c>
      <c r="N119" s="13">
        <f>IF('Données projet'!$A$36&gt;35,N118+M119-V118,IF(A119&lt;'Données projet'!$A$36,$K$205^A119,IF(A119='Données projet'!$A$36,'Données projet'!$B$36,N118+M119-V118)))</f>
        <v>380.53200000000072</v>
      </c>
      <c r="O119" s="13">
        <f>N119*VLOOKUP('Données projet'!$B$9,Paramètres!$A$1:$I$89,3,0)*VLOOKUP('Données projet'!$B$9,Paramètres!$A$1:$I$89,5,0)</f>
        <v>344.30535360000061</v>
      </c>
      <c r="P119" s="13">
        <f t="shared" si="87"/>
        <v>80.388807253544201</v>
      </c>
      <c r="Q119" s="20">
        <f t="shared" si="107"/>
        <v>739.67566348659057</v>
      </c>
      <c r="R119" s="59">
        <f t="shared" si="55"/>
        <v>1020.9699073813121</v>
      </c>
      <c r="S119" s="59">
        <f ca="1">AVERAGE(OFFSET($R$3,0,0,'Données projet'!$E$9+1,1))-AVERAGE(OFFSET($H$3,0,0,'Données projet'!$E$9+1,1))</f>
        <v>681.47578137804555</v>
      </c>
      <c r="T119" s="59">
        <f t="shared" si="88"/>
        <v>300.88511065995885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35.045432127761948</v>
      </c>
      <c r="AA119" s="21">
        <f>EXP(-LN(2)/25)*AA118+(1-EXP(-LN(2)/25))/(LN(2)/25)*Calculateur!V119*Calculateur!X119*VLOOKUP('Données projet'!$B$9,Paramètres!$A$1:$I$89,3,0)*0.475*44/12</f>
        <v>24.390195227495596</v>
      </c>
      <c r="AB119" s="21">
        <f>EXP(-LN(2)/2)*AB118+(1-EXP(-LN(2)/2))/(LN(2)/2)*V119*Y119*VLOOKUP('Données projet'!$B$9,Paramètres!$A$1:$I$89,3,0)*0.475*44/12</f>
        <v>2.7315586220200374</v>
      </c>
      <c r="AC119" s="22">
        <f t="shared" si="57"/>
        <v>62.167185977277583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3.4106051316484809E-13</v>
      </c>
      <c r="AJ119" s="13">
        <f>AI119*VLOOKUP('Données projet'!$B$10,Paramètres!$A$1:$I$89,3,0)*VLOOKUP('Données projet'!$B$10,Paramètres!$A$1:$I$89,5,0)</f>
        <v>1.5961632016114892E-13</v>
      </c>
      <c r="AK119" s="13">
        <f t="shared" si="89"/>
        <v>2.2708641912150958E-12</v>
      </c>
      <c r="AL119" s="20">
        <f t="shared" si="58"/>
        <v>4.2330868906469593E-12</v>
      </c>
      <c r="AM119" s="59">
        <f t="shared" si="59"/>
        <v>281.2942438947257</v>
      </c>
      <c r="AN119" s="59">
        <f ca="1">AVERAGE(OFFSET($AM$3,0,0,'Données projet'!$E$10+1,1))-AVERAGE(OFFSET($H$3,0,0,'Données projet'!$E$10+1,1))</f>
        <v>325.45940224919184</v>
      </c>
      <c r="AO119" s="59">
        <f t="shared" si="90"/>
        <v>256.30046621034876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114.23421361646415</v>
      </c>
      <c r="AV119" s="21">
        <f>EXP(-LN(2)/25)*AV118+(1-EXP(-LN(2)/25))/(LN(2)/25)*Calculateur!AQ119*Calculateur!AS119*VLOOKUP('Données projet'!$B$10,Paramètres!$A$1:$I$89,3,0)*0.475*44/12</f>
        <v>34.494807680999905</v>
      </c>
      <c r="AW119" s="21">
        <f>EXP(-LN(2)/2)*AW118+(1-EXP(-LN(2)/2))/(LN(2)/2)*AQ119*AT119*VLOOKUP('Données projet'!$B$10,Paramètres!$A$1:$I$89,3,0)*0.475*44/12</f>
        <v>2.7831633651917209</v>
      </c>
      <c r="AX119" s="21">
        <f t="shared" si="60"/>
        <v>151.51218466265576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7.0011111111111104</v>
      </c>
      <c r="BD119" s="12">
        <f>IF('Données projet'!$A$88&gt;35,BD118+BC119-BL118,IF(A119&lt;'Données projet'!$A$88,$BA$205^A119,IF(A119='Données projet'!$A$88,'Données projet'!$B$88,BD118+BC119-BL118)))</f>
        <v>273.26333333333326</v>
      </c>
      <c r="BE119" s="13">
        <f>BD119*VLOOKUP('Données projet'!$B$11,Paramètres!$A$1:$I$89,3,0)*VLOOKUP('Données projet'!$B$11,Paramètres!$A$1:$I$89,5,0)</f>
        <v>277.08901999999995</v>
      </c>
      <c r="BF119" s="13">
        <f t="shared" si="91"/>
        <v>66.351461456355509</v>
      </c>
      <c r="BG119" s="20">
        <f t="shared" si="61"/>
        <v>598.15883853648563</v>
      </c>
      <c r="BH119" s="59">
        <f t="shared" si="62"/>
        <v>879.45308243120712</v>
      </c>
      <c r="BI119" s="59">
        <f ca="1">AVERAGE(OFFSET($BH$3,0,0,'Données projet'!$E$11+1,1))-AVERAGE(OFFSET($H$3,0,0,'Données projet'!$E$11+1,1))</f>
        <v>580.02848304986492</v>
      </c>
      <c r="BJ119" s="59">
        <f t="shared" si="92"/>
        <v>281.68891895586728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20.05359010526513</v>
      </c>
      <c r="BQ119" s="21">
        <f>EXP(-LN(2)/25)*BQ118+(1-EXP(-LN(2)/25))/(LN(2)/25)*Calculateur!BL119*Calculateur!BN119*VLOOKUP('Données projet'!$B$11,Paramètres!$A$1:$I$89,3,0)*0.475*44/12</f>
        <v>24.977354582921862</v>
      </c>
      <c r="BR119" s="21">
        <f>EXP(-LN(2)/2)*BR118+(1-EXP(-LN(2)/2))/(LN(2)/2)*BL119*BO119*VLOOKUP('Données projet'!$B$11,Paramètres!$A$1:$I$89,3,0)*0.475*44/12</f>
        <v>1.4703098054109691</v>
      </c>
      <c r="BS119" s="22">
        <f t="shared" si="63"/>
        <v>46.501254493597962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>
        <f>BY119*VLOOKUP('Données projet'!$B$12,Paramètres!$A$1:$I$89,3,0)*VLOOKUP('Données projet'!$B$12,Paramètres!$A$1:$I$89,5,0)</f>
        <v>0</v>
      </c>
      <c r="CA119" s="13" t="e">
        <f t="shared" si="93"/>
        <v>#NUM!</v>
      </c>
      <c r="CB119" s="20" t="e">
        <f t="shared" si="64"/>
        <v>#NUM!</v>
      </c>
      <c r="CC119" s="59" t="e">
        <f t="shared" si="65"/>
        <v>#NUM!</v>
      </c>
      <c r="CD119" s="59">
        <f ca="1">AVERAGE(OFFSET($CC$3,0,0,'Données projet'!$E$12+1,1))-AVERAGE(OFFSET($H$3,0,0,'Données projet'!$E$12+1,1))</f>
        <v>439.15394290667945</v>
      </c>
      <c r="CE119" s="59">
        <f t="shared" si="94"/>
        <v>423.56554025351068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24.727209770815641</v>
      </c>
      <c r="CL119" s="21">
        <f>EXP(-LN(2)/25)*CL118+(1-EXP(-LN(2)/25))/(LN(2)/25)*Calculateur!CG119*Calculateur!CI119*VLOOKUP('Données projet'!$B$12,Paramètres!$A$1:$I$89,3,0)*0.475*44/12</f>
        <v>18.356395457872317</v>
      </c>
      <c r="CM119" s="21">
        <f>EXP(-LN(2)/2)*CM118+(1-EXP(-LN(2)/2))/(LN(2)/2)*CG119*CJ119*VLOOKUP('Données projet'!$B$12,Paramètres!$A$1:$I$89,3,0)*0.475*44/12</f>
        <v>2.8480833416123238E-4</v>
      </c>
      <c r="CN119" s="22">
        <f t="shared" si="66"/>
        <v>43.083890037022122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>
        <f>CT119*VLOOKUP('Données projet'!$B$13,Paramètres!$A$1:$I$89,3,0)*VLOOKUP('Données projet'!$B$13,Paramètres!$A$1:$I$89,5,0)</f>
        <v>0</v>
      </c>
      <c r="CV119" s="13" t="e">
        <f t="shared" si="95"/>
        <v>#NUM!</v>
      </c>
      <c r="CW119" s="20" t="e">
        <f t="shared" si="67"/>
        <v>#NUM!</v>
      </c>
      <c r="CX119" s="59" t="e">
        <f t="shared" si="68"/>
        <v>#NUM!</v>
      </c>
      <c r="CY119" s="59">
        <f ca="1">AVERAGE(OFFSET($CX$3,0,0,'Données projet'!$E$13+1,1))-AVERAGE(OFFSET($H$3,0,0,'Données projet'!$E$13+1,1))</f>
        <v>408.246209980743</v>
      </c>
      <c r="CZ119" s="59">
        <f t="shared" si="96"/>
        <v>394.10236303013903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>
        <f>EXP(-LN(2)/35)*DF118+(1-EXP(-LN(2)/35))/(LN(2)/35)*DB119*DC119*VLOOKUP('Données projet'!$B$13,Paramètres!$A$1:$I$89,3,0)*0.475*44/12</f>
        <v>27.979549599611481</v>
      </c>
      <c r="DG119" s="21">
        <f>EXP(-LN(2)/25)*DG118+(1-EXP(-LN(2)/25))/(LN(2)/25)*Calculateur!DB119*Calculateur!DD119*VLOOKUP('Données projet'!$B$13,Paramètres!$A$1:$I$89,3,0)*0.475*44/12</f>
        <v>20.770789828046155</v>
      </c>
      <c r="DH119" s="21">
        <f>EXP(-LN(2)/2)*DH118+(1-EXP(-LN(2)/2))/(LN(2)/2)*DB119*DE119*VLOOKUP('Données projet'!$B$13,Paramètres!$A$1:$I$89,3,0)*0.475*44/12</f>
        <v>2.6146338873818062E-4</v>
      </c>
      <c r="DI119" s="22">
        <f t="shared" si="69"/>
        <v>48.750600891046375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>
        <f>DO119*VLOOKUP('Données projet'!$B$14,Paramètres!$A$1:$I$89,3,0)*VLOOKUP('Données projet'!$B$14,Paramètres!$A$1:$I$89,5,0)</f>
        <v>0</v>
      </c>
      <c r="DQ119" s="13" t="e">
        <f t="shared" si="97"/>
        <v>#NUM!</v>
      </c>
      <c r="DR119" s="20" t="e">
        <f t="shared" si="70"/>
        <v>#NUM!</v>
      </c>
      <c r="DS119" s="59" t="e">
        <f t="shared" si="71"/>
        <v>#NUM!</v>
      </c>
      <c r="DT119" s="59">
        <f ca="1">AVERAGE(OFFSET($DS$3,0,0,'Données projet'!$E$14+1,1))-AVERAGE(OFFSET($H$3,0,0,'Données projet'!$E$14+1,1))</f>
        <v>371.07993287480366</v>
      </c>
      <c r="DU119" s="59">
        <f t="shared" si="98"/>
        <v>358.67120540290637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>
        <f>EXP(-LN(2)/35)*EA118+(1-EXP(-LN(2)/35))/(LN(2)/35)*DW119*DX119*VLOOKUP('Données projet'!$B$14,Paramètres!$A$1:$I$89,3,0)*0.475*44/12</f>
        <v>20.268204730176759</v>
      </c>
      <c r="EB119" s="21">
        <f>EXP(-LN(2)/25)*EB118+(1-EXP(-LN(2)/25))/(LN(2)/25)*Calculateur!DW119*Calculateur!DY119*VLOOKUP('Données projet'!$B$14,Paramètres!$A$1:$I$89,3,0)*0.475*44/12</f>
        <v>15.046225785141239</v>
      </c>
      <c r="EC119" s="21">
        <f>EXP(-LN(2)/2)*EC118+(1-EXP(-LN(2)/2))/(LN(2)/2)*DW119*DZ119*VLOOKUP('Données projet'!$B$14,Paramètres!$A$1:$I$89,3,0)*0.475*44/12</f>
        <v>2.3344945423051883E-4</v>
      </c>
      <c r="ED119" s="22">
        <f t="shared" si="72"/>
        <v>35.314663964772222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45">
      <c r="A120" s="10">
        <f t="shared" si="85"/>
        <v>117</v>
      </c>
      <c r="B120" s="73">
        <f>'Scénario référence'!$B$16*5+'Scénario référence'!$B$17*0+'Scénario référence'!$B$18*5</f>
        <v>5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1">
        <f t="shared" si="86"/>
        <v>0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18.333333333333332</v>
      </c>
      <c r="H120" s="67">
        <f t="shared" si="56"/>
        <v>183.33333333333334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8.9160000000000021</v>
      </c>
      <c r="N120" s="13">
        <f>IF('Données projet'!$A$36&gt;35,N119+M120-V119,IF(A120&lt;'Données projet'!$A$36,$K$205^A120,IF(A120='Données projet'!$A$36,'Données projet'!$B$36,N119+M120-V119)))</f>
        <v>389.44800000000072</v>
      </c>
      <c r="O120" s="13">
        <f>N120*VLOOKUP('Données projet'!$B$9,Paramètres!$A$1:$I$89,3,0)*VLOOKUP('Données projet'!$B$9,Paramètres!$A$1:$I$89,5,0)</f>
        <v>352.37255040000065</v>
      </c>
      <c r="P120" s="13">
        <f t="shared" si="87"/>
        <v>82.050851753476593</v>
      </c>
      <c r="Q120" s="20">
        <f t="shared" si="107"/>
        <v>756.62075875063954</v>
      </c>
      <c r="R120" s="59">
        <f t="shared" si="55"/>
        <v>1038.1238539317492</v>
      </c>
      <c r="S120" s="59">
        <f ca="1">AVERAGE(OFFSET($R$3,0,0,'Données projet'!$E$9+1,1))-AVERAGE(OFFSET($H$3,0,0,'Données projet'!$E$9+1,1))</f>
        <v>681.47578137804555</v>
      </c>
      <c r="T120" s="59">
        <f t="shared" si="88"/>
        <v>300.88511065995885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34.358212579339472</v>
      </c>
      <c r="AA120" s="21">
        <f>EXP(-LN(2)/25)*AA119+(1-EXP(-LN(2)/25))/(LN(2)/25)*Calculateur!V120*Calculateur!X120*VLOOKUP('Données projet'!$B$9,Paramètres!$A$1:$I$89,3,0)*0.475*44/12</f>
        <v>23.723244056375105</v>
      </c>
      <c r="AB120" s="21">
        <f>EXP(-LN(2)/2)*AB119+(1-EXP(-LN(2)/2))/(LN(2)/2)*V120*Y120*VLOOKUP('Données projet'!$B$9,Paramètres!$A$1:$I$89,3,0)*0.475*44/12</f>
        <v>1.9315036248389501</v>
      </c>
      <c r="AC120" s="22">
        <f t="shared" si="57"/>
        <v>60.012960260553527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3.4106051316484809E-13</v>
      </c>
      <c r="AJ120" s="13">
        <f>AI120*VLOOKUP('Données projet'!$B$10,Paramètres!$A$1:$I$89,3,0)*VLOOKUP('Données projet'!$B$10,Paramètres!$A$1:$I$89,5,0)</f>
        <v>1.5961632016114892E-13</v>
      </c>
      <c r="AK120" s="13">
        <f t="shared" si="89"/>
        <v>2.2708641912150958E-12</v>
      </c>
      <c r="AL120" s="20">
        <f t="shared" si="58"/>
        <v>4.2330868906469593E-12</v>
      </c>
      <c r="AM120" s="59">
        <f t="shared" si="59"/>
        <v>281.50309518111385</v>
      </c>
      <c r="AN120" s="59">
        <f ca="1">AVERAGE(OFFSET($AM$3,0,0,'Données projet'!$E$10+1,1))-AVERAGE(OFFSET($H$3,0,0,'Données projet'!$E$10+1,1))</f>
        <v>325.45940224919184</v>
      </c>
      <c r="AO120" s="59">
        <f t="shared" si="90"/>
        <v>256.30046621034876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111.99415036343565</v>
      </c>
      <c r="AV120" s="21">
        <f>EXP(-LN(2)/25)*AV119+(1-EXP(-LN(2)/25))/(LN(2)/25)*Calculateur!AQ120*Calculateur!AS120*VLOOKUP('Données projet'!$B$10,Paramètres!$A$1:$I$89,3,0)*0.475*44/12</f>
        <v>33.551545350959863</v>
      </c>
      <c r="AW120" s="21">
        <f>EXP(-LN(2)/2)*AW119+(1-EXP(-LN(2)/2))/(LN(2)/2)*AQ120*AT120*VLOOKUP('Données projet'!$B$10,Paramètres!$A$1:$I$89,3,0)*0.475*44/12</f>
        <v>1.9679936886770375</v>
      </c>
      <c r="AX120" s="21">
        <f t="shared" si="60"/>
        <v>147.51368940307256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7.0011111111111104</v>
      </c>
      <c r="BD120" s="12">
        <f>IF('Données projet'!$A$88&gt;35,BD119+BC120-BL119,IF(A120&lt;'Données projet'!$A$88,$BA$205^A120,IF(A120='Données projet'!$A$88,'Données projet'!$B$88,BD119+BC120-BL119)))</f>
        <v>280.26444444444439</v>
      </c>
      <c r="BE120" s="13">
        <f>BD120*VLOOKUP('Données projet'!$B$11,Paramètres!$A$1:$I$89,3,0)*VLOOKUP('Données projet'!$B$11,Paramètres!$A$1:$I$89,5,0)</f>
        <v>284.18814666666663</v>
      </c>
      <c r="BF120" s="13">
        <f t="shared" si="91"/>
        <v>67.851318431342392</v>
      </c>
      <c r="BG120" s="20">
        <f t="shared" si="61"/>
        <v>613.13540171236571</v>
      </c>
      <c r="BH120" s="59">
        <f t="shared" si="62"/>
        <v>894.63849689347535</v>
      </c>
      <c r="BI120" s="59">
        <f ca="1">AVERAGE(OFFSET($BH$3,0,0,'Données projet'!$E$11+1,1))-AVERAGE(OFFSET($H$3,0,0,'Données projet'!$E$11+1,1))</f>
        <v>580.02848304986492</v>
      </c>
      <c r="BJ120" s="59">
        <f t="shared" si="92"/>
        <v>281.68891895586728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19.660351434783085</v>
      </c>
      <c r="BQ120" s="21">
        <f>EXP(-LN(2)/25)*BQ119+(1-EXP(-LN(2)/25))/(LN(2)/25)*Calculateur!BL120*Calculateur!BN120*VLOOKUP('Données projet'!$B$11,Paramètres!$A$1:$I$89,3,0)*0.475*44/12</f>
        <v>24.294347508349873</v>
      </c>
      <c r="BR120" s="21">
        <f>EXP(-LN(2)/2)*BR119+(1-EXP(-LN(2)/2))/(LN(2)/2)*BL120*BO120*VLOOKUP('Données projet'!$B$11,Paramètres!$A$1:$I$89,3,0)*0.475*44/12</f>
        <v>1.0396660338511694</v>
      </c>
      <c r="BS120" s="22">
        <f t="shared" si="63"/>
        <v>44.994364976984123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>
        <f>BY120*VLOOKUP('Données projet'!$B$12,Paramètres!$A$1:$I$89,3,0)*VLOOKUP('Données projet'!$B$12,Paramètres!$A$1:$I$89,5,0)</f>
        <v>0</v>
      </c>
      <c r="CA120" s="13" t="e">
        <f t="shared" si="93"/>
        <v>#NUM!</v>
      </c>
      <c r="CB120" s="20" t="e">
        <f t="shared" si="64"/>
        <v>#NUM!</v>
      </c>
      <c r="CC120" s="59" t="e">
        <f t="shared" si="65"/>
        <v>#NUM!</v>
      </c>
      <c r="CD120" s="59">
        <f ca="1">AVERAGE(OFFSET($CC$3,0,0,'Données projet'!$E$12+1,1))-AVERAGE(OFFSET($H$3,0,0,'Données projet'!$E$12+1,1))</f>
        <v>439.15394290667945</v>
      </c>
      <c r="CE120" s="59">
        <f t="shared" si="94"/>
        <v>423.56554025351068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24.242324269318672</v>
      </c>
      <c r="CL120" s="21">
        <f>EXP(-LN(2)/25)*CL119+(1-EXP(-LN(2)/25))/(LN(2)/25)*Calculateur!CG120*Calculateur!CI120*VLOOKUP('Données projet'!$B$12,Paramètres!$A$1:$I$89,3,0)*0.475*44/12</f>
        <v>17.854438858755916</v>
      </c>
      <c r="CM120" s="21">
        <f>EXP(-LN(2)/2)*CM119+(1-EXP(-LN(2)/2))/(LN(2)/2)*CG120*CJ120*VLOOKUP('Données projet'!$B$12,Paramètres!$A$1:$I$89,3,0)*0.475*44/12</f>
        <v>2.0138990442385165E-4</v>
      </c>
      <c r="CN120" s="22">
        <f t="shared" si="66"/>
        <v>42.096964517979011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>
        <f>CT120*VLOOKUP('Données projet'!$B$13,Paramètres!$A$1:$I$89,3,0)*VLOOKUP('Données projet'!$B$13,Paramètres!$A$1:$I$89,5,0)</f>
        <v>0</v>
      </c>
      <c r="CV120" s="13" t="e">
        <f t="shared" si="95"/>
        <v>#NUM!</v>
      </c>
      <c r="CW120" s="20" t="e">
        <f t="shared" si="67"/>
        <v>#NUM!</v>
      </c>
      <c r="CX120" s="59" t="e">
        <f t="shared" si="68"/>
        <v>#NUM!</v>
      </c>
      <c r="CY120" s="59">
        <f ca="1">AVERAGE(OFFSET($CX$3,0,0,'Données projet'!$E$13+1,1))-AVERAGE(OFFSET($H$3,0,0,'Données projet'!$E$13+1,1))</f>
        <v>408.246209980743</v>
      </c>
      <c r="CZ120" s="59">
        <f t="shared" si="96"/>
        <v>394.10236303013903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>
        <f>EXP(-LN(2)/35)*DF119+(1-EXP(-LN(2)/35))/(LN(2)/35)*DB120*DC120*VLOOKUP('Données projet'!$B$13,Paramètres!$A$1:$I$89,3,0)*0.475*44/12</f>
        <v>27.430887697803243</v>
      </c>
      <c r="DG120" s="21">
        <f>EXP(-LN(2)/25)*DG119+(1-EXP(-LN(2)/25))/(LN(2)/25)*Calculateur!DB120*Calculateur!DD120*VLOOKUP('Données projet'!$B$13,Paramètres!$A$1:$I$89,3,0)*0.475*44/12</f>
        <v>20.202811487909869</v>
      </c>
      <c r="DH120" s="21">
        <f>EXP(-LN(2)/2)*DH119+(1-EXP(-LN(2)/2))/(LN(2)/2)*DB120*DE120*VLOOKUP('Données projet'!$B$13,Paramètres!$A$1:$I$89,3,0)*0.475*44/12</f>
        <v>1.848825352087819E-4</v>
      </c>
      <c r="DI120" s="22">
        <f t="shared" si="69"/>
        <v>47.633884068248321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>
        <f>DO120*VLOOKUP('Données projet'!$B$14,Paramètres!$A$1:$I$89,3,0)*VLOOKUP('Données projet'!$B$14,Paramètres!$A$1:$I$89,5,0)</f>
        <v>0</v>
      </c>
      <c r="DQ120" s="13" t="e">
        <f t="shared" si="97"/>
        <v>#NUM!</v>
      </c>
      <c r="DR120" s="20" t="e">
        <f t="shared" si="70"/>
        <v>#NUM!</v>
      </c>
      <c r="DS120" s="59" t="e">
        <f t="shared" si="71"/>
        <v>#NUM!</v>
      </c>
      <c r="DT120" s="59">
        <f ca="1">AVERAGE(OFFSET($DS$3,0,0,'Données projet'!$E$14+1,1))-AVERAGE(OFFSET($H$3,0,0,'Données projet'!$E$14+1,1))</f>
        <v>371.07993287480366</v>
      </c>
      <c r="DU120" s="59">
        <f t="shared" si="98"/>
        <v>358.67120540290637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>
        <f>EXP(-LN(2)/35)*EA119+(1-EXP(-LN(2)/35))/(LN(2)/35)*DW120*DX120*VLOOKUP('Données projet'!$B$14,Paramètres!$A$1:$I$89,3,0)*0.475*44/12</f>
        <v>19.870757597802193</v>
      </c>
      <c r="EB120" s="21">
        <f>EXP(-LN(2)/25)*EB119+(1-EXP(-LN(2)/25))/(LN(2)/25)*Calculateur!DW120*Calculateur!DY120*VLOOKUP('Données projet'!$B$14,Paramètres!$A$1:$I$89,3,0)*0.475*44/12</f>
        <v>14.634785949799927</v>
      </c>
      <c r="EC120" s="21">
        <f>EXP(-LN(2)/2)*EC119+(1-EXP(-LN(2)/2))/(LN(2)/2)*DW120*DZ120*VLOOKUP('Données projet'!$B$14,Paramètres!$A$1:$I$89,3,0)*0.475*44/12</f>
        <v>1.6507369215069842E-4</v>
      </c>
      <c r="ED120" s="22">
        <f t="shared" si="72"/>
        <v>34.505708621294268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45">
      <c r="A121" s="10">
        <f t="shared" si="85"/>
        <v>118</v>
      </c>
      <c r="B121" s="73">
        <f>'Scénario référence'!$B$16*5+'Scénario référence'!$B$17*0+'Scénario référence'!$B$18*5</f>
        <v>5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1">
        <f t="shared" si="86"/>
        <v>0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18.333333333333332</v>
      </c>
      <c r="H121" s="67">
        <f t="shared" si="56"/>
        <v>183.33333333333334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8.9160000000000021</v>
      </c>
      <c r="N121" s="13">
        <f>IF('Données projet'!$A$36&gt;35,N120+M121-V120,IF(A121&lt;'Données projet'!$A$36,$K$205^A121,IF(A121='Données projet'!$A$36,'Données projet'!$B$36,N120+M121-V120)))</f>
        <v>398.36400000000071</v>
      </c>
      <c r="O121" s="13">
        <f>N121*VLOOKUP('Données projet'!$B$9,Paramètres!$A$1:$I$89,3,0)*VLOOKUP('Données projet'!$B$9,Paramètres!$A$1:$I$89,5,0)</f>
        <v>360.43974720000062</v>
      </c>
      <c r="P121" s="13">
        <f t="shared" si="87"/>
        <v>83.708472633827739</v>
      </c>
      <c r="Q121" s="20">
        <f t="shared" si="107"/>
        <v>773.55814954391769</v>
      </c>
      <c r="R121" s="59">
        <f t="shared" si="55"/>
        <v>1055.2664729085182</v>
      </c>
      <c r="S121" s="59">
        <f ca="1">AVERAGE(OFFSET($R$3,0,0,'Données projet'!$E$9+1,1))-AVERAGE(OFFSET($H$3,0,0,'Données projet'!$E$9+1,1))</f>
        <v>681.47578137804555</v>
      </c>
      <c r="T121" s="59">
        <f t="shared" si="88"/>
        <v>300.88511065995885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33.684468987099024</v>
      </c>
      <c r="AA121" s="21">
        <f>EXP(-LN(2)/25)*AA120+(1-EXP(-LN(2)/25))/(LN(2)/25)*Calculateur!V121*Calculateur!X121*VLOOKUP('Données projet'!$B$9,Paramètres!$A$1:$I$89,3,0)*0.475*44/12</f>
        <v>23.074530700102343</v>
      </c>
      <c r="AB121" s="21">
        <f>EXP(-LN(2)/2)*AB120+(1-EXP(-LN(2)/2))/(LN(2)/2)*V121*Y121*VLOOKUP('Données projet'!$B$9,Paramètres!$A$1:$I$89,3,0)*0.475*44/12</f>
        <v>1.3657793110100189</v>
      </c>
      <c r="AC121" s="22">
        <f t="shared" si="57"/>
        <v>58.124778998211383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3.4106051316484809E-13</v>
      </c>
      <c r="AJ121" s="13">
        <f>AI121*VLOOKUP('Données projet'!$B$10,Paramètres!$A$1:$I$89,3,0)*VLOOKUP('Données projet'!$B$10,Paramètres!$A$1:$I$89,5,0)</f>
        <v>1.5961632016114892E-13</v>
      </c>
      <c r="AK121" s="13">
        <f t="shared" si="89"/>
        <v>2.2708641912150958E-12</v>
      </c>
      <c r="AL121" s="20">
        <f t="shared" si="58"/>
        <v>4.2330868906469593E-12</v>
      </c>
      <c r="AM121" s="59">
        <f t="shared" si="59"/>
        <v>281.70832336460461</v>
      </c>
      <c r="AN121" s="59">
        <f ca="1">AVERAGE(OFFSET($AM$3,0,0,'Données projet'!$E$10+1,1))-AVERAGE(OFFSET($H$3,0,0,'Données projet'!$E$10+1,1))</f>
        <v>325.45940224919184</v>
      </c>
      <c r="AO121" s="59">
        <f t="shared" si="90"/>
        <v>256.30046621034876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109.79801338449538</v>
      </c>
      <c r="AV121" s="21">
        <f>EXP(-LN(2)/25)*AV120+(1-EXP(-LN(2)/25))/(LN(2)/25)*Calculateur!AQ121*Calculateur!AS121*VLOOKUP('Données projet'!$B$10,Paramètres!$A$1:$I$89,3,0)*0.475*44/12</f>
        <v>32.634076578938782</v>
      </c>
      <c r="AW121" s="21">
        <f>EXP(-LN(2)/2)*AW120+(1-EXP(-LN(2)/2))/(LN(2)/2)*AQ121*AT121*VLOOKUP('Données projet'!$B$10,Paramètres!$A$1:$I$89,3,0)*0.475*44/12</f>
        <v>1.3915816825958607</v>
      </c>
      <c r="AX121" s="21">
        <f t="shared" si="60"/>
        <v>143.82367164603002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7.0011111111111104</v>
      </c>
      <c r="BD121" s="12">
        <f>IF('Données projet'!$A$88&gt;35,BD120+BC121-BL120,IF(A121&lt;'Données projet'!$A$88,$BA$205^A121,IF(A121='Données projet'!$A$88,'Données projet'!$B$88,BD120+BC121-BL120)))</f>
        <v>287.26555555555552</v>
      </c>
      <c r="BE121" s="13">
        <f>BD121*VLOOKUP('Données projet'!$B$11,Paramètres!$A$1:$I$89,3,0)*VLOOKUP('Données projet'!$B$11,Paramètres!$A$1:$I$89,5,0)</f>
        <v>291.2872733333333</v>
      </c>
      <c r="BF121" s="13">
        <f t="shared" si="91"/>
        <v>69.346820104270833</v>
      </c>
      <c r="BG121" s="20">
        <f t="shared" si="61"/>
        <v>628.10437940382712</v>
      </c>
      <c r="BH121" s="59">
        <f t="shared" si="62"/>
        <v>909.81270276842747</v>
      </c>
      <c r="BI121" s="59">
        <f ca="1">AVERAGE(OFFSET($BH$3,0,0,'Données projet'!$E$11+1,1))-AVERAGE(OFFSET($H$3,0,0,'Données projet'!$E$11+1,1))</f>
        <v>580.02848304986492</v>
      </c>
      <c r="BJ121" s="59">
        <f t="shared" si="92"/>
        <v>281.68891895586728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19.274823934777288</v>
      </c>
      <c r="BQ121" s="21">
        <f>EXP(-LN(2)/25)*BQ120+(1-EXP(-LN(2)/25))/(LN(2)/25)*Calculateur!BL121*Calculateur!BN121*VLOOKUP('Données projet'!$B$11,Paramètres!$A$1:$I$89,3,0)*0.475*44/12</f>
        <v>23.630017298149834</v>
      </c>
      <c r="BR121" s="21">
        <f>EXP(-LN(2)/2)*BR120+(1-EXP(-LN(2)/2))/(LN(2)/2)*BL121*BO121*VLOOKUP('Données projet'!$B$11,Paramètres!$A$1:$I$89,3,0)*0.475*44/12</f>
        <v>0.73515490270548456</v>
      </c>
      <c r="BS121" s="22">
        <f t="shared" si="63"/>
        <v>43.639996135632607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>
        <f>BY121*VLOOKUP('Données projet'!$B$12,Paramètres!$A$1:$I$89,3,0)*VLOOKUP('Données projet'!$B$12,Paramètres!$A$1:$I$89,5,0)</f>
        <v>0</v>
      </c>
      <c r="CA121" s="13" t="e">
        <f t="shared" si="93"/>
        <v>#NUM!</v>
      </c>
      <c r="CB121" s="20" t="e">
        <f t="shared" si="64"/>
        <v>#NUM!</v>
      </c>
      <c r="CC121" s="59" t="e">
        <f t="shared" si="65"/>
        <v>#NUM!</v>
      </c>
      <c r="CD121" s="59">
        <f ca="1">AVERAGE(OFFSET($CC$3,0,0,'Données projet'!$E$12+1,1))-AVERAGE(OFFSET($H$3,0,0,'Données projet'!$E$12+1,1))</f>
        <v>439.15394290667945</v>
      </c>
      <c r="CE121" s="59">
        <f t="shared" si="94"/>
        <v>423.56554025351068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23.766947076755105</v>
      </c>
      <c r="CL121" s="21">
        <f>EXP(-LN(2)/25)*CL120+(1-EXP(-LN(2)/25))/(LN(2)/25)*Calculateur!CG121*Calculateur!CI121*VLOOKUP('Données projet'!$B$12,Paramètres!$A$1:$I$89,3,0)*0.475*44/12</f>
        <v>17.366208289239104</v>
      </c>
      <c r="CM121" s="21">
        <f>EXP(-LN(2)/2)*CM120+(1-EXP(-LN(2)/2))/(LN(2)/2)*CG121*CJ121*VLOOKUP('Données projet'!$B$12,Paramètres!$A$1:$I$89,3,0)*0.475*44/12</f>
        <v>1.4240416708061619E-4</v>
      </c>
      <c r="CN121" s="22">
        <f t="shared" si="66"/>
        <v>41.133297770161292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>
        <f>CT121*VLOOKUP('Données projet'!$B$13,Paramètres!$A$1:$I$89,3,0)*VLOOKUP('Données projet'!$B$13,Paramètres!$A$1:$I$89,5,0)</f>
        <v>0</v>
      </c>
      <c r="CV121" s="13" t="e">
        <f t="shared" si="95"/>
        <v>#NUM!</v>
      </c>
      <c r="CW121" s="20" t="e">
        <f t="shared" si="67"/>
        <v>#NUM!</v>
      </c>
      <c r="CX121" s="59" t="e">
        <f t="shared" si="68"/>
        <v>#NUM!</v>
      </c>
      <c r="CY121" s="59">
        <f ca="1">AVERAGE(OFFSET($CX$3,0,0,'Données projet'!$E$13+1,1))-AVERAGE(OFFSET($H$3,0,0,'Données projet'!$E$13+1,1))</f>
        <v>408.246209980743</v>
      </c>
      <c r="CZ121" s="59">
        <f t="shared" si="96"/>
        <v>394.10236303013903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>
        <f>EXP(-LN(2)/35)*DF120+(1-EXP(-LN(2)/35))/(LN(2)/35)*DB121*DC121*VLOOKUP('Données projet'!$B$13,Paramètres!$A$1:$I$89,3,0)*0.475*44/12</f>
        <v>26.892984721238751</v>
      </c>
      <c r="DG121" s="21">
        <f>EXP(-LN(2)/25)*DG120+(1-EXP(-LN(2)/25))/(LN(2)/25)*Calculateur!DB121*Calculateur!DD121*VLOOKUP('Données projet'!$B$13,Paramètres!$A$1:$I$89,3,0)*0.475*44/12</f>
        <v>19.650364545353291</v>
      </c>
      <c r="DH121" s="21">
        <f>EXP(-LN(2)/2)*DH120+(1-EXP(-LN(2)/2))/(LN(2)/2)*DB121*DE121*VLOOKUP('Données projet'!$B$13,Paramètres!$A$1:$I$89,3,0)*0.475*44/12</f>
        <v>1.3073169436909031E-4</v>
      </c>
      <c r="DI121" s="22">
        <f t="shared" si="69"/>
        <v>46.543479998286415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>
        <f>DO121*VLOOKUP('Données projet'!$B$14,Paramètres!$A$1:$I$89,3,0)*VLOOKUP('Données projet'!$B$14,Paramètres!$A$1:$I$89,5,0)</f>
        <v>0</v>
      </c>
      <c r="DQ121" s="13" t="e">
        <f t="shared" si="97"/>
        <v>#NUM!</v>
      </c>
      <c r="DR121" s="20" t="e">
        <f t="shared" si="70"/>
        <v>#NUM!</v>
      </c>
      <c r="DS121" s="59" t="e">
        <f t="shared" si="71"/>
        <v>#NUM!</v>
      </c>
      <c r="DT121" s="59">
        <f ca="1">AVERAGE(OFFSET($DS$3,0,0,'Données projet'!$E$14+1,1))-AVERAGE(OFFSET($H$3,0,0,'Données projet'!$E$14+1,1))</f>
        <v>371.07993287480366</v>
      </c>
      <c r="DU121" s="59">
        <f t="shared" si="98"/>
        <v>358.67120540290637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>
        <f>EXP(-LN(2)/35)*EA120+(1-EXP(-LN(2)/35))/(LN(2)/35)*DW121*DX121*VLOOKUP('Données projet'!$B$14,Paramètres!$A$1:$I$89,3,0)*0.475*44/12</f>
        <v>19.481104161274679</v>
      </c>
      <c r="EB121" s="21">
        <f>EXP(-LN(2)/25)*EB120+(1-EXP(-LN(2)/25))/(LN(2)/25)*Calculateur!DW121*Calculateur!DY121*VLOOKUP('Données projet'!$B$14,Paramètres!$A$1:$I$89,3,0)*0.475*44/12</f>
        <v>14.234596958392704</v>
      </c>
      <c r="EC121" s="21">
        <f>EXP(-LN(2)/2)*EC120+(1-EXP(-LN(2)/2))/(LN(2)/2)*DW121*DZ121*VLOOKUP('Données projet'!$B$14,Paramètres!$A$1:$I$89,3,0)*0.475*44/12</f>
        <v>1.1672472711525942E-4</v>
      </c>
      <c r="ED121" s="22">
        <f t="shared" si="72"/>
        <v>33.7158178443945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45">
      <c r="A122" s="10">
        <f t="shared" si="85"/>
        <v>119</v>
      </c>
      <c r="B122" s="73">
        <f>'Scénario référence'!$B$16*5+'Scénario référence'!$B$17*0+'Scénario référence'!$B$18*5</f>
        <v>5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1">
        <f t="shared" si="86"/>
        <v>0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18.333333333333332</v>
      </c>
      <c r="H122" s="67">
        <f t="shared" si="56"/>
        <v>183.33333333333334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8.9160000000000021</v>
      </c>
      <c r="N122" s="13">
        <f>IF('Données projet'!$A$36&gt;35,N121+M122-V121,IF(A122&lt;'Données projet'!$A$36,$K$205^A122,IF(A122='Données projet'!$A$36,'Données projet'!$B$36,N121+M122-V121)))</f>
        <v>407.28000000000071</v>
      </c>
      <c r="O122" s="13">
        <f>N122*VLOOKUP('Données projet'!$B$9,Paramètres!$A$1:$I$89,3,0)*VLOOKUP('Données projet'!$B$9,Paramètres!$A$1:$I$89,5,0)</f>
        <v>368.5069440000006</v>
      </c>
      <c r="P122" s="13">
        <f t="shared" si="87"/>
        <v>85.361780301252097</v>
      </c>
      <c r="Q122" s="20">
        <f t="shared" si="107"/>
        <v>790.48802815801503</v>
      </c>
      <c r="R122" s="59">
        <f t="shared" si="55"/>
        <v>1072.3980194559442</v>
      </c>
      <c r="S122" s="59">
        <f ca="1">AVERAGE(OFFSET($R$3,0,0,'Données projet'!$E$9+1,1))-AVERAGE(OFFSET($H$3,0,0,'Données projet'!$E$9+1,1))</f>
        <v>681.47578137804555</v>
      </c>
      <c r="T122" s="59">
        <f t="shared" si="88"/>
        <v>300.88511065995885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33.023937095759393</v>
      </c>
      <c r="AA122" s="21">
        <f>EXP(-LN(2)/25)*AA121+(1-EXP(-LN(2)/25))/(LN(2)/25)*Calculateur!V122*Calculateur!X122*VLOOKUP('Données projet'!$B$9,Paramètres!$A$1:$I$89,3,0)*0.475*44/12</f>
        <v>22.443556444671213</v>
      </c>
      <c r="AB122" s="21">
        <f>EXP(-LN(2)/2)*AB121+(1-EXP(-LN(2)/2))/(LN(2)/2)*V122*Y122*VLOOKUP('Données projet'!$B$9,Paramètres!$A$1:$I$89,3,0)*0.475*44/12</f>
        <v>0.96575181241947516</v>
      </c>
      <c r="AC122" s="22">
        <f t="shared" si="57"/>
        <v>56.433245352850086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3.4106051316484809E-13</v>
      </c>
      <c r="AJ122" s="13">
        <f>AI122*VLOOKUP('Données projet'!$B$10,Paramètres!$A$1:$I$89,3,0)*VLOOKUP('Données projet'!$B$10,Paramètres!$A$1:$I$89,5,0)</f>
        <v>1.5961632016114892E-13</v>
      </c>
      <c r="AK122" s="13">
        <f t="shared" si="89"/>
        <v>2.2708641912150958E-12</v>
      </c>
      <c r="AL122" s="20">
        <f t="shared" si="58"/>
        <v>4.2330868906469593E-12</v>
      </c>
      <c r="AM122" s="59">
        <f t="shared" si="59"/>
        <v>281.90999129793335</v>
      </c>
      <c r="AN122" s="59">
        <f ca="1">AVERAGE(OFFSET($AM$3,0,0,'Données projet'!$E$10+1,1))-AVERAGE(OFFSET($H$3,0,0,'Données projet'!$E$10+1,1))</f>
        <v>325.45940224919184</v>
      </c>
      <c r="AO122" s="59">
        <f t="shared" si="90"/>
        <v>256.30046621034876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107.64494131220083</v>
      </c>
      <c r="AV122" s="21">
        <f>EXP(-LN(2)/25)*AV121+(1-EXP(-LN(2)/25))/(LN(2)/25)*Calculateur!AQ122*Calculateur!AS122*VLOOKUP('Données projet'!$B$10,Paramètres!$A$1:$I$89,3,0)*0.475*44/12</f>
        <v>31.741696038736201</v>
      </c>
      <c r="AW122" s="21">
        <f>EXP(-LN(2)/2)*AW121+(1-EXP(-LN(2)/2))/(LN(2)/2)*AQ122*AT122*VLOOKUP('Données projet'!$B$10,Paramètres!$A$1:$I$89,3,0)*0.475*44/12</f>
        <v>0.98399684433851897</v>
      </c>
      <c r="AX122" s="21">
        <f t="shared" si="60"/>
        <v>140.37063419527556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7.0011111111111104</v>
      </c>
      <c r="BD122" s="12">
        <f>IF('Données projet'!$A$88&gt;35,BD121+BC122-BL121,IF(A122&lt;'Données projet'!$A$88,$BA$205^A122,IF(A122='Données projet'!$A$88,'Données projet'!$B$88,BD121+BC122-BL121)))</f>
        <v>294.26666666666665</v>
      </c>
      <c r="BE122" s="13">
        <f>BD122*VLOOKUP('Données projet'!$B$11,Paramètres!$A$1:$I$89,3,0)*VLOOKUP('Données projet'!$B$11,Paramètres!$A$1:$I$89,5,0)</f>
        <v>298.38640000000004</v>
      </c>
      <c r="BF122" s="13">
        <f t="shared" si="91"/>
        <v>70.838084831776925</v>
      </c>
      <c r="BG122" s="20">
        <f t="shared" si="61"/>
        <v>643.06597774867816</v>
      </c>
      <c r="BH122" s="59">
        <f t="shared" si="62"/>
        <v>924.97596904660736</v>
      </c>
      <c r="BI122" s="59">
        <f ca="1">AVERAGE(OFFSET($BH$3,0,0,'Données projet'!$E$11+1,1))-AVERAGE(OFFSET($H$3,0,0,'Données projet'!$E$11+1,1))</f>
        <v>580.02848304986492</v>
      </c>
      <c r="BJ122" s="59">
        <f t="shared" si="92"/>
        <v>281.68891895586728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18.896856393898048</v>
      </c>
      <c r="BQ122" s="21">
        <f>EXP(-LN(2)/25)*BQ121+(1-EXP(-LN(2)/25))/(LN(2)/25)*Calculateur!BL122*Calculateur!BN122*VLOOKUP('Données projet'!$B$11,Paramètres!$A$1:$I$89,3,0)*0.475*44/12</f>
        <v>22.983853232483323</v>
      </c>
      <c r="BR122" s="21">
        <f>EXP(-LN(2)/2)*BR121+(1-EXP(-LN(2)/2))/(LN(2)/2)*BL122*BO122*VLOOKUP('Données projet'!$B$11,Paramètres!$A$1:$I$89,3,0)*0.475*44/12</f>
        <v>0.5198330169255847</v>
      </c>
      <c r="BS122" s="22">
        <f t="shared" si="63"/>
        <v>42.400542643306963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>
        <f>BY122*VLOOKUP('Données projet'!$B$12,Paramètres!$A$1:$I$89,3,0)*VLOOKUP('Données projet'!$B$12,Paramètres!$A$1:$I$89,5,0)</f>
        <v>0</v>
      </c>
      <c r="CA122" s="13" t="e">
        <f t="shared" si="93"/>
        <v>#NUM!</v>
      </c>
      <c r="CB122" s="20" t="e">
        <f t="shared" si="64"/>
        <v>#NUM!</v>
      </c>
      <c r="CC122" s="59" t="e">
        <f t="shared" si="65"/>
        <v>#NUM!</v>
      </c>
      <c r="CD122" s="59">
        <f ca="1">AVERAGE(OFFSET($CC$3,0,0,'Données projet'!$E$12+1,1))-AVERAGE(OFFSET($H$3,0,0,'Données projet'!$E$12+1,1))</f>
        <v>439.15394290667945</v>
      </c>
      <c r="CE122" s="59">
        <f t="shared" si="94"/>
        <v>423.56554025351068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23.300891740986252</v>
      </c>
      <c r="CL122" s="21">
        <f>EXP(-LN(2)/25)*CL121+(1-EXP(-LN(2)/25))/(LN(2)/25)*Calculateur!CG122*Calculateur!CI122*VLOOKUP('Données projet'!$B$12,Paramètres!$A$1:$I$89,3,0)*0.475*44/12</f>
        <v>16.891328410320657</v>
      </c>
      <c r="CM122" s="21">
        <f>EXP(-LN(2)/2)*CM121+(1-EXP(-LN(2)/2))/(LN(2)/2)*CG122*CJ122*VLOOKUP('Données projet'!$B$12,Paramètres!$A$1:$I$89,3,0)*0.475*44/12</f>
        <v>1.0069495221192583E-4</v>
      </c>
      <c r="CN122" s="22">
        <f t="shared" si="66"/>
        <v>40.192320846259122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>
        <f>CT122*VLOOKUP('Données projet'!$B$13,Paramètres!$A$1:$I$89,3,0)*VLOOKUP('Données projet'!$B$13,Paramètres!$A$1:$I$89,5,0)</f>
        <v>0</v>
      </c>
      <c r="CV122" s="13" t="e">
        <f t="shared" si="95"/>
        <v>#NUM!</v>
      </c>
      <c r="CW122" s="20" t="e">
        <f t="shared" si="67"/>
        <v>#NUM!</v>
      </c>
      <c r="CX122" s="59" t="e">
        <f t="shared" si="68"/>
        <v>#NUM!</v>
      </c>
      <c r="CY122" s="59">
        <f ca="1">AVERAGE(OFFSET($CX$3,0,0,'Données projet'!$E$13+1,1))-AVERAGE(OFFSET($H$3,0,0,'Données projet'!$E$13+1,1))</f>
        <v>408.246209980743</v>
      </c>
      <c r="CZ122" s="59">
        <f t="shared" si="96"/>
        <v>394.10236303013903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>
        <f>EXP(-LN(2)/35)*DF121+(1-EXP(-LN(2)/35))/(LN(2)/35)*DB122*DC122*VLOOKUP('Données projet'!$B$13,Paramètres!$A$1:$I$89,3,0)*0.475*44/12</f>
        <v>26.365629693956269</v>
      </c>
      <c r="DG122" s="21">
        <f>EXP(-LN(2)/25)*DG121+(1-EXP(-LN(2)/25))/(LN(2)/25)*Calculateur!DB122*Calculateur!DD122*VLOOKUP('Données projet'!$B$13,Paramètres!$A$1:$I$89,3,0)*0.475*44/12</f>
        <v>19.113024293492845</v>
      </c>
      <c r="DH122" s="21">
        <f>EXP(-LN(2)/2)*DH121+(1-EXP(-LN(2)/2))/(LN(2)/2)*DB122*DE122*VLOOKUP('Données projet'!$B$13,Paramètres!$A$1:$I$89,3,0)*0.475*44/12</f>
        <v>9.2441267604390949E-5</v>
      </c>
      <c r="DI122" s="22">
        <f t="shared" si="69"/>
        <v>45.478746428716718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>
        <f>DO122*VLOOKUP('Données projet'!$B$14,Paramètres!$A$1:$I$89,3,0)*VLOOKUP('Données projet'!$B$14,Paramètres!$A$1:$I$89,5,0)</f>
        <v>0</v>
      </c>
      <c r="DQ122" s="13" t="e">
        <f t="shared" si="97"/>
        <v>#NUM!</v>
      </c>
      <c r="DR122" s="20" t="e">
        <f t="shared" si="70"/>
        <v>#NUM!</v>
      </c>
      <c r="DS122" s="59" t="e">
        <f t="shared" si="71"/>
        <v>#NUM!</v>
      </c>
      <c r="DT122" s="59">
        <f ca="1">AVERAGE(OFFSET($DS$3,0,0,'Données projet'!$E$14+1,1))-AVERAGE(OFFSET($H$3,0,0,'Données projet'!$E$14+1,1))</f>
        <v>371.07993287480366</v>
      </c>
      <c r="DU122" s="59">
        <f t="shared" si="98"/>
        <v>358.67120540290637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>
        <f>EXP(-LN(2)/35)*EA121+(1-EXP(-LN(2)/35))/(LN(2)/35)*DW122*DX122*VLOOKUP('Données projet'!$B$14,Paramètres!$A$1:$I$89,3,0)*0.475*44/12</f>
        <v>19.099091590972343</v>
      </c>
      <c r="EB122" s="21">
        <f>EXP(-LN(2)/25)*EB121+(1-EXP(-LN(2)/25))/(LN(2)/25)*Calculateur!DW122*Calculateur!DY122*VLOOKUP('Données projet'!$B$14,Paramètres!$A$1:$I$89,3,0)*0.475*44/12</f>
        <v>13.845351156000534</v>
      </c>
      <c r="EC122" s="21">
        <f>EXP(-LN(2)/2)*EC121+(1-EXP(-LN(2)/2))/(LN(2)/2)*DW122*DZ122*VLOOKUP('Données projet'!$B$14,Paramètres!$A$1:$I$89,3,0)*0.475*44/12</f>
        <v>8.253684607534921E-5</v>
      </c>
      <c r="ED122" s="22">
        <f t="shared" si="72"/>
        <v>32.944525283818948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45">
      <c r="A123" s="10">
        <f t="shared" si="85"/>
        <v>120</v>
      </c>
      <c r="B123" s="73">
        <f>'Scénario référence'!$B$16*5+'Scénario référence'!$B$17*0+'Scénario référence'!$B$18*5</f>
        <v>5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1">
        <f t="shared" si="86"/>
        <v>0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18.333333333333332</v>
      </c>
      <c r="H123" s="67">
        <f t="shared" si="56"/>
        <v>183.33333333333334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8.9160000000000021</v>
      </c>
      <c r="N123" s="13">
        <f>IF('Données projet'!$A$36&gt;35,N122+M123-V122,IF(A123&lt;'Données projet'!$A$36,$K$205^A123,IF(A123='Données projet'!$A$36,'Données projet'!$B$36,N122+M123-V122)))</f>
        <v>416.19600000000071</v>
      </c>
      <c r="O123" s="13">
        <f>N123*VLOOKUP('Données projet'!$B$9,Paramètres!$A$1:$I$89,3,0)*VLOOKUP('Données projet'!$B$9,Paramètres!$A$1:$I$89,5,0)</f>
        <v>376.57414080000063</v>
      </c>
      <c r="P123" s="13">
        <f t="shared" si="87"/>
        <v>87.010880052402811</v>
      </c>
      <c r="Q123" s="20">
        <f t="shared" si="107"/>
        <v>807.41057798460258</v>
      </c>
      <c r="R123" s="59">
        <f t="shared" si="55"/>
        <v>1089.5187387280791</v>
      </c>
      <c r="S123" s="59">
        <f ca="1">AVERAGE(OFFSET($R$3,0,0,'Données projet'!$E$9+1,1))-AVERAGE(OFFSET($H$3,0,0,'Données projet'!$E$9+1,1))</f>
        <v>681.47578137804555</v>
      </c>
      <c r="T123" s="59">
        <f t="shared" si="88"/>
        <v>300.88511065995885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32.37635783192426</v>
      </c>
      <c r="AA123" s="21">
        <f>EXP(-LN(2)/25)*AA122+(1-EXP(-LN(2)/25))/(LN(2)/25)*Calculateur!V123*Calculateur!X123*VLOOKUP('Données projet'!$B$9,Paramètres!$A$1:$I$89,3,0)*0.475*44/12</f>
        <v>21.829836213436341</v>
      </c>
      <c r="AB123" s="21">
        <f>EXP(-LN(2)/2)*AB122+(1-EXP(-LN(2)/2))/(LN(2)/2)*V123*Y123*VLOOKUP('Données projet'!$B$9,Paramètres!$A$1:$I$89,3,0)*0.475*44/12</f>
        <v>0.68288965550500957</v>
      </c>
      <c r="AC123" s="22">
        <f t="shared" si="57"/>
        <v>54.889083700865612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3.4106051316484809E-13</v>
      </c>
      <c r="AJ123" s="13">
        <f>AI123*VLOOKUP('Données projet'!$B$10,Paramètres!$A$1:$I$89,3,0)*VLOOKUP('Données projet'!$B$10,Paramètres!$A$1:$I$89,5,0)</f>
        <v>1.5961632016114892E-13</v>
      </c>
      <c r="AK123" s="13">
        <f t="shared" si="89"/>
        <v>2.2708641912150958E-12</v>
      </c>
      <c r="AL123" s="20">
        <f t="shared" si="58"/>
        <v>4.2330868906469593E-12</v>
      </c>
      <c r="AM123" s="59">
        <f t="shared" si="59"/>
        <v>282.10816074348082</v>
      </c>
      <c r="AN123" s="59">
        <f ca="1">AVERAGE(OFFSET($AM$3,0,0,'Données projet'!$E$10+1,1))-AVERAGE(OFFSET($H$3,0,0,'Données projet'!$E$10+1,1))</f>
        <v>325.45940224919184</v>
      </c>
      <c r="AO123" s="59">
        <f t="shared" si="90"/>
        <v>256.30046621034876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105.53408966999969</v>
      </c>
      <c r="AV123" s="21">
        <f>EXP(-LN(2)/25)*AV122+(1-EXP(-LN(2)/25))/(LN(2)/25)*Calculateur!AQ123*Calculateur!AS123*VLOOKUP('Données projet'!$B$10,Paramètres!$A$1:$I$89,3,0)*0.475*44/12</f>
        <v>30.873717691333713</v>
      </c>
      <c r="AW123" s="21">
        <f>EXP(-LN(2)/2)*AW122+(1-EXP(-LN(2)/2))/(LN(2)/2)*AQ123*AT123*VLOOKUP('Données projet'!$B$10,Paramètres!$A$1:$I$89,3,0)*0.475*44/12</f>
        <v>0.69579084129793045</v>
      </c>
      <c r="AX123" s="21">
        <f t="shared" si="60"/>
        <v>137.10359820263133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7.0011111111111104</v>
      </c>
      <c r="BD123" s="12">
        <f>IF('Données projet'!$A$88&gt;35,BD122+BC123-BL122,IF(A123&lt;'Données projet'!$A$88,$BA$205^A123,IF(A123='Données projet'!$A$88,'Données projet'!$B$88,BD122+BC123-BL122)))</f>
        <v>301.26777777777778</v>
      </c>
      <c r="BE123" s="13">
        <f>BD123*VLOOKUP('Données projet'!$B$11,Paramètres!$A$1:$I$89,3,0)*VLOOKUP('Données projet'!$B$11,Paramètres!$A$1:$I$89,5,0)</f>
        <v>305.48552666666666</v>
      </c>
      <c r="BF123" s="13">
        <f t="shared" si="91"/>
        <v>72.325225017462003</v>
      </c>
      <c r="BG123" s="20">
        <f t="shared" si="61"/>
        <v>658.020392516524</v>
      </c>
      <c r="BH123" s="59">
        <f t="shared" si="62"/>
        <v>940.12855326000067</v>
      </c>
      <c r="BI123" s="59">
        <f ca="1">AVERAGE(OFFSET($BH$3,0,0,'Données projet'!$E$11+1,1))-AVERAGE(OFFSET($H$3,0,0,'Données projet'!$E$11+1,1))</f>
        <v>580.02848304986492</v>
      </c>
      <c r="BJ123" s="59">
        <f t="shared" si="92"/>
        <v>281.68891895586728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18.526300565958014</v>
      </c>
      <c r="BQ123" s="21">
        <f>EXP(-LN(2)/25)*BQ122+(1-EXP(-LN(2)/25))/(LN(2)/25)*Calculateur!BL123*Calculateur!BN123*VLOOKUP('Données projet'!$B$11,Paramètres!$A$1:$I$89,3,0)*0.475*44/12</f>
        <v>22.355358557172757</v>
      </c>
      <c r="BR123" s="21">
        <f>EXP(-LN(2)/2)*BR122+(1-EXP(-LN(2)/2))/(LN(2)/2)*BL123*BO123*VLOOKUP('Données projet'!$B$11,Paramètres!$A$1:$I$89,3,0)*0.475*44/12</f>
        <v>0.36757745135274228</v>
      </c>
      <c r="BS123" s="22">
        <f t="shared" si="63"/>
        <v>41.249236574483518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>
        <f>BY123*VLOOKUP('Données projet'!$B$12,Paramètres!$A$1:$I$89,3,0)*VLOOKUP('Données projet'!$B$12,Paramètres!$A$1:$I$89,5,0)</f>
        <v>0</v>
      </c>
      <c r="CA123" s="13" t="e">
        <f t="shared" si="93"/>
        <v>#NUM!</v>
      </c>
      <c r="CB123" s="20" t="e">
        <f t="shared" si="64"/>
        <v>#NUM!</v>
      </c>
      <c r="CC123" s="59" t="e">
        <f t="shared" si="65"/>
        <v>#NUM!</v>
      </c>
      <c r="CD123" s="59">
        <f ca="1">AVERAGE(OFFSET($CC$3,0,0,'Données projet'!$E$12+1,1))-AVERAGE(OFFSET($H$3,0,0,'Données projet'!$E$12+1,1))</f>
        <v>439.15394290667945</v>
      </c>
      <c r="CE123" s="59">
        <f t="shared" si="94"/>
        <v>423.56554025351068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22.843975466086142</v>
      </c>
      <c r="CL123" s="21">
        <f>EXP(-LN(2)/25)*CL122+(1-EXP(-LN(2)/25))/(LN(2)/25)*Calculateur!CG123*Calculateur!CI123*VLOOKUP('Données projet'!$B$12,Paramètres!$A$1:$I$89,3,0)*0.475*44/12</f>
        <v>16.429434146664082</v>
      </c>
      <c r="CM123" s="21">
        <f>EXP(-LN(2)/2)*CM122+(1-EXP(-LN(2)/2))/(LN(2)/2)*CG123*CJ123*VLOOKUP('Données projet'!$B$12,Paramètres!$A$1:$I$89,3,0)*0.475*44/12</f>
        <v>7.1202083540308094E-5</v>
      </c>
      <c r="CN123" s="22">
        <f t="shared" si="66"/>
        <v>39.273480814833768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>
        <f>CT123*VLOOKUP('Données projet'!$B$13,Paramètres!$A$1:$I$89,3,0)*VLOOKUP('Données projet'!$B$13,Paramètres!$A$1:$I$89,5,0)</f>
        <v>0</v>
      </c>
      <c r="CV123" s="13" t="e">
        <f t="shared" si="95"/>
        <v>#NUM!</v>
      </c>
      <c r="CW123" s="20" t="e">
        <f t="shared" si="67"/>
        <v>#NUM!</v>
      </c>
      <c r="CX123" s="59" t="e">
        <f t="shared" si="68"/>
        <v>#NUM!</v>
      </c>
      <c r="CY123" s="59">
        <f ca="1">AVERAGE(OFFSET($CX$3,0,0,'Données projet'!$E$13+1,1))-AVERAGE(OFFSET($H$3,0,0,'Données projet'!$E$13+1,1))</f>
        <v>408.246209980743</v>
      </c>
      <c r="CZ123" s="59">
        <f t="shared" si="96"/>
        <v>394.10236303013903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>
        <f>EXP(-LN(2)/35)*DF122+(1-EXP(-LN(2)/35))/(LN(2)/35)*DB123*DC123*VLOOKUP('Données projet'!$B$13,Paramètres!$A$1:$I$89,3,0)*0.475*44/12</f>
        <v>25.848615777103987</v>
      </c>
      <c r="DG123" s="21">
        <f>EXP(-LN(2)/25)*DG122+(1-EXP(-LN(2)/25))/(LN(2)/25)*Calculateur!DB123*Calculateur!DD123*VLOOKUP('Données projet'!$B$13,Paramètres!$A$1:$I$89,3,0)*0.475*44/12</f>
        <v>18.590377639077019</v>
      </c>
      <c r="DH123" s="21">
        <f>EXP(-LN(2)/2)*DH122+(1-EXP(-LN(2)/2))/(LN(2)/2)*DB123*DE123*VLOOKUP('Données projet'!$B$13,Paramètres!$A$1:$I$89,3,0)*0.475*44/12</f>
        <v>6.5365847184545154E-5</v>
      </c>
      <c r="DI123" s="22">
        <f t="shared" si="69"/>
        <v>44.439058782028191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>
        <f>DO123*VLOOKUP('Données projet'!$B$14,Paramètres!$A$1:$I$89,3,0)*VLOOKUP('Données projet'!$B$14,Paramètres!$A$1:$I$89,5,0)</f>
        <v>0</v>
      </c>
      <c r="DQ123" s="13" t="e">
        <f t="shared" si="97"/>
        <v>#NUM!</v>
      </c>
      <c r="DR123" s="20" t="e">
        <f t="shared" si="70"/>
        <v>#NUM!</v>
      </c>
      <c r="DS123" s="59" t="e">
        <f t="shared" si="71"/>
        <v>#NUM!</v>
      </c>
      <c r="DT123" s="59">
        <f ca="1">AVERAGE(OFFSET($DS$3,0,0,'Données projet'!$E$14+1,1))-AVERAGE(OFFSET($H$3,0,0,'Données projet'!$E$14+1,1))</f>
        <v>371.07993287480366</v>
      </c>
      <c r="DU123" s="59">
        <f t="shared" si="98"/>
        <v>358.67120540290637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>
        <f>EXP(-LN(2)/35)*EA122+(1-EXP(-LN(2)/35))/(LN(2)/35)*DW123*DX123*VLOOKUP('Données projet'!$B$14,Paramètres!$A$1:$I$89,3,0)*0.475*44/12</f>
        <v>18.724570054168971</v>
      </c>
      <c r="EB123" s="21">
        <f>EXP(-LN(2)/25)*EB122+(1-EXP(-LN(2)/25))/(LN(2)/25)*Calculateur!DW123*Calculateur!DY123*VLOOKUP('Données projet'!$B$14,Paramètres!$A$1:$I$89,3,0)*0.475*44/12</f>
        <v>13.466749300544326</v>
      </c>
      <c r="EC123" s="21">
        <f>EXP(-LN(2)/2)*EC122+(1-EXP(-LN(2)/2))/(LN(2)/2)*DW123*DZ123*VLOOKUP('Données projet'!$B$14,Paramètres!$A$1:$I$89,3,0)*0.475*44/12</f>
        <v>5.8362363557629708E-5</v>
      </c>
      <c r="ED123" s="22">
        <f t="shared" si="72"/>
        <v>32.191377717076861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45">
      <c r="A124" s="10">
        <f t="shared" si="85"/>
        <v>121</v>
      </c>
      <c r="B124" s="73">
        <f>'Scénario référence'!$B$16*5+'Scénario référence'!$B$17*0+'Scénario référence'!$B$18*5</f>
        <v>5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1">
        <f t="shared" si="86"/>
        <v>0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18.333333333333332</v>
      </c>
      <c r="H124" s="67">
        <f t="shared" si="56"/>
        <v>183.33333333333334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8.9160000000000021</v>
      </c>
      <c r="N124" s="13">
        <f>IF('Données projet'!$A$36&gt;35,N123+M124-V123,IF(A124&lt;'Données projet'!$A$36,$K$205^A124,IF(A124='Données projet'!$A$36,'Données projet'!$B$36,N123+M124-V123)))</f>
        <v>425.11200000000071</v>
      </c>
      <c r="O124" s="13">
        <f>N124*VLOOKUP('Données projet'!$B$9,Paramètres!$A$1:$I$89,3,0)*VLOOKUP('Données projet'!$B$9,Paramètres!$A$1:$I$89,5,0)</f>
        <v>384.64133760000061</v>
      </c>
      <c r="P124" s="13">
        <f t="shared" si="87"/>
        <v>88.65587241476193</v>
      </c>
      <c r="Q124" s="20">
        <f t="shared" si="107"/>
        <v>824.32597410904464</v>
      </c>
      <c r="R124" s="59">
        <f t="shared" si="55"/>
        <v>1106.6288665012289</v>
      </c>
      <c r="S124" s="59">
        <f ca="1">AVERAGE(OFFSET($R$3,0,0,'Données projet'!$E$9+1,1))-AVERAGE(OFFSET($H$3,0,0,'Données projet'!$E$9+1,1))</f>
        <v>681.47578137804555</v>
      </c>
      <c r="T124" s="59">
        <f t="shared" si="88"/>
        <v>300.88511065995885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31.741477202468587</v>
      </c>
      <c r="AA124" s="21">
        <f>EXP(-LN(2)/25)*AA123+(1-EXP(-LN(2)/25))/(LN(2)/25)*Calculateur!V124*Calculateur!X124*VLOOKUP('Données projet'!$B$9,Paramètres!$A$1:$I$89,3,0)*0.475*44/12</f>
        <v>21.232898194198729</v>
      </c>
      <c r="AB124" s="21">
        <f>EXP(-LN(2)/2)*AB123+(1-EXP(-LN(2)/2))/(LN(2)/2)*V124*Y124*VLOOKUP('Données projet'!$B$9,Paramètres!$A$1:$I$89,3,0)*0.475*44/12</f>
        <v>0.48287590620973764</v>
      </c>
      <c r="AC124" s="22">
        <f t="shared" si="57"/>
        <v>53.457251302877047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3.4106051316484809E-13</v>
      </c>
      <c r="AJ124" s="13">
        <f>AI124*VLOOKUP('Données projet'!$B$10,Paramètres!$A$1:$I$89,3,0)*VLOOKUP('Données projet'!$B$10,Paramètres!$A$1:$I$89,5,0)</f>
        <v>1.5961632016114892E-13</v>
      </c>
      <c r="AK124" s="13">
        <f t="shared" si="89"/>
        <v>2.2708641912150958E-12</v>
      </c>
      <c r="AL124" s="20">
        <f t="shared" si="58"/>
        <v>4.2330868906469593E-12</v>
      </c>
      <c r="AM124" s="59">
        <f t="shared" si="59"/>
        <v>282.3028923921886</v>
      </c>
      <c r="AN124" s="59">
        <f ca="1">AVERAGE(OFFSET($AM$3,0,0,'Données projet'!$E$10+1,1))-AVERAGE(OFFSET($H$3,0,0,'Données projet'!$E$10+1,1))</f>
        <v>325.45940224919184</v>
      </c>
      <c r="AO124" s="59">
        <f t="shared" si="90"/>
        <v>256.30046621034876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103.46463054100974</v>
      </c>
      <c r="AV124" s="21">
        <f>EXP(-LN(2)/25)*AV123+(1-EXP(-LN(2)/25))/(LN(2)/25)*Calculateur!AQ124*Calculateur!AS124*VLOOKUP('Données projet'!$B$10,Paramètres!$A$1:$I$89,3,0)*0.475*44/12</f>
        <v>30.029474257485941</v>
      </c>
      <c r="AW124" s="21">
        <f>EXP(-LN(2)/2)*AW123+(1-EXP(-LN(2)/2))/(LN(2)/2)*AQ124*AT124*VLOOKUP('Données projet'!$B$10,Paramètres!$A$1:$I$89,3,0)*0.475*44/12</f>
        <v>0.49199842216925954</v>
      </c>
      <c r="AX124" s="21">
        <f t="shared" si="60"/>
        <v>133.98610322066492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7.0011111111111104</v>
      </c>
      <c r="BD124" s="12">
        <f>IF('Données projet'!$A$88&gt;35,BD123+BC124-BL123,IF(A124&lt;'Données projet'!$A$88,$BA$205^A124,IF(A124='Données projet'!$A$88,'Données projet'!$B$88,BD123+BC124-BL123)))</f>
        <v>308.26888888888891</v>
      </c>
      <c r="BE124" s="13">
        <f>BD124*VLOOKUP('Données projet'!$B$11,Paramètres!$A$1:$I$89,3,0)*VLOOKUP('Données projet'!$B$11,Paramètres!$A$1:$I$89,5,0)</f>
        <v>312.58465333333339</v>
      </c>
      <c r="BF124" s="13">
        <f t="shared" si="91"/>
        <v>73.808347542593367</v>
      </c>
      <c r="BG124" s="20">
        <f t="shared" si="61"/>
        <v>672.96780985890575</v>
      </c>
      <c r="BH124" s="59">
        <f t="shared" si="62"/>
        <v>955.27070225109014</v>
      </c>
      <c r="BI124" s="59">
        <f ca="1">AVERAGE(OFFSET($BH$3,0,0,'Données projet'!$E$11+1,1))-AVERAGE(OFFSET($H$3,0,0,'Données projet'!$E$11+1,1))</f>
        <v>580.02848304986492</v>
      </c>
      <c r="BJ124" s="59">
        <f t="shared" si="92"/>
        <v>281.68891895586728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18.163011111787146</v>
      </c>
      <c r="BQ124" s="21">
        <f>EXP(-LN(2)/25)*BQ123+(1-EXP(-LN(2)/25))/(LN(2)/25)*Calculateur!BL124*Calculateur!BN124*VLOOKUP('Données projet'!$B$11,Paramètres!$A$1:$I$89,3,0)*0.475*44/12</f>
        <v>21.744050101809655</v>
      </c>
      <c r="BR124" s="21">
        <f>EXP(-LN(2)/2)*BR123+(1-EXP(-LN(2)/2))/(LN(2)/2)*BL124*BO124*VLOOKUP('Données projet'!$B$11,Paramètres!$A$1:$I$89,3,0)*0.475*44/12</f>
        <v>0.25991650846279235</v>
      </c>
      <c r="BS124" s="22">
        <f t="shared" si="63"/>
        <v>40.166977722059599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>
        <f>BY124*VLOOKUP('Données projet'!$B$12,Paramètres!$A$1:$I$89,3,0)*VLOOKUP('Données projet'!$B$12,Paramètres!$A$1:$I$89,5,0)</f>
        <v>0</v>
      </c>
      <c r="CA124" s="13" t="e">
        <f t="shared" si="93"/>
        <v>#NUM!</v>
      </c>
      <c r="CB124" s="20" t="e">
        <f t="shared" si="64"/>
        <v>#NUM!</v>
      </c>
      <c r="CC124" s="59" t="e">
        <f t="shared" si="65"/>
        <v>#NUM!</v>
      </c>
      <c r="CD124" s="59">
        <f ca="1">AVERAGE(OFFSET($CC$3,0,0,'Données projet'!$E$12+1,1))-AVERAGE(OFFSET($H$3,0,0,'Données projet'!$E$12+1,1))</f>
        <v>439.15394290667945</v>
      </c>
      <c r="CE124" s="59">
        <f t="shared" si="94"/>
        <v>423.56554025351068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22.396019040645413</v>
      </c>
      <c r="CL124" s="21">
        <f>EXP(-LN(2)/25)*CL123+(1-EXP(-LN(2)/25))/(LN(2)/25)*Calculateur!CG124*Calculateur!CI124*VLOOKUP('Données projet'!$B$12,Paramètres!$A$1:$I$89,3,0)*0.475*44/12</f>
        <v>15.980170405937161</v>
      </c>
      <c r="CM124" s="21">
        <f>EXP(-LN(2)/2)*CM123+(1-EXP(-LN(2)/2))/(LN(2)/2)*CG124*CJ124*VLOOKUP('Données projet'!$B$12,Paramètres!$A$1:$I$89,3,0)*0.475*44/12</f>
        <v>5.0347476105962913E-5</v>
      </c>
      <c r="CN124" s="22">
        <f t="shared" si="66"/>
        <v>38.376239794058677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>
        <f>CT124*VLOOKUP('Données projet'!$B$13,Paramètres!$A$1:$I$89,3,0)*VLOOKUP('Données projet'!$B$13,Paramètres!$A$1:$I$89,5,0)</f>
        <v>0</v>
      </c>
      <c r="CV124" s="13" t="e">
        <f t="shared" si="95"/>
        <v>#NUM!</v>
      </c>
      <c r="CW124" s="20" t="e">
        <f t="shared" si="67"/>
        <v>#NUM!</v>
      </c>
      <c r="CX124" s="59" t="e">
        <f t="shared" si="68"/>
        <v>#NUM!</v>
      </c>
      <c r="CY124" s="59">
        <f ca="1">AVERAGE(OFFSET($CX$3,0,0,'Données projet'!$E$13+1,1))-AVERAGE(OFFSET($H$3,0,0,'Données projet'!$E$13+1,1))</f>
        <v>408.246209980743</v>
      </c>
      <c r="CZ124" s="59">
        <f t="shared" si="96"/>
        <v>394.10236303013903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>
        <f>EXP(-LN(2)/35)*DF123+(1-EXP(-LN(2)/35))/(LN(2)/35)*DB124*DC124*VLOOKUP('Données projet'!$B$13,Paramètres!$A$1:$I$89,3,0)*0.475*44/12</f>
        <v>25.34174018781383</v>
      </c>
      <c r="DG124" s="21">
        <f>EXP(-LN(2)/25)*DG123+(1-EXP(-LN(2)/25))/(LN(2)/25)*Calculateur!DB124*Calculateur!DD124*VLOOKUP('Données projet'!$B$13,Paramètres!$A$1:$I$89,3,0)*0.475*44/12</f>
        <v>18.082022784910986</v>
      </c>
      <c r="DH124" s="21">
        <f>EXP(-LN(2)/2)*DH123+(1-EXP(-LN(2)/2))/(LN(2)/2)*DB124*DE124*VLOOKUP('Données projet'!$B$13,Paramètres!$A$1:$I$89,3,0)*0.475*44/12</f>
        <v>4.6220633802195475E-5</v>
      </c>
      <c r="DI124" s="22">
        <f t="shared" si="69"/>
        <v>43.423809193358622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>
        <f>DO124*VLOOKUP('Données projet'!$B$14,Paramètres!$A$1:$I$89,3,0)*VLOOKUP('Données projet'!$B$14,Paramètres!$A$1:$I$89,5,0)</f>
        <v>0</v>
      </c>
      <c r="DQ124" s="13" t="e">
        <f t="shared" si="97"/>
        <v>#NUM!</v>
      </c>
      <c r="DR124" s="20" t="e">
        <f t="shared" si="70"/>
        <v>#NUM!</v>
      </c>
      <c r="DS124" s="59" t="e">
        <f t="shared" si="71"/>
        <v>#NUM!</v>
      </c>
      <c r="DT124" s="59">
        <f ca="1">AVERAGE(OFFSET($DS$3,0,0,'Données projet'!$E$14+1,1))-AVERAGE(OFFSET($H$3,0,0,'Données projet'!$E$14+1,1))</f>
        <v>371.07993287480366</v>
      </c>
      <c r="DU124" s="59">
        <f t="shared" si="98"/>
        <v>358.67120540290637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>
        <f>EXP(-LN(2)/35)*EA123+(1-EXP(-LN(2)/35))/(LN(2)/35)*DW124*DX124*VLOOKUP('Données projet'!$B$14,Paramètres!$A$1:$I$89,3,0)*0.475*44/12</f>
        <v>18.357392656266736</v>
      </c>
      <c r="EB124" s="21">
        <f>EXP(-LN(2)/25)*EB123+(1-EXP(-LN(2)/25))/(LN(2)/25)*Calculateur!DW124*Calculateur!DY124*VLOOKUP('Données projet'!$B$14,Paramètres!$A$1:$I$89,3,0)*0.475*44/12</f>
        <v>13.098500332735373</v>
      </c>
      <c r="EC124" s="21">
        <f>EXP(-LN(2)/2)*EC123+(1-EXP(-LN(2)/2))/(LN(2)/2)*DW124*DZ124*VLOOKUP('Données projet'!$B$14,Paramètres!$A$1:$I$89,3,0)*0.475*44/12</f>
        <v>4.1268423037674605E-5</v>
      </c>
      <c r="ED124" s="22">
        <f t="shared" si="72"/>
        <v>31.455934257425145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45">
      <c r="A125" s="10">
        <f t="shared" si="85"/>
        <v>122</v>
      </c>
      <c r="B125" s="73">
        <f>'Scénario référence'!$B$16*5+'Scénario référence'!$B$17*0+'Scénario référence'!$B$18*5</f>
        <v>5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1">
        <f t="shared" si="86"/>
        <v>0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18.333333333333332</v>
      </c>
      <c r="H125" s="67">
        <f t="shared" si="56"/>
        <v>183.33333333333334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8.9160000000000021</v>
      </c>
      <c r="N125" s="13">
        <f>IF('Données projet'!$A$36&gt;35,N124+M125-V124,IF(A125&lt;'Données projet'!$A$36,$K$205^A125,IF(A125='Données projet'!$A$36,'Données projet'!$B$36,N124+M125-V124)))</f>
        <v>434.0280000000007</v>
      </c>
      <c r="O125" s="13">
        <f>N125*VLOOKUP('Données projet'!$B$9,Paramètres!$A$1:$I$89,3,0)*VLOOKUP('Données projet'!$B$9,Paramètres!$A$1:$I$89,5,0)</f>
        <v>392.70853440000059</v>
      </c>
      <c r="P125" s="13">
        <f t="shared" si="87"/>
        <v>90.296853458070288</v>
      </c>
      <c r="Q125" s="20">
        <f t="shared" si="107"/>
        <v>841.23438385280679</v>
      </c>
      <c r="R125" s="59">
        <f t="shared" si="55"/>
        <v>1123.7286297349485</v>
      </c>
      <c r="S125" s="59">
        <f ca="1">AVERAGE(OFFSET($R$3,0,0,'Données projet'!$E$9+1,1))-AVERAGE(OFFSET($H$3,0,0,'Données projet'!$E$9+1,1))</f>
        <v>681.47578137804555</v>
      </c>
      <c r="T125" s="59">
        <f t="shared" si="88"/>
        <v>300.88511065995885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31.11904619491759</v>
      </c>
      <c r="AA125" s="21">
        <f>EXP(-LN(2)/25)*AA124+(1-EXP(-LN(2)/25))/(LN(2)/25)*Calculateur!V125*Calculateur!X125*VLOOKUP('Données projet'!$B$9,Paramètres!$A$1:$I$89,3,0)*0.475*44/12</f>
        <v>20.652283476488776</v>
      </c>
      <c r="AB125" s="21">
        <f>EXP(-LN(2)/2)*AB124+(1-EXP(-LN(2)/2))/(LN(2)/2)*V125*Y125*VLOOKUP('Données projet'!$B$9,Paramètres!$A$1:$I$89,3,0)*0.475*44/12</f>
        <v>0.34144482775250484</v>
      </c>
      <c r="AC125" s="22">
        <f t="shared" si="57"/>
        <v>52.112774499158867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3.4106051316484809E-13</v>
      </c>
      <c r="AJ125" s="13">
        <f>AI125*VLOOKUP('Données projet'!$B$10,Paramètres!$A$1:$I$89,3,0)*VLOOKUP('Données projet'!$B$10,Paramètres!$A$1:$I$89,5,0)</f>
        <v>1.5961632016114892E-13</v>
      </c>
      <c r="AK125" s="13">
        <f t="shared" si="89"/>
        <v>2.2708641912150958E-12</v>
      </c>
      <c r="AL125" s="20">
        <f t="shared" si="58"/>
        <v>4.2330868906469593E-12</v>
      </c>
      <c r="AM125" s="59">
        <f t="shared" si="59"/>
        <v>282.494245882146</v>
      </c>
      <c r="AN125" s="59">
        <f ca="1">AVERAGE(OFFSET($AM$3,0,0,'Données projet'!$E$10+1,1))-AVERAGE(OFFSET($H$3,0,0,'Données projet'!$E$10+1,1))</f>
        <v>325.45940224919184</v>
      </c>
      <c r="AO125" s="59">
        <f t="shared" si="90"/>
        <v>256.30046621034876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101.43575224329385</v>
      </c>
      <c r="AV125" s="21">
        <f>EXP(-LN(2)/25)*AV124+(1-EXP(-LN(2)/25))/(LN(2)/25)*Calculateur!AQ125*Calculateur!AS125*VLOOKUP('Données projet'!$B$10,Paramètres!$A$1:$I$89,3,0)*0.475*44/12</f>
        <v>29.208316704733569</v>
      </c>
      <c r="AW125" s="21">
        <f>EXP(-LN(2)/2)*AW124+(1-EXP(-LN(2)/2))/(LN(2)/2)*AQ125*AT125*VLOOKUP('Données projet'!$B$10,Paramètres!$A$1:$I$89,3,0)*0.475*44/12</f>
        <v>0.34789542064896528</v>
      </c>
      <c r="AX125" s="21">
        <f t="shared" si="60"/>
        <v>130.99196436867638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>
        <f>VLOOKUP(A125,'Données projet'!$A$87:$I$107,2,0)</f>
        <v>315.27</v>
      </c>
      <c r="BB125" s="12">
        <f>VLOOKUP(A125,'Données projet'!$A$87:$I$107,9,0)</f>
        <v>7.0011111111111104</v>
      </c>
      <c r="BC125" s="12">
        <f t="array" ref="BC125">INDEX(BB:BB,MIN(IF(ISNUMBER(BB125:BB321),ROW(BB125:BB321),"")))</f>
        <v>7.0011111111111104</v>
      </c>
      <c r="BD125" s="12">
        <f>IF('Données projet'!$A$88&gt;35,BD124+BC125-BL124,IF(A125&lt;'Données projet'!$A$88,$BA$205^A125,IF(A125='Données projet'!$A$88,'Données projet'!$B$88,BD124+BC125-BL124)))</f>
        <v>315.27000000000004</v>
      </c>
      <c r="BE125" s="13">
        <f>BD125*VLOOKUP('Données projet'!$B$11,Paramètres!$A$1:$I$89,3,0)*VLOOKUP('Données projet'!$B$11,Paramètres!$A$1:$I$89,5,0)</f>
        <v>319.68378000000007</v>
      </c>
      <c r="BF125" s="13">
        <f t="shared" si="91"/>
        <v>75.287554156575837</v>
      </c>
      <c r="BG125" s="20">
        <f t="shared" si="61"/>
        <v>687.90840698936972</v>
      </c>
      <c r="BH125" s="59">
        <f t="shared" si="62"/>
        <v>970.40265287151146</v>
      </c>
      <c r="BI125" s="59">
        <f ca="1">AVERAGE(OFFSET($BH$3,0,0,'Données projet'!$E$11+1,1))-AVERAGE(OFFSET($H$3,0,0,'Données projet'!$E$11+1,1))</f>
        <v>580.02848304986492</v>
      </c>
      <c r="BJ125" s="59">
        <f t="shared" si="92"/>
        <v>281.68891895586728</v>
      </c>
      <c r="BK125" s="15">
        <f>IF(ISNA(VLOOKUP(A125,'Données projet'!$A$87:$I$107,3,0)),0,VLOOKUP(A125,'Données projet'!$A$87:$I$107,3,0))</f>
        <v>8</v>
      </c>
      <c r="BL125" s="15">
        <f>IF(ISNA(VLOOKUP(A125,'Données projet'!$A$87:$I$107,4,0)),0,VLOOKUP(A125,'Données projet'!$A$87:$I$107,4,0))</f>
        <v>45.829999999999984</v>
      </c>
      <c r="BM125" s="16">
        <f>IF(ISNA(VLOOKUP(A125,'Données projet'!$A$87:$I$107,5,0)),0%,VLOOKUP(A125,'Données projet'!$A$87:$I$107,5,0)*VLOOKUP('Données projet'!$B$11,Paramètres!$A$1:$I$89,7,0))</f>
        <v>0.15049999999999999</v>
      </c>
      <c r="BN125" s="16">
        <f>IF(ISNA(VLOOKUP(A125,'Données projet'!$A$87:$I$107,6,0)),0%,VLOOKUP(A125,'Données projet'!$A$87:$I$107,6,0)*VLOOKUP('Données projet'!$B$11,Paramètres!$A$1:$I$89,7,0))</f>
        <v>8.6000000000000007E-2</v>
      </c>
      <c r="BO125" s="16">
        <f>IF(ISNA(VLOOKUP(A125,'Données projet'!$A$87:$I$107,7,0)),0%,VLOOKUP(A125,'Données projet'!$A$87:$I$107,7,0))</f>
        <v>0.1</v>
      </c>
      <c r="BP125" s="21">
        <f>EXP(-LN(2)/35)*BP124+(1-EXP(-LN(2)/35))/(LN(2)/35)*BL125*BM125*VLOOKUP('Données projet'!$B$11,Paramètres!$A$1:$I$89,3,0)*0.475*44/12</f>
        <v>25.538481951763991</v>
      </c>
      <c r="BQ125" s="21">
        <f>EXP(-LN(2)/25)*BQ124+(1-EXP(-LN(2)/25))/(LN(2)/25)*Calculateur!BL125*Calculateur!BN125*VLOOKUP('Données projet'!$B$11,Paramètres!$A$1:$I$89,3,0)*0.475*44/12</f>
        <v>25.550140200309961</v>
      </c>
      <c r="BR125" s="21">
        <f>EXP(-LN(2)/2)*BR124+(1-EXP(-LN(2)/2))/(LN(2)/2)*BL125*BO125*VLOOKUP('Données projet'!$B$11,Paramètres!$A$1:$I$89,3,0)*0.475*44/12</f>
        <v>4.568511149207775</v>
      </c>
      <c r="BS125" s="22">
        <f t="shared" si="63"/>
        <v>55.657133301281725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>
        <f>BY125*VLOOKUP('Données projet'!$B$12,Paramètres!$A$1:$I$89,3,0)*VLOOKUP('Données projet'!$B$12,Paramètres!$A$1:$I$89,5,0)</f>
        <v>0</v>
      </c>
      <c r="CA125" s="13" t="e">
        <f t="shared" si="93"/>
        <v>#NUM!</v>
      </c>
      <c r="CB125" s="20" t="e">
        <f t="shared" si="64"/>
        <v>#NUM!</v>
      </c>
      <c r="CC125" s="59" t="e">
        <f t="shared" si="65"/>
        <v>#NUM!</v>
      </c>
      <c r="CD125" s="59">
        <f ca="1">AVERAGE(OFFSET($CC$3,0,0,'Données projet'!$E$12+1,1))-AVERAGE(OFFSET($H$3,0,0,'Données projet'!$E$12+1,1))</f>
        <v>439.15394290667945</v>
      </c>
      <c r="CE125" s="59">
        <f t="shared" si="94"/>
        <v>423.56554025351068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21.956846767481135</v>
      </c>
      <c r="CL125" s="21">
        <f>EXP(-LN(2)/25)*CL124+(1-EXP(-LN(2)/25))/(LN(2)/25)*Calculateur!CG125*Calculateur!CI125*VLOOKUP('Données projet'!$B$12,Paramètres!$A$1:$I$89,3,0)*0.475*44/12</f>
        <v>15.54319180582617</v>
      </c>
      <c r="CM125" s="21">
        <f>EXP(-LN(2)/2)*CM124+(1-EXP(-LN(2)/2))/(LN(2)/2)*CG125*CJ125*VLOOKUP('Données projet'!$B$12,Paramètres!$A$1:$I$89,3,0)*0.475*44/12</f>
        <v>3.5601041770154047E-5</v>
      </c>
      <c r="CN125" s="22">
        <f t="shared" si="66"/>
        <v>37.500074174349081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>
        <f>CT125*VLOOKUP('Données projet'!$B$13,Paramètres!$A$1:$I$89,3,0)*VLOOKUP('Données projet'!$B$13,Paramètres!$A$1:$I$89,5,0)</f>
        <v>0</v>
      </c>
      <c r="CV125" s="13" t="e">
        <f t="shared" si="95"/>
        <v>#NUM!</v>
      </c>
      <c r="CW125" s="20" t="e">
        <f t="shared" si="67"/>
        <v>#NUM!</v>
      </c>
      <c r="CX125" s="59" t="e">
        <f t="shared" si="68"/>
        <v>#NUM!</v>
      </c>
      <c r="CY125" s="59">
        <f ca="1">AVERAGE(OFFSET($CX$3,0,0,'Données projet'!$E$13+1,1))-AVERAGE(OFFSET($H$3,0,0,'Données projet'!$E$13+1,1))</f>
        <v>408.246209980743</v>
      </c>
      <c r="CZ125" s="59">
        <f t="shared" si="96"/>
        <v>394.10236303013903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>
        <f>EXP(-LN(2)/35)*DF124+(1-EXP(-LN(2)/35))/(LN(2)/35)*DB125*DC125*VLOOKUP('Données projet'!$B$13,Paramètres!$A$1:$I$89,3,0)*0.475*44/12</f>
        <v>24.844804119666069</v>
      </c>
      <c r="DG125" s="21">
        <f>EXP(-LN(2)/25)*DG124+(1-EXP(-LN(2)/25))/(LN(2)/25)*Calculateur!DB125*Calculateur!DD125*VLOOKUP('Données projet'!$B$13,Paramètres!$A$1:$I$89,3,0)*0.475*44/12</f>
        <v>17.587568920965346</v>
      </c>
      <c r="DH125" s="21">
        <f>EXP(-LN(2)/2)*DH124+(1-EXP(-LN(2)/2))/(LN(2)/2)*DB125*DE125*VLOOKUP('Données projet'!$B$13,Paramètres!$A$1:$I$89,3,0)*0.475*44/12</f>
        <v>3.2682923592272577E-5</v>
      </c>
      <c r="DI125" s="22">
        <f t="shared" si="69"/>
        <v>42.432405723555007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>
        <f>DO125*VLOOKUP('Données projet'!$B$14,Paramètres!$A$1:$I$89,3,0)*VLOOKUP('Données projet'!$B$14,Paramètres!$A$1:$I$89,5,0)</f>
        <v>0</v>
      </c>
      <c r="DQ125" s="13" t="e">
        <f t="shared" si="97"/>
        <v>#NUM!</v>
      </c>
      <c r="DR125" s="20" t="e">
        <f t="shared" si="70"/>
        <v>#NUM!</v>
      </c>
      <c r="DS125" s="59" t="e">
        <f t="shared" si="71"/>
        <v>#NUM!</v>
      </c>
      <c r="DT125" s="59">
        <f ca="1">AVERAGE(OFFSET($DS$3,0,0,'Données projet'!$E$14+1,1))-AVERAGE(OFFSET($H$3,0,0,'Données projet'!$E$14+1,1))</f>
        <v>371.07993287480366</v>
      </c>
      <c r="DU125" s="59">
        <f t="shared" si="98"/>
        <v>358.67120540290637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>
        <f>EXP(-LN(2)/35)*EA124+(1-EXP(-LN(2)/35))/(LN(2)/35)*DW125*DX125*VLOOKUP('Données projet'!$B$14,Paramètres!$A$1:$I$89,3,0)*0.475*44/12</f>
        <v>17.997415383181263</v>
      </c>
      <c r="EB125" s="21">
        <f>EXP(-LN(2)/25)*EB124+(1-EXP(-LN(2)/25))/(LN(2)/25)*Calculateur!DW125*Calculateur!DY125*VLOOKUP('Données projet'!$B$14,Paramètres!$A$1:$I$89,3,0)*0.475*44/12</f>
        <v>12.740321152316529</v>
      </c>
      <c r="EC125" s="21">
        <f>EXP(-LN(2)/2)*EC124+(1-EXP(-LN(2)/2))/(LN(2)/2)*DW125*DZ125*VLOOKUP('Données projet'!$B$14,Paramètres!$A$1:$I$89,3,0)*0.475*44/12</f>
        <v>2.9181181778814854E-5</v>
      </c>
      <c r="ED125" s="22">
        <f t="shared" si="72"/>
        <v>30.737765716679572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45">
      <c r="A126" s="10">
        <f t="shared" si="85"/>
        <v>123</v>
      </c>
      <c r="B126" s="73">
        <f>'Scénario référence'!$B$16*5+'Scénario référence'!$B$17*0+'Scénario référence'!$B$18*5</f>
        <v>5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1">
        <f t="shared" si="86"/>
        <v>0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18.333333333333332</v>
      </c>
      <c r="H126" s="67">
        <f t="shared" si="56"/>
        <v>183.33333333333334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8.9160000000000021</v>
      </c>
      <c r="N126" s="13">
        <f>IF('Données projet'!$A$36&gt;35,N125+M126-V125,IF(A126&lt;'Données projet'!$A$36,$K$205^A126,IF(A126='Données projet'!$A$36,'Données projet'!$B$36,N125+M126-V125)))</f>
        <v>442.9440000000007</v>
      </c>
      <c r="O126" s="13">
        <f>N126*VLOOKUP('Données projet'!$B$9,Paramètres!$A$1:$I$89,3,0)*VLOOKUP('Données projet'!$B$9,Paramètres!$A$1:$I$89,5,0)</f>
        <v>400.77573120000062</v>
      </c>
      <c r="P126" s="13">
        <f t="shared" si="87"/>
        <v>91.933915079444887</v>
      </c>
      <c r="Q126" s="20">
        <f t="shared" si="107"/>
        <v>858.13596727003414</v>
      </c>
      <c r="R126" s="59">
        <f t="shared" si="55"/>
        <v>1140.8182470868849</v>
      </c>
      <c r="S126" s="59">
        <f ca="1">AVERAGE(OFFSET($R$3,0,0,'Données projet'!$E$9+1,1))-AVERAGE(OFFSET($H$3,0,0,'Données projet'!$E$9+1,1))</f>
        <v>681.47578137804555</v>
      </c>
      <c r="T126" s="59">
        <f t="shared" si="88"/>
        <v>300.88511065995885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30.508820679779241</v>
      </c>
      <c r="AA126" s="21">
        <f>EXP(-LN(2)/25)*AA125+(1-EXP(-LN(2)/25))/(LN(2)/25)*Calculateur!V126*Calculateur!X126*VLOOKUP('Données projet'!$B$9,Paramètres!$A$1:$I$89,3,0)*0.475*44/12</f>
        <v>20.087545698767805</v>
      </c>
      <c r="AB126" s="21">
        <f>EXP(-LN(2)/2)*AB125+(1-EXP(-LN(2)/2))/(LN(2)/2)*V126*Y126*VLOOKUP('Données projet'!$B$9,Paramètres!$A$1:$I$89,3,0)*0.475*44/12</f>
        <v>0.24143795310486887</v>
      </c>
      <c r="AC126" s="22">
        <f t="shared" si="57"/>
        <v>50.837804331651917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3.4106051316484809E-13</v>
      </c>
      <c r="AJ126" s="13">
        <f>AI126*VLOOKUP('Données projet'!$B$10,Paramètres!$A$1:$I$89,3,0)*VLOOKUP('Données projet'!$B$10,Paramètres!$A$1:$I$89,5,0)</f>
        <v>1.5961632016114892E-13</v>
      </c>
      <c r="AK126" s="13">
        <f t="shared" si="89"/>
        <v>2.2708641912150958E-12</v>
      </c>
      <c r="AL126" s="20">
        <f t="shared" si="58"/>
        <v>4.2330868906469593E-12</v>
      </c>
      <c r="AM126" s="59">
        <f t="shared" si="59"/>
        <v>282.68227981685487</v>
      </c>
      <c r="AN126" s="59">
        <f ca="1">AVERAGE(OFFSET($AM$3,0,0,'Données projet'!$E$10+1,1))-AVERAGE(OFFSET($H$3,0,0,'Données projet'!$E$10+1,1))</f>
        <v>325.45940224919184</v>
      </c>
      <c r="AO126" s="59">
        <f t="shared" si="90"/>
        <v>256.30046621034876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99.446659011502604</v>
      </c>
      <c r="AV126" s="21">
        <f>EXP(-LN(2)/25)*AV125+(1-EXP(-LN(2)/25))/(LN(2)/25)*Calculateur!AQ126*Calculateur!AS126*VLOOKUP('Données projet'!$B$10,Paramètres!$A$1:$I$89,3,0)*0.475*44/12</f>
        <v>28.409613748444009</v>
      </c>
      <c r="AW126" s="21">
        <f>EXP(-LN(2)/2)*AW125+(1-EXP(-LN(2)/2))/(LN(2)/2)*AQ126*AT126*VLOOKUP('Données projet'!$B$10,Paramètres!$A$1:$I$89,3,0)*0.475*44/12</f>
        <v>0.24599921108462983</v>
      </c>
      <c r="AX126" s="21">
        <f t="shared" si="60"/>
        <v>128.10227197103126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7.1129999999999995</v>
      </c>
      <c r="BD126" s="12">
        <f>IF('Données projet'!$A$88&gt;35,BD125+BC126-BL125,IF(A126&lt;'Données projet'!$A$88,$BA$205^A126,IF(A126='Données projet'!$A$88,'Données projet'!$B$88,BD125+BC126-BL125)))</f>
        <v>276.55300000000005</v>
      </c>
      <c r="BE126" s="13">
        <f>BD126*VLOOKUP('Données projet'!$B$11,Paramètres!$A$1:$I$89,3,0)*VLOOKUP('Données projet'!$B$11,Paramètres!$A$1:$I$89,5,0)</f>
        <v>280.42474200000009</v>
      </c>
      <c r="BF126" s="13">
        <f t="shared" si="91"/>
        <v>67.056761155527383</v>
      </c>
      <c r="BG126" s="20">
        <f t="shared" si="61"/>
        <v>605.19695132921026</v>
      </c>
      <c r="BH126" s="59">
        <f t="shared" si="62"/>
        <v>887.87923114606087</v>
      </c>
      <c r="BI126" s="59">
        <f ca="1">AVERAGE(OFFSET($BH$3,0,0,'Données projet'!$E$11+1,1))-AVERAGE(OFFSET($H$3,0,0,'Données projet'!$E$11+1,1))</f>
        <v>580.02848304986492</v>
      </c>
      <c r="BJ126" s="59">
        <f t="shared" si="92"/>
        <v>281.68891895586728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25.037687897625794</v>
      </c>
      <c r="BQ126" s="21">
        <f>EXP(-LN(2)/25)*BQ125+(1-EXP(-LN(2)/25))/(LN(2)/25)*Calculateur!BL126*Calculateur!BN126*VLOOKUP('Données projet'!$B$11,Paramètres!$A$1:$I$89,3,0)*0.475*44/12</f>
        <v>24.851470272909008</v>
      </c>
      <c r="BR126" s="21">
        <f>EXP(-LN(2)/2)*BR125+(1-EXP(-LN(2)/2))/(LN(2)/2)*BL126*BO126*VLOOKUP('Données projet'!$B$11,Paramètres!$A$1:$I$89,3,0)*0.475*44/12</f>
        <v>3.2304252135311651</v>
      </c>
      <c r="BS126" s="22">
        <f t="shared" si="63"/>
        <v>53.119583384065962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>
        <f>BY126*VLOOKUP('Données projet'!$B$12,Paramètres!$A$1:$I$89,3,0)*VLOOKUP('Données projet'!$B$12,Paramètres!$A$1:$I$89,5,0)</f>
        <v>0</v>
      </c>
      <c r="CA126" s="13" t="e">
        <f t="shared" si="93"/>
        <v>#NUM!</v>
      </c>
      <c r="CB126" s="20" t="e">
        <f t="shared" si="64"/>
        <v>#NUM!</v>
      </c>
      <c r="CC126" s="59" t="e">
        <f t="shared" si="65"/>
        <v>#NUM!</v>
      </c>
      <c r="CD126" s="59">
        <f ca="1">AVERAGE(OFFSET($CC$3,0,0,'Données projet'!$E$12+1,1))-AVERAGE(OFFSET($H$3,0,0,'Données projet'!$E$12+1,1))</f>
        <v>439.15394290667945</v>
      </c>
      <c r="CE126" s="59">
        <f t="shared" si="94"/>
        <v>423.56554025351068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21.526286394724973</v>
      </c>
      <c r="CL126" s="21">
        <f>EXP(-LN(2)/25)*CL125+(1-EXP(-LN(2)/25))/(LN(2)/25)*Calculateur!CG126*Calculateur!CI126*VLOOKUP('Données projet'!$B$12,Paramètres!$A$1:$I$89,3,0)*0.475*44/12</f>
        <v>15.118162408514921</v>
      </c>
      <c r="CM126" s="21">
        <f>EXP(-LN(2)/2)*CM125+(1-EXP(-LN(2)/2))/(LN(2)/2)*CG126*CJ126*VLOOKUP('Données projet'!$B$12,Paramètres!$A$1:$I$89,3,0)*0.475*44/12</f>
        <v>2.5173738052981457E-5</v>
      </c>
      <c r="CN126" s="22">
        <f t="shared" si="66"/>
        <v>36.644473976977949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>
        <f>CT126*VLOOKUP('Données projet'!$B$13,Paramètres!$A$1:$I$89,3,0)*VLOOKUP('Données projet'!$B$13,Paramètres!$A$1:$I$89,5,0)</f>
        <v>0</v>
      </c>
      <c r="CV126" s="13" t="e">
        <f t="shared" si="95"/>
        <v>#NUM!</v>
      </c>
      <c r="CW126" s="20" t="e">
        <f t="shared" si="67"/>
        <v>#NUM!</v>
      </c>
      <c r="CX126" s="59" t="e">
        <f t="shared" si="68"/>
        <v>#NUM!</v>
      </c>
      <c r="CY126" s="59">
        <f ca="1">AVERAGE(OFFSET($CX$3,0,0,'Données projet'!$E$13+1,1))-AVERAGE(OFFSET($H$3,0,0,'Données projet'!$E$13+1,1))</f>
        <v>408.246209980743</v>
      </c>
      <c r="CZ126" s="59">
        <f t="shared" si="96"/>
        <v>394.10236303013903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>
        <f>EXP(-LN(2)/35)*DF125+(1-EXP(-LN(2)/35))/(LN(2)/35)*DB126*DC126*VLOOKUP('Données projet'!$B$13,Paramètres!$A$1:$I$89,3,0)*0.475*44/12</f>
        <v>24.357612664713614</v>
      </c>
      <c r="DG126" s="21">
        <f>EXP(-LN(2)/25)*DG125+(1-EXP(-LN(2)/25))/(LN(2)/25)*Calculateur!DB126*Calculateur!DD126*VLOOKUP('Données projet'!$B$13,Paramètres!$A$1:$I$89,3,0)*0.475*44/12</f>
        <v>17.106635923931496</v>
      </c>
      <c r="DH126" s="21">
        <f>EXP(-LN(2)/2)*DH125+(1-EXP(-LN(2)/2))/(LN(2)/2)*DB126*DE126*VLOOKUP('Données projet'!$B$13,Paramètres!$A$1:$I$89,3,0)*0.475*44/12</f>
        <v>2.3110316901097737E-5</v>
      </c>
      <c r="DI126" s="22">
        <f t="shared" si="69"/>
        <v>41.464271698962008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>
        <f>DO126*VLOOKUP('Données projet'!$B$14,Paramètres!$A$1:$I$89,3,0)*VLOOKUP('Données projet'!$B$14,Paramètres!$A$1:$I$89,5,0)</f>
        <v>0</v>
      </c>
      <c r="DQ126" s="13" t="e">
        <f t="shared" si="97"/>
        <v>#NUM!</v>
      </c>
      <c r="DR126" s="20" t="e">
        <f t="shared" si="70"/>
        <v>#NUM!</v>
      </c>
      <c r="DS126" s="59" t="e">
        <f t="shared" si="71"/>
        <v>#NUM!</v>
      </c>
      <c r="DT126" s="59">
        <f ca="1">AVERAGE(OFFSET($DS$3,0,0,'Données projet'!$E$14+1,1))-AVERAGE(OFFSET($H$3,0,0,'Données projet'!$E$14+1,1))</f>
        <v>371.07993287480366</v>
      </c>
      <c r="DU126" s="59">
        <f t="shared" si="98"/>
        <v>358.67120540290637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>
        <f>EXP(-LN(2)/35)*EA125+(1-EXP(-LN(2)/35))/(LN(2)/35)*DW126*DX126*VLOOKUP('Données projet'!$B$14,Paramètres!$A$1:$I$89,3,0)*0.475*44/12</f>
        <v>17.644497044856539</v>
      </c>
      <c r="EB126" s="21">
        <f>EXP(-LN(2)/25)*EB125+(1-EXP(-LN(2)/25))/(LN(2)/25)*Calculateur!DW126*Calculateur!DY126*VLOOKUP('Données projet'!$B$14,Paramètres!$A$1:$I$89,3,0)*0.475*44/12</f>
        <v>12.391936400422063</v>
      </c>
      <c r="EC126" s="21">
        <f>EXP(-LN(2)/2)*EC125+(1-EXP(-LN(2)/2))/(LN(2)/2)*DW126*DZ126*VLOOKUP('Données projet'!$B$14,Paramètres!$A$1:$I$89,3,0)*0.475*44/12</f>
        <v>2.0634211518837302E-5</v>
      </c>
      <c r="ED126" s="22">
        <f t="shared" si="72"/>
        <v>30.036454079490124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45">
      <c r="A127" s="10">
        <f t="shared" si="85"/>
        <v>124</v>
      </c>
      <c r="B127" s="73">
        <f>'Scénario référence'!$B$16*5+'Scénario référence'!$B$17*0+'Scénario référence'!$B$18*5</f>
        <v>5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1">
        <f t="shared" si="86"/>
        <v>0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18.333333333333332</v>
      </c>
      <c r="H127" s="67">
        <f t="shared" si="56"/>
        <v>183.33333333333334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>
        <f>VLOOKUP(A127,'Données projet'!$A$35:$I$55,2,0)</f>
        <v>451.86</v>
      </c>
      <c r="L127" s="12">
        <f>VLOOKUP(A127,'Données projet'!$A$35:$I$55,9,0)</f>
        <v>8.9160000000000021</v>
      </c>
      <c r="M127" s="12">
        <f t="array" ref="M127">INDEX(L:L,MIN(IF(ISNUMBER(L127:L323),ROW(L127:L323),"")))</f>
        <v>8.9160000000000021</v>
      </c>
      <c r="N127" s="13">
        <f>IF('Données projet'!$A$36&gt;35,N126+M127-V126,IF(A127&lt;'Données projet'!$A$36,$K$205^A127,IF(A127='Données projet'!$A$36,'Données projet'!$B$36,N126+M127-V126)))</f>
        <v>451.8600000000007</v>
      </c>
      <c r="O127" s="13">
        <f>N127*VLOOKUP('Données projet'!$B$9,Paramètres!$A$1:$I$89,3,0)*VLOOKUP('Données projet'!$B$9,Paramètres!$A$1:$I$89,5,0)</f>
        <v>408.84292800000065</v>
      </c>
      <c r="P127" s="13">
        <f t="shared" si="87"/>
        <v>93.567145264891295</v>
      </c>
      <c r="Q127" s="20">
        <f t="shared" si="107"/>
        <v>875.03087760302014</v>
      </c>
      <c r="R127" s="59">
        <f t="shared" si="55"/>
        <v>1157.8979293861935</v>
      </c>
      <c r="S127" s="59">
        <f ca="1">AVERAGE(OFFSET($R$3,0,0,'Données projet'!$E$9+1,1))-AVERAGE(OFFSET($H$3,0,0,'Données projet'!$E$9+1,1))</f>
        <v>681.47578137804555</v>
      </c>
      <c r="T127" s="59">
        <f t="shared" si="88"/>
        <v>300.88511065995885</v>
      </c>
      <c r="U127" s="15">
        <f>IF(ISNA(VLOOKUP(A127,'Données projet'!$A$35:$I$55,3,0)),0,VLOOKUP(A127,'Données projet'!$A$35:$I$55,3,0))</f>
        <v>10</v>
      </c>
      <c r="V127" s="15">
        <f>IF(ISNA(VLOOKUP(A127,'Données projet'!$A$35:$I$55,4,0)),0,VLOOKUP(A127,'Données projet'!$A$35:$I$55,4,0))</f>
        <v>57.81</v>
      </c>
      <c r="W127" s="16">
        <f>IF(ISNA(VLOOKUP(A127,'Données projet'!$A$35:$I$55,5,0)),0%,VLOOKUP(A127,'Données projet'!$A$35:$I$55,5,0)*VLOOKUP('Données projet'!$B$9,Paramètres!$A$1:$I$89,7,0))</f>
        <v>0.15049999999999999</v>
      </c>
      <c r="X127" s="16">
        <f>IF(ISNA(VLOOKUP(A127,'Données projet'!$A$35:$I$55,6,0)),0%,VLOOKUP(A127,'Données projet'!$A$35:$I$55,6,0)*VLOOKUP('Données projet'!$B$9,Paramètres!$A$1:$I$89,7,0))</f>
        <v>8.6000000000000007E-2</v>
      </c>
      <c r="Y127" s="16">
        <f>IF(ISNA(VLOOKUP(A127,'Données projet'!$A$35:$I$55,7,0)),0%,VLOOKUP(A127,'Données projet'!$A$35:$I$55,7,0))</f>
        <v>0.1</v>
      </c>
      <c r="Z127" s="21">
        <f>EXP(-LN(2)/35)*Z126+(1-EXP(-LN(2)/35))/(LN(2)/35)*V127*W127*VLOOKUP('Données projet'!$B$9,Paramètres!$A$1:$I$89,3,0)*0.475*44/12</f>
        <v>38.612963922572</v>
      </c>
      <c r="AA127" s="21">
        <f>EXP(-LN(2)/25)*AA126+(1-EXP(-LN(2)/25))/(LN(2)/25)*Calculateur!V127*Calculateur!X127*VLOOKUP('Données projet'!$B$9,Paramètres!$A$1:$I$89,3,0)*0.475*44/12</f>
        <v>24.491472381184234</v>
      </c>
      <c r="AB127" s="21">
        <f>EXP(-LN(2)/2)*AB126+(1-EXP(-LN(2)/2))/(LN(2)/2)*V127*Y127*VLOOKUP('Données projet'!$B$9,Paramètres!$A$1:$I$89,3,0)*0.475*44/12</f>
        <v>5.1059803375246293</v>
      </c>
      <c r="AC127" s="22">
        <f t="shared" si="57"/>
        <v>68.210416641280858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3.4106051316484809E-13</v>
      </c>
      <c r="AJ127" s="13">
        <f>AI127*VLOOKUP('Données projet'!$B$10,Paramètres!$A$1:$I$89,3,0)*VLOOKUP('Données projet'!$B$10,Paramètres!$A$1:$I$89,5,0)</f>
        <v>1.5961632016114892E-13</v>
      </c>
      <c r="AK127" s="13">
        <f t="shared" si="89"/>
        <v>2.2708641912150958E-12</v>
      </c>
      <c r="AL127" s="20">
        <f t="shared" si="58"/>
        <v>4.2330868906469593E-12</v>
      </c>
      <c r="AM127" s="59">
        <f t="shared" si="59"/>
        <v>282.86705178317754</v>
      </c>
      <c r="AN127" s="59">
        <f ca="1">AVERAGE(OFFSET($AM$3,0,0,'Données projet'!$E$10+1,1))-AVERAGE(OFFSET($H$3,0,0,'Données projet'!$E$10+1,1))</f>
        <v>325.45940224919184</v>
      </c>
      <c r="AO127" s="59">
        <f t="shared" si="90"/>
        <v>256.30046621034876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97.496570684759703</v>
      </c>
      <c r="AV127" s="21">
        <f>EXP(-LN(2)/25)*AV126+(1-EXP(-LN(2)/25))/(LN(2)/25)*Calculateur!AQ127*Calculateur!AS127*VLOOKUP('Données projet'!$B$10,Paramètres!$A$1:$I$89,3,0)*0.475*44/12</f>
        <v>27.632751366496151</v>
      </c>
      <c r="AW127" s="21">
        <f>EXP(-LN(2)/2)*AW126+(1-EXP(-LN(2)/2))/(LN(2)/2)*AQ127*AT127*VLOOKUP('Données projet'!$B$10,Paramètres!$A$1:$I$89,3,0)*0.475*44/12</f>
        <v>0.17394771032448267</v>
      </c>
      <c r="AX127" s="21">
        <f t="shared" si="60"/>
        <v>125.30326976158034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7.1129999999999995</v>
      </c>
      <c r="BD127" s="12">
        <f>IF('Données projet'!$A$88&gt;35,BD126+BC127-BL126,IF(A127&lt;'Données projet'!$A$88,$BA$205^A127,IF(A127='Données projet'!$A$88,'Données projet'!$B$88,BD126+BC127-BL126)))</f>
        <v>283.66600000000005</v>
      </c>
      <c r="BE127" s="13">
        <f>BD127*VLOOKUP('Données projet'!$B$11,Paramètres!$A$1:$I$89,3,0)*VLOOKUP('Données projet'!$B$11,Paramètres!$A$1:$I$89,5,0)</f>
        <v>287.63732400000009</v>
      </c>
      <c r="BF127" s="13">
        <f t="shared" si="91"/>
        <v>68.578458468860646</v>
      </c>
      <c r="BG127" s="20">
        <f t="shared" si="61"/>
        <v>620.40915446659915</v>
      </c>
      <c r="BH127" s="59">
        <f t="shared" si="62"/>
        <v>903.27620624977249</v>
      </c>
      <c r="BI127" s="59">
        <f ca="1">AVERAGE(OFFSET($BH$3,0,0,'Données projet'!$E$11+1,1))-AVERAGE(OFFSET($H$3,0,0,'Données projet'!$E$11+1,1))</f>
        <v>580.02848304986492</v>
      </c>
      <c r="BJ127" s="59">
        <f t="shared" si="92"/>
        <v>281.68891895586728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24.546714109435037</v>
      </c>
      <c r="BQ127" s="21">
        <f>EXP(-LN(2)/25)*BQ126+(1-EXP(-LN(2)/25))/(LN(2)/25)*Calculateur!BL127*Calculateur!BN127*VLOOKUP('Données projet'!$B$11,Paramètres!$A$1:$I$89,3,0)*0.475*44/12</f>
        <v>24.171905511414288</v>
      </c>
      <c r="BR127" s="21">
        <f>EXP(-LN(2)/2)*BR126+(1-EXP(-LN(2)/2))/(LN(2)/2)*BL127*BO127*VLOOKUP('Données projet'!$B$11,Paramètres!$A$1:$I$89,3,0)*0.475*44/12</f>
        <v>2.284255574603888</v>
      </c>
      <c r="BS127" s="22">
        <f t="shared" si="63"/>
        <v>51.002875195453214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>
        <f>BY127*VLOOKUP('Données projet'!$B$12,Paramètres!$A$1:$I$89,3,0)*VLOOKUP('Données projet'!$B$12,Paramètres!$A$1:$I$89,5,0)</f>
        <v>0</v>
      </c>
      <c r="CA127" s="13" t="e">
        <f t="shared" si="93"/>
        <v>#NUM!</v>
      </c>
      <c r="CB127" s="20" t="e">
        <f t="shared" si="64"/>
        <v>#NUM!</v>
      </c>
      <c r="CC127" s="59" t="e">
        <f t="shared" si="65"/>
        <v>#NUM!</v>
      </c>
      <c r="CD127" s="59">
        <f ca="1">AVERAGE(OFFSET($CC$3,0,0,'Données projet'!$E$12+1,1))-AVERAGE(OFFSET($H$3,0,0,'Données projet'!$E$12+1,1))</f>
        <v>439.15394290667945</v>
      </c>
      <c r="CE127" s="59">
        <f t="shared" si="94"/>
        <v>423.56554025351068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21.104169048262662</v>
      </c>
      <c r="CL127" s="21">
        <f>EXP(-LN(2)/25)*CL126+(1-EXP(-LN(2)/25))/(LN(2)/25)*Calculateur!CG127*Calculateur!CI127*VLOOKUP('Données projet'!$B$12,Paramètres!$A$1:$I$89,3,0)*0.475*44/12</f>
        <v>14.704755462424473</v>
      </c>
      <c r="CM127" s="21">
        <f>EXP(-LN(2)/2)*CM126+(1-EXP(-LN(2)/2))/(LN(2)/2)*CG127*CJ127*VLOOKUP('Données projet'!$B$12,Paramètres!$A$1:$I$89,3,0)*0.475*44/12</f>
        <v>1.7800520885077024E-5</v>
      </c>
      <c r="CN127" s="22">
        <f t="shared" si="66"/>
        <v>35.808942311208021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>
        <f>CT127*VLOOKUP('Données projet'!$B$13,Paramètres!$A$1:$I$89,3,0)*VLOOKUP('Données projet'!$B$13,Paramètres!$A$1:$I$89,5,0)</f>
        <v>0</v>
      </c>
      <c r="CV127" s="13" t="e">
        <f t="shared" si="95"/>
        <v>#NUM!</v>
      </c>
      <c r="CW127" s="20" t="e">
        <f t="shared" si="67"/>
        <v>#NUM!</v>
      </c>
      <c r="CX127" s="59" t="e">
        <f t="shared" si="68"/>
        <v>#NUM!</v>
      </c>
      <c r="CY127" s="59">
        <f ca="1">AVERAGE(OFFSET($CX$3,0,0,'Données projet'!$E$13+1,1))-AVERAGE(OFFSET($H$3,0,0,'Données projet'!$E$13+1,1))</f>
        <v>408.246209980743</v>
      </c>
      <c r="CZ127" s="59">
        <f t="shared" si="96"/>
        <v>394.10236303013903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>
        <f>EXP(-LN(2)/35)*DF126+(1-EXP(-LN(2)/35))/(LN(2)/35)*DB127*DC127*VLOOKUP('Données projet'!$B$13,Paramètres!$A$1:$I$89,3,0)*0.475*44/12</f>
        <v>23.879974737035329</v>
      </c>
      <c r="DG127" s="21">
        <f>EXP(-LN(2)/25)*DG126+(1-EXP(-LN(2)/25))/(LN(2)/25)*Calculateur!DB127*Calculateur!DD127*VLOOKUP('Données projet'!$B$13,Paramètres!$A$1:$I$89,3,0)*0.475*44/12</f>
        <v>16.638854064992703</v>
      </c>
      <c r="DH127" s="21">
        <f>EXP(-LN(2)/2)*DH126+(1-EXP(-LN(2)/2))/(LN(2)/2)*DB127*DE127*VLOOKUP('Données projet'!$B$13,Paramètres!$A$1:$I$89,3,0)*0.475*44/12</f>
        <v>1.6341461796136289E-5</v>
      </c>
      <c r="DI127" s="22">
        <f t="shared" si="69"/>
        <v>40.518845143489827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>
        <f>DO127*VLOOKUP('Données projet'!$B$14,Paramètres!$A$1:$I$89,3,0)*VLOOKUP('Données projet'!$B$14,Paramètres!$A$1:$I$89,5,0)</f>
        <v>0</v>
      </c>
      <c r="DQ127" s="13" t="e">
        <f t="shared" si="97"/>
        <v>#NUM!</v>
      </c>
      <c r="DR127" s="20" t="e">
        <f t="shared" si="70"/>
        <v>#NUM!</v>
      </c>
      <c r="DS127" s="59" t="e">
        <f t="shared" si="71"/>
        <v>#NUM!</v>
      </c>
      <c r="DT127" s="59">
        <f ca="1">AVERAGE(OFFSET($DS$3,0,0,'Données projet'!$E$14+1,1))-AVERAGE(OFFSET($H$3,0,0,'Données projet'!$E$14+1,1))</f>
        <v>371.07993287480366</v>
      </c>
      <c r="DU127" s="59">
        <f t="shared" si="98"/>
        <v>358.67120540290637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>
        <f>EXP(-LN(2)/35)*EA126+(1-EXP(-LN(2)/35))/(LN(2)/35)*DW127*DX127*VLOOKUP('Données projet'!$B$14,Paramètres!$A$1:$I$89,3,0)*0.475*44/12</f>
        <v>17.298499219887432</v>
      </c>
      <c r="EB127" s="21">
        <f>EXP(-LN(2)/25)*EB126+(1-EXP(-LN(2)/25))/(LN(2)/25)*Calculateur!DW127*Calculateur!DY127*VLOOKUP('Données projet'!$B$14,Paramètres!$A$1:$I$89,3,0)*0.475*44/12</f>
        <v>12.053078247888909</v>
      </c>
      <c r="EC127" s="21">
        <f>EXP(-LN(2)/2)*EC126+(1-EXP(-LN(2)/2))/(LN(2)/2)*DW127*DZ127*VLOOKUP('Données projet'!$B$14,Paramètres!$A$1:$I$89,3,0)*0.475*44/12</f>
        <v>1.4590590889407427E-5</v>
      </c>
      <c r="ED127" s="22">
        <f t="shared" si="72"/>
        <v>29.351592058367231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45">
      <c r="A128" s="10">
        <f t="shared" si="85"/>
        <v>125</v>
      </c>
      <c r="B128" s="73">
        <f>'Scénario référence'!$B$16*5+'Scénario référence'!$B$17*0+'Scénario référence'!$B$18*5</f>
        <v>5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1">
        <f t="shared" si="86"/>
        <v>0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18.333333333333332</v>
      </c>
      <c r="H128" s="67">
        <f t="shared" si="56"/>
        <v>183.33333333333334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9.0229999999999961</v>
      </c>
      <c r="N128" s="13">
        <f>IF('Données projet'!$A$36&gt;35,N127+M128-V127,IF(A128&lt;'Données projet'!$A$36,$K$205^A128,IF(A128='Données projet'!$A$36,'Données projet'!$B$36,N127+M128-V127)))</f>
        <v>403.07300000000072</v>
      </c>
      <c r="O128" s="13">
        <f>N128*VLOOKUP('Données projet'!$B$9,Paramètres!$A$1:$I$89,3,0)*VLOOKUP('Données projet'!$B$9,Paramètres!$A$1:$I$89,5,0)</f>
        <v>364.70045040000065</v>
      </c>
      <c r="P128" s="13">
        <f t="shared" si="87"/>
        <v>84.582200429685614</v>
      </c>
      <c r="Q128" s="20">
        <f t="shared" si="107"/>
        <v>782.50061686170341</v>
      </c>
      <c r="R128" s="59">
        <f t="shared" si="55"/>
        <v>1065.5492352306719</v>
      </c>
      <c r="S128" s="59">
        <f ca="1">AVERAGE(OFFSET($R$3,0,0,'Données projet'!$E$9+1,1))-AVERAGE(OFFSET($H$3,0,0,'Données projet'!$E$9+1,1))</f>
        <v>681.47578137804555</v>
      </c>
      <c r="T128" s="59">
        <f t="shared" si="88"/>
        <v>300.88511065995885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37.855787251632833</v>
      </c>
      <c r="AA128" s="21">
        <f>EXP(-LN(2)/25)*AA127+(1-EXP(-LN(2)/25))/(LN(2)/25)*Calculateur!V128*Calculateur!X128*VLOOKUP('Données projet'!$B$9,Paramètres!$A$1:$I$89,3,0)*0.475*44/12</f>
        <v>23.821751780970196</v>
      </c>
      <c r="AB128" s="21">
        <f>EXP(-LN(2)/2)*AB127+(1-EXP(-LN(2)/2))/(LN(2)/2)*V128*Y128*VLOOKUP('Données projet'!$B$9,Paramètres!$A$1:$I$89,3,0)*0.475*44/12</f>
        <v>3.6104733212688425</v>
      </c>
      <c r="AC128" s="22">
        <f t="shared" si="57"/>
        <v>65.288012353871878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3.4106051316484809E-13</v>
      </c>
      <c r="AJ128" s="13">
        <f>AI128*VLOOKUP('Données projet'!$B$10,Paramètres!$A$1:$I$89,3,0)*VLOOKUP('Données projet'!$B$10,Paramètres!$A$1:$I$89,5,0)</f>
        <v>1.5961632016114892E-13</v>
      </c>
      <c r="AK128" s="13">
        <f t="shared" si="89"/>
        <v>2.2708641912150958E-12</v>
      </c>
      <c r="AL128" s="20">
        <f t="shared" si="58"/>
        <v>4.2330868906469593E-12</v>
      </c>
      <c r="AM128" s="59">
        <f t="shared" si="59"/>
        <v>283.04861836897271</v>
      </c>
      <c r="AN128" s="59">
        <f ca="1">AVERAGE(OFFSET($AM$3,0,0,'Données projet'!$E$10+1,1))-AVERAGE(OFFSET($H$3,0,0,'Données projet'!$E$10+1,1))</f>
        <v>325.45940224919184</v>
      </c>
      <c r="AO128" s="59">
        <f t="shared" si="90"/>
        <v>256.30046621034876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95.5847224006678</v>
      </c>
      <c r="AV128" s="21">
        <f>EXP(-LN(2)/25)*AV127+(1-EXP(-LN(2)/25))/(LN(2)/25)*Calculateur!AQ128*Calculateur!AS128*VLOOKUP('Données projet'!$B$10,Paramètres!$A$1:$I$89,3,0)*0.475*44/12</f>
        <v>26.877132327236076</v>
      </c>
      <c r="AW128" s="21">
        <f>EXP(-LN(2)/2)*AW127+(1-EXP(-LN(2)/2))/(LN(2)/2)*AQ128*AT128*VLOOKUP('Données projet'!$B$10,Paramètres!$A$1:$I$89,3,0)*0.475*44/12</f>
        <v>0.12299960554231493</v>
      </c>
      <c r="AX128" s="21">
        <f t="shared" si="60"/>
        <v>122.58485433344619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7.1129999999999995</v>
      </c>
      <c r="BD128" s="12">
        <f>IF('Données projet'!$A$88&gt;35,BD127+BC128-BL127,IF(A128&lt;'Données projet'!$A$88,$BA$205^A128,IF(A128='Données projet'!$A$88,'Données projet'!$B$88,BD127+BC128-BL127)))</f>
        <v>290.77900000000005</v>
      </c>
      <c r="BE128" s="13">
        <f>BD128*VLOOKUP('Données projet'!$B$11,Paramètres!$A$1:$I$89,3,0)*VLOOKUP('Données projet'!$B$11,Paramètres!$A$1:$I$89,5,0)</f>
        <v>294.84990600000009</v>
      </c>
      <c r="BF128" s="13">
        <f t="shared" si="91"/>
        <v>70.095720295999868</v>
      </c>
      <c r="BG128" s="20">
        <f t="shared" si="61"/>
        <v>635.61363246553321</v>
      </c>
      <c r="BH128" s="59">
        <f t="shared" si="62"/>
        <v>918.66225083450172</v>
      </c>
      <c r="BI128" s="59">
        <f ca="1">AVERAGE(OFFSET($BH$3,0,0,'Données projet'!$E$11+1,1))-AVERAGE(OFFSET($H$3,0,0,'Données projet'!$E$11+1,1))</f>
        <v>580.02848304986492</v>
      </c>
      <c r="BJ128" s="59">
        <f t="shared" si="92"/>
        <v>281.68891895586728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24.065368017766257</v>
      </c>
      <c r="BQ128" s="21">
        <f>EXP(-LN(2)/25)*BQ127+(1-EXP(-LN(2)/25))/(LN(2)/25)*Calculateur!BL128*Calculateur!BN128*VLOOKUP('Données projet'!$B$11,Paramètres!$A$1:$I$89,3,0)*0.475*44/12</f>
        <v>23.510923484059397</v>
      </c>
      <c r="BR128" s="21">
        <f>EXP(-LN(2)/2)*BR127+(1-EXP(-LN(2)/2))/(LN(2)/2)*BL128*BO128*VLOOKUP('Données projet'!$B$11,Paramètres!$A$1:$I$89,3,0)*0.475*44/12</f>
        <v>1.615212606765583</v>
      </c>
      <c r="BS128" s="22">
        <f t="shared" si="63"/>
        <v>49.191504108591232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>
        <f>BY128*VLOOKUP('Données projet'!$B$12,Paramètres!$A$1:$I$89,3,0)*VLOOKUP('Données projet'!$B$12,Paramètres!$A$1:$I$89,5,0)</f>
        <v>0</v>
      </c>
      <c r="CA128" s="13" t="e">
        <f t="shared" si="93"/>
        <v>#NUM!</v>
      </c>
      <c r="CB128" s="20" t="e">
        <f t="shared" si="64"/>
        <v>#NUM!</v>
      </c>
      <c r="CC128" s="59" t="e">
        <f t="shared" si="65"/>
        <v>#NUM!</v>
      </c>
      <c r="CD128" s="59">
        <f ca="1">AVERAGE(OFFSET($CC$3,0,0,'Données projet'!$E$12+1,1))-AVERAGE(OFFSET($H$3,0,0,'Données projet'!$E$12+1,1))</f>
        <v>439.15394290667945</v>
      </c>
      <c r="CE128" s="59">
        <f t="shared" si="94"/>
        <v>423.56554025351068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20.690329165498319</v>
      </c>
      <c r="CL128" s="21">
        <f>EXP(-LN(2)/25)*CL127+(1-EXP(-LN(2)/25))/(LN(2)/25)*Calculateur!CG128*Calculateur!CI128*VLOOKUP('Données projet'!$B$12,Paramètres!$A$1:$I$89,3,0)*0.475*44/12</f>
        <v>14.302653151014994</v>
      </c>
      <c r="CM128" s="21">
        <f>EXP(-LN(2)/2)*CM127+(1-EXP(-LN(2)/2))/(LN(2)/2)*CG128*CJ128*VLOOKUP('Données projet'!$B$12,Paramètres!$A$1:$I$89,3,0)*0.475*44/12</f>
        <v>1.2586869026490728E-5</v>
      </c>
      <c r="CN128" s="22">
        <f t="shared" si="66"/>
        <v>34.992994903382339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>
        <f>CT128*VLOOKUP('Données projet'!$B$13,Paramètres!$A$1:$I$89,3,0)*VLOOKUP('Données projet'!$B$13,Paramètres!$A$1:$I$89,5,0)</f>
        <v>0</v>
      </c>
      <c r="CV128" s="13" t="e">
        <f t="shared" si="95"/>
        <v>#NUM!</v>
      </c>
      <c r="CW128" s="20" t="e">
        <f t="shared" si="67"/>
        <v>#NUM!</v>
      </c>
      <c r="CX128" s="59" t="e">
        <f t="shared" si="68"/>
        <v>#NUM!</v>
      </c>
      <c r="CY128" s="59">
        <f ca="1">AVERAGE(OFFSET($CX$3,0,0,'Données projet'!$E$13+1,1))-AVERAGE(OFFSET($H$3,0,0,'Données projet'!$E$13+1,1))</f>
        <v>408.246209980743</v>
      </c>
      <c r="CZ128" s="59">
        <f t="shared" si="96"/>
        <v>394.10236303013903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>
        <f>EXP(-LN(2)/35)*DF127+(1-EXP(-LN(2)/35))/(LN(2)/35)*DB128*DC128*VLOOKUP('Données projet'!$B$13,Paramètres!$A$1:$I$89,3,0)*0.475*44/12</f>
        <v>23.411702997788449</v>
      </c>
      <c r="DG128" s="21">
        <f>EXP(-LN(2)/25)*DG127+(1-EXP(-LN(2)/25))/(LN(2)/25)*Calculateur!DB128*Calculateur!DD128*VLOOKUP('Données projet'!$B$13,Paramètres!$A$1:$I$89,3,0)*0.475*44/12</f>
        <v>16.183863725586171</v>
      </c>
      <c r="DH128" s="21">
        <f>EXP(-LN(2)/2)*DH127+(1-EXP(-LN(2)/2))/(LN(2)/2)*DB128*DE128*VLOOKUP('Données projet'!$B$13,Paramètres!$A$1:$I$89,3,0)*0.475*44/12</f>
        <v>1.1555158450548869E-5</v>
      </c>
      <c r="DI128" s="22">
        <f t="shared" si="69"/>
        <v>39.595578278533068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>
        <f>DO128*VLOOKUP('Données projet'!$B$14,Paramètres!$A$1:$I$89,3,0)*VLOOKUP('Données projet'!$B$14,Paramètres!$A$1:$I$89,5,0)</f>
        <v>0</v>
      </c>
      <c r="DQ128" s="13" t="e">
        <f t="shared" si="97"/>
        <v>#NUM!</v>
      </c>
      <c r="DR128" s="20" t="e">
        <f t="shared" si="70"/>
        <v>#NUM!</v>
      </c>
      <c r="DS128" s="59" t="e">
        <f t="shared" si="71"/>
        <v>#NUM!</v>
      </c>
      <c r="DT128" s="59">
        <f ca="1">AVERAGE(OFFSET($DS$3,0,0,'Données projet'!$E$14+1,1))-AVERAGE(OFFSET($H$3,0,0,'Données projet'!$E$14+1,1))</f>
        <v>371.07993287480366</v>
      </c>
      <c r="DU128" s="59">
        <f t="shared" si="98"/>
        <v>358.67120540290637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>
        <f>EXP(-LN(2)/35)*EA127+(1-EXP(-LN(2)/35))/(LN(2)/35)*DW128*DX128*VLOOKUP('Données projet'!$B$14,Paramètres!$A$1:$I$89,3,0)*0.475*44/12</f>
        <v>16.959286201228135</v>
      </c>
      <c r="EB128" s="21">
        <f>EXP(-LN(2)/25)*EB127+(1-EXP(-LN(2)/25))/(LN(2)/25)*Calculateur!DW128*Calculateur!DY128*VLOOKUP('Données projet'!$B$14,Paramètres!$A$1:$I$89,3,0)*0.475*44/12</f>
        <v>11.723486189356549</v>
      </c>
      <c r="EC128" s="21">
        <f>EXP(-LN(2)/2)*EC127+(1-EXP(-LN(2)/2))/(LN(2)/2)*DW128*DZ128*VLOOKUP('Données projet'!$B$14,Paramètres!$A$1:$I$89,3,0)*0.475*44/12</f>
        <v>1.0317105759418651E-5</v>
      </c>
      <c r="ED128" s="22">
        <f t="shared" si="72"/>
        <v>28.682782707690443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45">
      <c r="A129" s="10">
        <f t="shared" si="85"/>
        <v>126</v>
      </c>
      <c r="B129" s="73">
        <f>'Scénario référence'!$B$16*5+'Scénario référence'!$B$17*0+'Scénario référence'!$B$18*5</f>
        <v>5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1">
        <f t="shared" si="86"/>
        <v>0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18.333333333333332</v>
      </c>
      <c r="H129" s="67">
        <f t="shared" si="56"/>
        <v>183.33333333333334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9.0229999999999961</v>
      </c>
      <c r="N129" s="13">
        <f>IF('Données projet'!$A$36&gt;35,N128+M129-V128,IF(A129&lt;'Données projet'!$A$36,$K$205^A129,IF(A129='Données projet'!$A$36,'Données projet'!$B$36,N128+M129-V128)))</f>
        <v>412.09600000000069</v>
      </c>
      <c r="O129" s="13">
        <f>N129*VLOOKUP('Données projet'!$B$9,Paramètres!$A$1:$I$89,3,0)*VLOOKUP('Données projet'!$B$9,Paramètres!$A$1:$I$89,5,0)</f>
        <v>372.86446080000059</v>
      </c>
      <c r="P129" s="13">
        <f t="shared" si="87"/>
        <v>86.253061792690659</v>
      </c>
      <c r="Q129" s="20">
        <f t="shared" si="107"/>
        <v>799.62968518227046</v>
      </c>
      <c r="R129" s="59">
        <f t="shared" si="55"/>
        <v>1082.8567203626926</v>
      </c>
      <c r="S129" s="59">
        <f ca="1">AVERAGE(OFFSET($R$3,0,0,'Données projet'!$E$9+1,1))-AVERAGE(OFFSET($H$3,0,0,'Données projet'!$E$9+1,1))</f>
        <v>681.47578137804555</v>
      </c>
      <c r="T129" s="59">
        <f t="shared" si="88"/>
        <v>300.88511065995885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37.113458353378611</v>
      </c>
      <c r="AA129" s="21">
        <f>EXP(-LN(2)/25)*AA128+(1-EXP(-LN(2)/25))/(LN(2)/25)*Calculateur!V129*Calculateur!X129*VLOOKUP('Données projet'!$B$9,Paramètres!$A$1:$I$89,3,0)*0.475*44/12</f>
        <v>23.170344725788084</v>
      </c>
      <c r="AB129" s="21">
        <f>EXP(-LN(2)/2)*AB128+(1-EXP(-LN(2)/2))/(LN(2)/2)*V129*Y129*VLOOKUP('Données projet'!$B$9,Paramètres!$A$1:$I$89,3,0)*0.475*44/12</f>
        <v>2.5529901687623151</v>
      </c>
      <c r="AC129" s="22">
        <f t="shared" si="57"/>
        <v>62.836793247929009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3.4106051316484809E-13</v>
      </c>
      <c r="AJ129" s="13">
        <f>AI129*VLOOKUP('Données projet'!$B$10,Paramètres!$A$1:$I$89,3,0)*VLOOKUP('Données projet'!$B$10,Paramètres!$A$1:$I$89,5,0)</f>
        <v>1.5961632016114892E-13</v>
      </c>
      <c r="AK129" s="13">
        <f t="shared" si="89"/>
        <v>2.2708641912150958E-12</v>
      </c>
      <c r="AL129" s="20">
        <f t="shared" si="58"/>
        <v>4.2330868906469593E-12</v>
      </c>
      <c r="AM129" s="59">
        <f t="shared" si="59"/>
        <v>283.22703518042641</v>
      </c>
      <c r="AN129" s="59">
        <f ca="1">AVERAGE(OFFSET($AM$3,0,0,'Données projet'!$E$10+1,1))-AVERAGE(OFFSET($H$3,0,0,'Données projet'!$E$10+1,1))</f>
        <v>325.45940224919184</v>
      </c>
      <c r="AO129" s="59">
        <f t="shared" si="90"/>
        <v>256.30046621034876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93.710364295314633</v>
      </c>
      <c r="AV129" s="21">
        <f>EXP(-LN(2)/25)*AV128+(1-EXP(-LN(2)/25))/(LN(2)/25)*Calculateur!AQ129*Calculateur!AS129*VLOOKUP('Données projet'!$B$10,Paramètres!$A$1:$I$89,3,0)*0.475*44/12</f>
        <v>26.142175730340846</v>
      </c>
      <c r="AW129" s="21">
        <f>EXP(-LN(2)/2)*AW128+(1-EXP(-LN(2)/2))/(LN(2)/2)*AQ129*AT129*VLOOKUP('Données projet'!$B$10,Paramètres!$A$1:$I$89,3,0)*0.475*44/12</f>
        <v>8.6973855162241348E-2</v>
      </c>
      <c r="AX129" s="21">
        <f t="shared" si="60"/>
        <v>119.93951388081773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7.1129999999999995</v>
      </c>
      <c r="BD129" s="12">
        <f>IF('Données projet'!$A$88&gt;35,BD128+BC129-BL128,IF(A129&lt;'Données projet'!$A$88,$BA$205^A129,IF(A129='Données projet'!$A$88,'Données projet'!$B$88,BD128+BC129-BL128)))</f>
        <v>297.89200000000005</v>
      </c>
      <c r="BE129" s="13">
        <f>BD129*VLOOKUP('Données projet'!$B$11,Paramètres!$A$1:$I$89,3,0)*VLOOKUP('Données projet'!$B$11,Paramètres!$A$1:$I$89,5,0)</f>
        <v>302.06248800000009</v>
      </c>
      <c r="BF129" s="13">
        <f t="shared" si="91"/>
        <v>71.608667618813385</v>
      </c>
      <c r="BG129" s="20">
        <f t="shared" si="61"/>
        <v>650.81059603610004</v>
      </c>
      <c r="BH129" s="59">
        <f t="shared" si="62"/>
        <v>934.03763121652219</v>
      </c>
      <c r="BI129" s="59">
        <f ca="1">AVERAGE(OFFSET($BH$3,0,0,'Données projet'!$E$11+1,1))-AVERAGE(OFFSET($H$3,0,0,'Données projet'!$E$11+1,1))</f>
        <v>580.02848304986492</v>
      </c>
      <c r="BJ129" s="59">
        <f t="shared" si="92"/>
        <v>281.68891895586728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23.593460829362979</v>
      </c>
      <c r="BQ129" s="21">
        <f>EXP(-LN(2)/25)*BQ128+(1-EXP(-LN(2)/25))/(LN(2)/25)*Calculateur!BL129*Calculateur!BN129*VLOOKUP('Données projet'!$B$11,Paramètres!$A$1:$I$89,3,0)*0.475*44/12</f>
        <v>22.868016045002062</v>
      </c>
      <c r="BR129" s="21">
        <f>EXP(-LN(2)/2)*BR128+(1-EXP(-LN(2)/2))/(LN(2)/2)*BL129*BO129*VLOOKUP('Données projet'!$B$11,Paramètres!$A$1:$I$89,3,0)*0.475*44/12</f>
        <v>1.1421277873019442</v>
      </c>
      <c r="BS129" s="22">
        <f t="shared" si="63"/>
        <v>47.603604661666985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>
        <f>BY129*VLOOKUP('Données projet'!$B$12,Paramètres!$A$1:$I$89,3,0)*VLOOKUP('Données projet'!$B$12,Paramètres!$A$1:$I$89,5,0)</f>
        <v>0</v>
      </c>
      <c r="CA129" s="13" t="e">
        <f t="shared" si="93"/>
        <v>#NUM!</v>
      </c>
      <c r="CB129" s="20" t="e">
        <f t="shared" si="64"/>
        <v>#NUM!</v>
      </c>
      <c r="CC129" s="59" t="e">
        <f t="shared" si="65"/>
        <v>#NUM!</v>
      </c>
      <c r="CD129" s="59">
        <f ca="1">AVERAGE(OFFSET($CC$3,0,0,'Données projet'!$E$12+1,1))-AVERAGE(OFFSET($H$3,0,0,'Données projet'!$E$12+1,1))</f>
        <v>439.15394290667945</v>
      </c>
      <c r="CE129" s="59">
        <f t="shared" si="94"/>
        <v>423.56554025351068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20.284604430417581</v>
      </c>
      <c r="CL129" s="21">
        <f>EXP(-LN(2)/25)*CL128+(1-EXP(-LN(2)/25))/(LN(2)/25)*Calculateur!CG129*Calculateur!CI129*VLOOKUP('Données projet'!$B$12,Paramètres!$A$1:$I$89,3,0)*0.475*44/12</f>
        <v>13.911546348456648</v>
      </c>
      <c r="CM129" s="21">
        <f>EXP(-LN(2)/2)*CM128+(1-EXP(-LN(2)/2))/(LN(2)/2)*CG129*CJ129*VLOOKUP('Données projet'!$B$12,Paramètres!$A$1:$I$89,3,0)*0.475*44/12</f>
        <v>8.9002604425385118E-6</v>
      </c>
      <c r="CN129" s="22">
        <f t="shared" si="66"/>
        <v>34.196159679134666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>
        <f>CT129*VLOOKUP('Données projet'!$B$13,Paramètres!$A$1:$I$89,3,0)*VLOOKUP('Données projet'!$B$13,Paramètres!$A$1:$I$89,5,0)</f>
        <v>0</v>
      </c>
      <c r="CV129" s="13" t="e">
        <f t="shared" si="95"/>
        <v>#NUM!</v>
      </c>
      <c r="CW129" s="20" t="e">
        <f t="shared" si="67"/>
        <v>#NUM!</v>
      </c>
      <c r="CX129" s="59" t="e">
        <f t="shared" si="68"/>
        <v>#NUM!</v>
      </c>
      <c r="CY129" s="59">
        <f ca="1">AVERAGE(OFFSET($CX$3,0,0,'Données projet'!$E$13+1,1))-AVERAGE(OFFSET($H$3,0,0,'Données projet'!$E$13+1,1))</f>
        <v>408.246209980743</v>
      </c>
      <c r="CZ129" s="59">
        <f t="shared" si="96"/>
        <v>394.10236303013903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>
        <f>EXP(-LN(2)/35)*DF128+(1-EXP(-LN(2)/35))/(LN(2)/35)*DB129*DC129*VLOOKUP('Données projet'!$B$13,Paramètres!$A$1:$I$89,3,0)*0.475*44/12</f>
        <v>22.952613781730641</v>
      </c>
      <c r="DG129" s="21">
        <f>EXP(-LN(2)/25)*DG128+(1-EXP(-LN(2)/25))/(LN(2)/25)*Calculateur!DB129*Calculateur!DD129*VLOOKUP('Données projet'!$B$13,Paramètres!$A$1:$I$89,3,0)*0.475*44/12</f>
        <v>15.741315120937612</v>
      </c>
      <c r="DH129" s="21">
        <f>EXP(-LN(2)/2)*DH128+(1-EXP(-LN(2)/2))/(LN(2)/2)*DB129*DE129*VLOOKUP('Données projet'!$B$13,Paramètres!$A$1:$I$89,3,0)*0.475*44/12</f>
        <v>8.1707308980681443E-6</v>
      </c>
      <c r="DI129" s="22">
        <f t="shared" si="69"/>
        <v>38.693937073399155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>
        <f>DO129*VLOOKUP('Données projet'!$B$14,Paramètres!$A$1:$I$89,3,0)*VLOOKUP('Données projet'!$B$14,Paramètres!$A$1:$I$89,5,0)</f>
        <v>0</v>
      </c>
      <c r="DQ129" s="13" t="e">
        <f t="shared" si="97"/>
        <v>#NUM!</v>
      </c>
      <c r="DR129" s="20" t="e">
        <f t="shared" si="70"/>
        <v>#NUM!</v>
      </c>
      <c r="DS129" s="59" t="e">
        <f t="shared" si="71"/>
        <v>#NUM!</v>
      </c>
      <c r="DT129" s="59">
        <f ca="1">AVERAGE(OFFSET($DS$3,0,0,'Données projet'!$E$14+1,1))-AVERAGE(OFFSET($H$3,0,0,'Données projet'!$E$14+1,1))</f>
        <v>371.07993287480366</v>
      </c>
      <c r="DU129" s="59">
        <f t="shared" si="98"/>
        <v>358.67120540290637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>
        <f>EXP(-LN(2)/35)*EA128+(1-EXP(-LN(2)/35))/(LN(2)/35)*DW129*DX129*VLOOKUP('Données projet'!$B$14,Paramètres!$A$1:$I$89,3,0)*0.475*44/12</f>
        <v>16.626724942965236</v>
      </c>
      <c r="EB129" s="21">
        <f>EXP(-LN(2)/25)*EB128+(1-EXP(-LN(2)/25))/(LN(2)/25)*Calculateur!DW129*Calculateur!DY129*VLOOKUP('Données projet'!$B$14,Paramètres!$A$1:$I$89,3,0)*0.475*44/12</f>
        <v>11.40290684299725</v>
      </c>
      <c r="EC129" s="21">
        <f>EXP(-LN(2)/2)*EC128+(1-EXP(-LN(2)/2))/(LN(2)/2)*DW129*DZ129*VLOOKUP('Données projet'!$B$14,Paramètres!$A$1:$I$89,3,0)*0.475*44/12</f>
        <v>7.2952954447037135E-6</v>
      </c>
      <c r="ED129" s="22">
        <f t="shared" si="72"/>
        <v>28.02963908125793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45">
      <c r="A130" s="10">
        <f t="shared" si="85"/>
        <v>127</v>
      </c>
      <c r="B130" s="73">
        <f>'Scénario référence'!$B$16*5+'Scénario référence'!$B$17*0+'Scénario référence'!$B$18*5</f>
        <v>5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1">
        <f t="shared" si="86"/>
        <v>0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18.333333333333332</v>
      </c>
      <c r="H130" s="67">
        <f t="shared" si="56"/>
        <v>183.33333333333334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9.0229999999999961</v>
      </c>
      <c r="N130" s="13">
        <f>IF('Données projet'!$A$36&gt;35,N129+M130-V129,IF(A130&lt;'Données projet'!$A$36,$K$205^A130,IF(A130='Données projet'!$A$36,'Données projet'!$B$36,N129+M130-V129)))</f>
        <v>421.11900000000071</v>
      </c>
      <c r="O130" s="13">
        <f>N130*VLOOKUP('Données projet'!$B$9,Paramètres!$A$1:$I$89,3,0)*VLOOKUP('Données projet'!$B$9,Paramètres!$A$1:$I$89,5,0)</f>
        <v>381.02847120000064</v>
      </c>
      <c r="P130" s="13">
        <f t="shared" si="87"/>
        <v>87.919669823283783</v>
      </c>
      <c r="Q130" s="20">
        <f t="shared" si="107"/>
        <v>816.75134561555353</v>
      </c>
      <c r="R130" s="59">
        <f t="shared" si="55"/>
        <v>1100.153702474631</v>
      </c>
      <c r="S130" s="59">
        <f ca="1">AVERAGE(OFFSET($R$3,0,0,'Données projet'!$E$9+1,1))-AVERAGE(OFFSET($H$3,0,0,'Données projet'!$E$9+1,1))</f>
        <v>681.47578137804555</v>
      </c>
      <c r="T130" s="59">
        <f t="shared" si="88"/>
        <v>300.88511065995885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36.385686072043235</v>
      </c>
      <c r="AA130" s="21">
        <f>EXP(-LN(2)/25)*AA129+(1-EXP(-LN(2)/25))/(LN(2)/25)*Calculateur!V130*Calculateur!X130*VLOOKUP('Données projet'!$B$9,Paramètres!$A$1:$I$89,3,0)*0.475*44/12</f>
        <v>22.536750430785936</v>
      </c>
      <c r="AB130" s="21">
        <f>EXP(-LN(2)/2)*AB129+(1-EXP(-LN(2)/2))/(LN(2)/2)*V130*Y130*VLOOKUP('Données projet'!$B$9,Paramètres!$A$1:$I$89,3,0)*0.475*44/12</f>
        <v>1.8052366606344215</v>
      </c>
      <c r="AC130" s="22">
        <f t="shared" si="57"/>
        <v>60.727673163463592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3.4106051316484809E-13</v>
      </c>
      <c r="AJ130" s="13">
        <f>AI130*VLOOKUP('Données projet'!$B$10,Paramètres!$A$1:$I$89,3,0)*VLOOKUP('Données projet'!$B$10,Paramètres!$A$1:$I$89,5,0)</f>
        <v>1.5961632016114892E-13</v>
      </c>
      <c r="AK130" s="13">
        <f t="shared" si="89"/>
        <v>2.2708641912150958E-12</v>
      </c>
      <c r="AL130" s="20">
        <f t="shared" si="58"/>
        <v>4.2330868906469593E-12</v>
      </c>
      <c r="AM130" s="59">
        <f t="shared" si="59"/>
        <v>283.40235685908164</v>
      </c>
      <c r="AN130" s="59">
        <f ca="1">AVERAGE(OFFSET($AM$3,0,0,'Données projet'!$E$10+1,1))-AVERAGE(OFFSET($H$3,0,0,'Données projet'!$E$10+1,1))</f>
        <v>325.45940224919184</v>
      </c>
      <c r="AO130" s="59">
        <f t="shared" si="90"/>
        <v>256.30046621034876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91.872761209161879</v>
      </c>
      <c r="AV130" s="21">
        <f>EXP(-LN(2)/25)*AV129+(1-EXP(-LN(2)/25))/(LN(2)/25)*Calculateur!AQ130*Calculateur!AS130*VLOOKUP('Données projet'!$B$10,Paramètres!$A$1:$I$89,3,0)*0.475*44/12</f>
        <v>25.427316560237401</v>
      </c>
      <c r="AW130" s="21">
        <f>EXP(-LN(2)/2)*AW129+(1-EXP(-LN(2)/2))/(LN(2)/2)*AQ130*AT130*VLOOKUP('Données projet'!$B$10,Paramètres!$A$1:$I$89,3,0)*0.475*44/12</f>
        <v>6.1499802771157477E-2</v>
      </c>
      <c r="AX130" s="21">
        <f t="shared" si="60"/>
        <v>117.36157757217043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7.1129999999999995</v>
      </c>
      <c r="BD130" s="12">
        <f>IF('Données projet'!$A$88&gt;35,BD129+BC130-BL129,IF(A130&lt;'Données projet'!$A$88,$BA$205^A130,IF(A130='Données projet'!$A$88,'Données projet'!$B$88,BD129+BC130-BL129)))</f>
        <v>305.00500000000005</v>
      </c>
      <c r="BE130" s="13">
        <f>BD130*VLOOKUP('Données projet'!$B$11,Paramètres!$A$1:$I$89,3,0)*VLOOKUP('Données projet'!$B$11,Paramètres!$A$1:$I$89,5,0)</f>
        <v>309.27507000000008</v>
      </c>
      <c r="BF130" s="13">
        <f t="shared" si="91"/>
        <v>73.117415312099666</v>
      </c>
      <c r="BG130" s="20">
        <f t="shared" si="61"/>
        <v>666.00024525190713</v>
      </c>
      <c r="BH130" s="59">
        <f t="shared" si="62"/>
        <v>949.40260211098462</v>
      </c>
      <c r="BI130" s="59">
        <f ca="1">AVERAGE(OFFSET($BH$3,0,0,'Données projet'!$E$11+1,1))-AVERAGE(OFFSET($H$3,0,0,'Données projet'!$E$11+1,1))</f>
        <v>580.02848304986492</v>
      </c>
      <c r="BJ130" s="59">
        <f t="shared" si="92"/>
        <v>281.68891895586728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23.130807453089325</v>
      </c>
      <c r="BQ130" s="21">
        <f>EXP(-LN(2)/25)*BQ129+(1-EXP(-LN(2)/25))/(LN(2)/25)*Calculateur!BL130*Calculateur!BN130*VLOOKUP('Données projet'!$B$11,Paramètres!$A$1:$I$89,3,0)*0.475*44/12</f>
        <v>22.242688943674782</v>
      </c>
      <c r="BR130" s="21">
        <f>EXP(-LN(2)/2)*BR129+(1-EXP(-LN(2)/2))/(LN(2)/2)*BL130*BO130*VLOOKUP('Données projet'!$B$11,Paramètres!$A$1:$I$89,3,0)*0.475*44/12</f>
        <v>0.8076063033827916</v>
      </c>
      <c r="BS130" s="22">
        <f t="shared" si="63"/>
        <v>46.181102700146901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>
        <f>BY130*VLOOKUP('Données projet'!$B$12,Paramètres!$A$1:$I$89,3,0)*VLOOKUP('Données projet'!$B$12,Paramètres!$A$1:$I$89,5,0)</f>
        <v>0</v>
      </c>
      <c r="CA130" s="13" t="e">
        <f t="shared" si="93"/>
        <v>#NUM!</v>
      </c>
      <c r="CB130" s="20" t="e">
        <f t="shared" si="64"/>
        <v>#NUM!</v>
      </c>
      <c r="CC130" s="59" t="e">
        <f t="shared" si="65"/>
        <v>#NUM!</v>
      </c>
      <c r="CD130" s="59">
        <f ca="1">AVERAGE(OFFSET($CC$3,0,0,'Données projet'!$E$12+1,1))-AVERAGE(OFFSET($H$3,0,0,'Données projet'!$E$12+1,1))</f>
        <v>439.15394290667945</v>
      </c>
      <c r="CE130" s="59">
        <f t="shared" si="94"/>
        <v>423.56554025351068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19.886835709924121</v>
      </c>
      <c r="CL130" s="21">
        <f>EXP(-LN(2)/25)*CL129+(1-EXP(-LN(2)/25))/(LN(2)/25)*Calculateur!CG130*Calculateur!CI130*VLOOKUP('Données projet'!$B$12,Paramètres!$A$1:$I$89,3,0)*0.475*44/12</f>
        <v>13.531134381981675</v>
      </c>
      <c r="CM130" s="21">
        <f>EXP(-LN(2)/2)*CM129+(1-EXP(-LN(2)/2))/(LN(2)/2)*CG130*CJ130*VLOOKUP('Données projet'!$B$12,Paramètres!$A$1:$I$89,3,0)*0.475*44/12</f>
        <v>6.2934345132453642E-6</v>
      </c>
      <c r="CN130" s="22">
        <f t="shared" si="66"/>
        <v>33.41797638534031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>
        <f>CT130*VLOOKUP('Données projet'!$B$13,Paramètres!$A$1:$I$89,3,0)*VLOOKUP('Données projet'!$B$13,Paramètres!$A$1:$I$89,5,0)</f>
        <v>0</v>
      </c>
      <c r="CV130" s="13" t="e">
        <f t="shared" si="95"/>
        <v>#NUM!</v>
      </c>
      <c r="CW130" s="20" t="e">
        <f t="shared" si="67"/>
        <v>#NUM!</v>
      </c>
      <c r="CX130" s="59" t="e">
        <f t="shared" si="68"/>
        <v>#NUM!</v>
      </c>
      <c r="CY130" s="59">
        <f ca="1">AVERAGE(OFFSET($CX$3,0,0,'Données projet'!$E$13+1,1))-AVERAGE(OFFSET($H$3,0,0,'Données projet'!$E$13+1,1))</f>
        <v>408.246209980743</v>
      </c>
      <c r="CZ130" s="59">
        <f t="shared" si="96"/>
        <v>394.10236303013903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>
        <f>EXP(-LN(2)/35)*DF129+(1-EXP(-LN(2)/35))/(LN(2)/35)*DB130*DC130*VLOOKUP('Données projet'!$B$13,Paramètres!$A$1:$I$89,3,0)*0.475*44/12</f>
        <v>22.502527025182953</v>
      </c>
      <c r="DG130" s="21">
        <f>EXP(-LN(2)/25)*DG129+(1-EXP(-LN(2)/25))/(LN(2)/25)*Calculateur!DB130*Calculateur!DD130*VLOOKUP('Données projet'!$B$13,Paramètres!$A$1:$I$89,3,0)*0.475*44/12</f>
        <v>15.310868031155788</v>
      </c>
      <c r="DH130" s="21">
        <f>EXP(-LN(2)/2)*DH129+(1-EXP(-LN(2)/2))/(LN(2)/2)*DB130*DE130*VLOOKUP('Données projet'!$B$13,Paramètres!$A$1:$I$89,3,0)*0.475*44/12</f>
        <v>5.7775792252744343E-6</v>
      </c>
      <c r="DI130" s="22">
        <f t="shared" si="69"/>
        <v>37.813400833917967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>
        <f>DO130*VLOOKUP('Données projet'!$B$14,Paramètres!$A$1:$I$89,3,0)*VLOOKUP('Données projet'!$B$14,Paramètres!$A$1:$I$89,5,0)</f>
        <v>0</v>
      </c>
      <c r="DQ130" s="13" t="e">
        <f t="shared" si="97"/>
        <v>#NUM!</v>
      </c>
      <c r="DR130" s="20" t="e">
        <f t="shared" si="70"/>
        <v>#NUM!</v>
      </c>
      <c r="DS130" s="59" t="e">
        <f t="shared" si="71"/>
        <v>#NUM!</v>
      </c>
      <c r="DT130" s="59">
        <f ca="1">AVERAGE(OFFSET($DS$3,0,0,'Données projet'!$E$14+1,1))-AVERAGE(OFFSET($H$3,0,0,'Données projet'!$E$14+1,1))</f>
        <v>371.07993287480366</v>
      </c>
      <c r="DU130" s="59">
        <f t="shared" si="98"/>
        <v>358.67120540290637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>
        <f>EXP(-LN(2)/35)*EA129+(1-EXP(-LN(2)/35))/(LN(2)/35)*DW130*DX130*VLOOKUP('Données projet'!$B$14,Paramètres!$A$1:$I$89,3,0)*0.475*44/12</f>
        <v>16.300685008134533</v>
      </c>
      <c r="EB130" s="21">
        <f>EXP(-LN(2)/25)*EB129+(1-EXP(-LN(2)/25))/(LN(2)/25)*Calculateur!DW130*Calculateur!DY130*VLOOKUP('Données projet'!$B$14,Paramètres!$A$1:$I$89,3,0)*0.475*44/12</f>
        <v>11.091093755722682</v>
      </c>
      <c r="EC130" s="21">
        <f>EXP(-LN(2)/2)*EC129+(1-EXP(-LN(2)/2))/(LN(2)/2)*DW130*DZ130*VLOOKUP('Données projet'!$B$14,Paramètres!$A$1:$I$89,3,0)*0.475*44/12</f>
        <v>5.1585528797093256E-6</v>
      </c>
      <c r="ED130" s="22">
        <f t="shared" si="72"/>
        <v>27.391783922410095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45">
      <c r="A131" s="10">
        <f t="shared" si="85"/>
        <v>128</v>
      </c>
      <c r="B131" s="73">
        <f>'Scénario référence'!$B$16*5+'Scénario référence'!$B$17*0+'Scénario référence'!$B$18*5</f>
        <v>5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1">
        <f t="shared" si="86"/>
        <v>0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18.333333333333332</v>
      </c>
      <c r="H131" s="67">
        <f t="shared" si="56"/>
        <v>183.33333333333334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9.0229999999999961</v>
      </c>
      <c r="N131" s="13">
        <f>IF('Données projet'!$A$36&gt;35,N130+M131-V130,IF(A131&lt;'Données projet'!$A$36,$K$205^A131,IF(A131='Données projet'!$A$36,'Données projet'!$B$36,N130+M131-V130)))</f>
        <v>430.14200000000073</v>
      </c>
      <c r="O131" s="13">
        <f>N131*VLOOKUP('Données projet'!$B$9,Paramètres!$A$1:$I$89,3,0)*VLOOKUP('Données projet'!$B$9,Paramètres!$A$1:$I$89,5,0)</f>
        <v>389.19248160000063</v>
      </c>
      <c r="P131" s="13">
        <f t="shared" si="87"/>
        <v>89.582126151232899</v>
      </c>
      <c r="Q131" s="20">
        <f t="shared" ref="Q131:Q153" si="108">(O131+P131)*0.475*44/12</f>
        <v>833.86577516673162</v>
      </c>
      <c r="R131" s="59">
        <f t="shared" ref="R131:R194" si="109">Q131+(I131+J131)*44/12</f>
        <v>1117.4404122653002</v>
      </c>
      <c r="S131" s="59">
        <f ca="1">AVERAGE(OFFSET($R$3,0,0,'Données projet'!$E$9+1,1))-AVERAGE(OFFSET($H$3,0,0,'Données projet'!$E$9+1,1))</f>
        <v>681.47578137804555</v>
      </c>
      <c r="T131" s="59">
        <f t="shared" si="88"/>
        <v>300.88511065995885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35.672184961247588</v>
      </c>
      <c r="AA131" s="21">
        <f>EXP(-LN(2)/25)*AA130+(1-EXP(-LN(2)/25))/(LN(2)/25)*Calculateur!V131*Calculateur!X131*VLOOKUP('Données projet'!$B$9,Paramètres!$A$1:$I$89,3,0)*0.475*44/12</f>
        <v>21.920481805099897</v>
      </c>
      <c r="AB131" s="21">
        <f>EXP(-LN(2)/2)*AB130+(1-EXP(-LN(2)/2))/(LN(2)/2)*V131*Y131*VLOOKUP('Données projet'!$B$9,Paramètres!$A$1:$I$89,3,0)*0.475*44/12</f>
        <v>1.2764950843811578</v>
      </c>
      <c r="AC131" s="22">
        <f t="shared" si="57"/>
        <v>58.869161850728645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3.4106051316484809E-13</v>
      </c>
      <c r="AJ131" s="13">
        <f>AI131*VLOOKUP('Données projet'!$B$10,Paramètres!$A$1:$I$89,3,0)*VLOOKUP('Données projet'!$B$10,Paramètres!$A$1:$I$89,5,0)</f>
        <v>1.5961632016114892E-13</v>
      </c>
      <c r="AK131" s="13">
        <f t="shared" si="89"/>
        <v>2.2708641912150958E-12</v>
      </c>
      <c r="AL131" s="20">
        <f t="shared" si="58"/>
        <v>4.2330868906469593E-12</v>
      </c>
      <c r="AM131" s="59">
        <f t="shared" si="59"/>
        <v>283.57463709857274</v>
      </c>
      <c r="AN131" s="59">
        <f ca="1">AVERAGE(OFFSET($AM$3,0,0,'Données projet'!$E$10+1,1))-AVERAGE(OFFSET($H$3,0,0,'Données projet'!$E$10+1,1))</f>
        <v>325.45940224919184</v>
      </c>
      <c r="AO131" s="59">
        <f t="shared" si="90"/>
        <v>256.30046621034876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90.071192398701371</v>
      </c>
      <c r="AV131" s="21">
        <f>EXP(-LN(2)/25)*AV130+(1-EXP(-LN(2)/25))/(LN(2)/25)*Calculateur!AQ131*Calculateur!AS131*VLOOKUP('Données projet'!$B$10,Paramètres!$A$1:$I$89,3,0)*0.475*44/12</f>
        <v>24.732005251733245</v>
      </c>
      <c r="AW131" s="21">
        <f>EXP(-LN(2)/2)*AW130+(1-EXP(-LN(2)/2))/(LN(2)/2)*AQ131*AT131*VLOOKUP('Données projet'!$B$10,Paramètres!$A$1:$I$89,3,0)*0.475*44/12</f>
        <v>4.3486927581120681E-2</v>
      </c>
      <c r="AX131" s="21">
        <f t="shared" si="60"/>
        <v>114.84668457801573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7.1129999999999995</v>
      </c>
      <c r="BD131" s="12">
        <f>IF('Données projet'!$A$88&gt;35,BD130+BC131-BL130,IF(A131&lt;'Données projet'!$A$88,$BA$205^A131,IF(A131='Données projet'!$A$88,'Données projet'!$B$88,BD130+BC131-BL130)))</f>
        <v>312.11800000000005</v>
      </c>
      <c r="BE131" s="13">
        <f>BD131*VLOOKUP('Données projet'!$B$11,Paramètres!$A$1:$I$89,3,0)*VLOOKUP('Données projet'!$B$11,Paramètres!$A$1:$I$89,5,0)</f>
        <v>316.48765200000008</v>
      </c>
      <c r="BF131" s="13">
        <f t="shared" si="91"/>
        <v>74.622072586992616</v>
      </c>
      <c r="BG131" s="20">
        <f t="shared" si="61"/>
        <v>681.18277032234562</v>
      </c>
      <c r="BH131" s="59">
        <f t="shared" si="62"/>
        <v>964.75740742091421</v>
      </c>
      <c r="BI131" s="59">
        <f ca="1">AVERAGE(OFFSET($BH$3,0,0,'Données projet'!$E$11+1,1))-AVERAGE(OFFSET($H$3,0,0,'Données projet'!$E$11+1,1))</f>
        <v>580.02848304986492</v>
      </c>
      <c r="BJ131" s="59">
        <f t="shared" si="92"/>
        <v>281.68891895586728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22.6772264273337</v>
      </c>
      <c r="BQ131" s="21">
        <f>EXP(-LN(2)/25)*BQ130+(1-EXP(-LN(2)/25))/(LN(2)/25)*Calculateur!BL131*Calculateur!BN131*VLOOKUP('Données projet'!$B$11,Paramètres!$A$1:$I$89,3,0)*0.475*44/12</f>
        <v>21.63446144481782</v>
      </c>
      <c r="BR131" s="21">
        <f>EXP(-LN(2)/2)*BR130+(1-EXP(-LN(2)/2))/(LN(2)/2)*BL131*BO131*VLOOKUP('Données projet'!$B$11,Paramètres!$A$1:$I$89,3,0)*0.475*44/12</f>
        <v>0.57106389365097221</v>
      </c>
      <c r="BS131" s="22">
        <f t="shared" si="63"/>
        <v>44.882751765802496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>
        <f>BY131*VLOOKUP('Données projet'!$B$12,Paramètres!$A$1:$I$89,3,0)*VLOOKUP('Données projet'!$B$12,Paramètres!$A$1:$I$89,5,0)</f>
        <v>0</v>
      </c>
      <c r="CA131" s="13" t="e">
        <f t="shared" si="93"/>
        <v>#NUM!</v>
      </c>
      <c r="CB131" s="20" t="e">
        <f t="shared" si="64"/>
        <v>#NUM!</v>
      </c>
      <c r="CC131" s="59" t="e">
        <f t="shared" si="65"/>
        <v>#NUM!</v>
      </c>
      <c r="CD131" s="59">
        <f ca="1">AVERAGE(OFFSET($CC$3,0,0,'Données projet'!$E$12+1,1))-AVERAGE(OFFSET($H$3,0,0,'Données projet'!$E$12+1,1))</f>
        <v>439.15394290667945</v>
      </c>
      <c r="CE131" s="59">
        <f t="shared" si="94"/>
        <v>423.56554025351068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19.496866991424575</v>
      </c>
      <c r="CL131" s="21">
        <f>EXP(-LN(2)/25)*CL130+(1-EXP(-LN(2)/25))/(LN(2)/25)*Calculateur!CG131*Calculateur!CI131*VLOOKUP('Données projet'!$B$12,Paramètres!$A$1:$I$89,3,0)*0.475*44/12</f>
        <v>13.161124800734955</v>
      </c>
      <c r="CM131" s="21">
        <f>EXP(-LN(2)/2)*CM130+(1-EXP(-LN(2)/2))/(LN(2)/2)*CG131*CJ131*VLOOKUP('Données projet'!$B$12,Paramètres!$A$1:$I$89,3,0)*0.475*44/12</f>
        <v>4.4501302212692559E-6</v>
      </c>
      <c r="CN131" s="22">
        <f t="shared" si="66"/>
        <v>32.657996242289748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>
        <f>CT131*VLOOKUP('Données projet'!$B$13,Paramètres!$A$1:$I$89,3,0)*VLOOKUP('Données projet'!$B$13,Paramètres!$A$1:$I$89,5,0)</f>
        <v>0</v>
      </c>
      <c r="CV131" s="13" t="e">
        <f t="shared" si="95"/>
        <v>#NUM!</v>
      </c>
      <c r="CW131" s="20" t="e">
        <f t="shared" si="67"/>
        <v>#NUM!</v>
      </c>
      <c r="CX131" s="59" t="e">
        <f t="shared" si="68"/>
        <v>#NUM!</v>
      </c>
      <c r="CY131" s="59">
        <f ca="1">AVERAGE(OFFSET($CX$3,0,0,'Données projet'!$E$13+1,1))-AVERAGE(OFFSET($H$3,0,0,'Données projet'!$E$13+1,1))</f>
        <v>408.246209980743</v>
      </c>
      <c r="CZ131" s="59">
        <f t="shared" si="96"/>
        <v>394.10236303013903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>
        <f>EXP(-LN(2)/35)*DF130+(1-EXP(-LN(2)/35))/(LN(2)/35)*DB131*DC131*VLOOKUP('Données projet'!$B$13,Paramètres!$A$1:$I$89,3,0)*0.475*44/12</f>
        <v>22.061266195405352</v>
      </c>
      <c r="DG131" s="21">
        <f>EXP(-LN(2)/25)*DG130+(1-EXP(-LN(2)/25))/(LN(2)/25)*Calculateur!DB131*Calculateur!DD131*VLOOKUP('Données projet'!$B$13,Paramètres!$A$1:$I$89,3,0)*0.475*44/12</f>
        <v>14.892191539680278</v>
      </c>
      <c r="DH131" s="21">
        <f>EXP(-LN(2)/2)*DH130+(1-EXP(-LN(2)/2))/(LN(2)/2)*DB131*DE131*VLOOKUP('Données projet'!$B$13,Paramètres!$A$1:$I$89,3,0)*0.475*44/12</f>
        <v>4.0853654490340721E-6</v>
      </c>
      <c r="DI131" s="22">
        <f t="shared" si="69"/>
        <v>36.953461820451075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>
        <f>DO131*VLOOKUP('Données projet'!$B$14,Paramètres!$A$1:$I$89,3,0)*VLOOKUP('Données projet'!$B$14,Paramètres!$A$1:$I$89,5,0)</f>
        <v>0</v>
      </c>
      <c r="DQ131" s="13" t="e">
        <f t="shared" si="97"/>
        <v>#NUM!</v>
      </c>
      <c r="DR131" s="20" t="e">
        <f t="shared" si="70"/>
        <v>#NUM!</v>
      </c>
      <c r="DS131" s="59" t="e">
        <f t="shared" si="71"/>
        <v>#NUM!</v>
      </c>
      <c r="DT131" s="59">
        <f ca="1">AVERAGE(OFFSET($DS$3,0,0,'Données projet'!$E$14+1,1))-AVERAGE(OFFSET($H$3,0,0,'Données projet'!$E$14+1,1))</f>
        <v>371.07993287480366</v>
      </c>
      <c r="DU131" s="59">
        <f t="shared" si="98"/>
        <v>358.67120540290637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>
        <f>EXP(-LN(2)/35)*EA130+(1-EXP(-LN(2)/35))/(LN(2)/35)*DW131*DX131*VLOOKUP('Données projet'!$B$14,Paramètres!$A$1:$I$89,3,0)*0.475*44/12</f>
        <v>15.981038517561135</v>
      </c>
      <c r="EB131" s="21">
        <f>EXP(-LN(2)/25)*EB130+(1-EXP(-LN(2)/25))/(LN(2)/25)*Calculateur!DW131*Calculateur!DY131*VLOOKUP('Données projet'!$B$14,Paramètres!$A$1:$I$89,3,0)*0.475*44/12</f>
        <v>10.787807213717173</v>
      </c>
      <c r="EC131" s="21">
        <f>EXP(-LN(2)/2)*EC130+(1-EXP(-LN(2)/2))/(LN(2)/2)*DW131*DZ131*VLOOKUP('Données projet'!$B$14,Paramètres!$A$1:$I$89,3,0)*0.475*44/12</f>
        <v>3.6476477223518568E-6</v>
      </c>
      <c r="ED131" s="22">
        <f t="shared" si="72"/>
        <v>26.768849378926031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45">
      <c r="A132" s="10">
        <f t="shared" si="85"/>
        <v>129</v>
      </c>
      <c r="B132" s="73">
        <f>'Scénario référence'!$B$16*5+'Scénario référence'!$B$17*0+'Scénario référence'!$B$18*5</f>
        <v>5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1">
        <f t="shared" si="86"/>
        <v>0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18.333333333333332</v>
      </c>
      <c r="H132" s="67">
        <f t="shared" ref="H132:H195" si="110">(B132+E132+F132)*44/12+(C132+D132)*0.475*44/12</f>
        <v>183.33333333333334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9.0229999999999961</v>
      </c>
      <c r="N132" s="13">
        <f>IF('Données projet'!$A$36&gt;35,N131+M132-V131,IF(A132&lt;'Données projet'!$A$36,$K$205^A132,IF(A132='Données projet'!$A$36,'Données projet'!$B$36,N131+M132-V131)))</f>
        <v>439.16500000000076</v>
      </c>
      <c r="O132" s="13">
        <f>N132*VLOOKUP('Données projet'!$B$9,Paramètres!$A$1:$I$89,3,0)*VLOOKUP('Données projet'!$B$9,Paramètres!$A$1:$I$89,5,0)</f>
        <v>397.35649200000069</v>
      </c>
      <c r="P132" s="13">
        <f t="shared" si="87"/>
        <v>91.240527898934658</v>
      </c>
      <c r="Q132" s="20">
        <f t="shared" si="108"/>
        <v>850.97314299064567</v>
      </c>
      <c r="R132" s="59">
        <f t="shared" si="109"/>
        <v>1134.717071651711</v>
      </c>
      <c r="S132" s="59">
        <f ca="1">AVERAGE(OFFSET($R$3,0,0,'Données projet'!$E$9+1,1))-AVERAGE(OFFSET($H$3,0,0,'Données projet'!$E$9+1,1))</f>
        <v>681.47578137804555</v>
      </c>
      <c r="T132" s="59">
        <f t="shared" si="88"/>
        <v>300.88511065995885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34.972675172041939</v>
      </c>
      <c r="AA132" s="21">
        <f>EXP(-LN(2)/25)*AA131+(1-EXP(-LN(2)/25))/(LN(2)/25)*Calculateur!V132*Calculateur!X132*VLOOKUP('Données projet'!$B$9,Paramètres!$A$1:$I$89,3,0)*0.475*44/12</f>
        <v>21.321065077391403</v>
      </c>
      <c r="AB132" s="21">
        <f>EXP(-LN(2)/2)*AB131+(1-EXP(-LN(2)/2))/(LN(2)/2)*V132*Y132*VLOOKUP('Données projet'!$B$9,Paramètres!$A$1:$I$89,3,0)*0.475*44/12</f>
        <v>0.90261833031721095</v>
      </c>
      <c r="AC132" s="22">
        <f t="shared" ref="AC132:AC153" si="111">SUM(Z132:AB132)</f>
        <v>57.196358579750552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3.4106051316484809E-13</v>
      </c>
      <c r="AJ132" s="13">
        <f>AI132*VLOOKUP('Données projet'!$B$10,Paramètres!$A$1:$I$89,3,0)*VLOOKUP('Données projet'!$B$10,Paramètres!$A$1:$I$89,5,0)</f>
        <v>1.5961632016114892E-13</v>
      </c>
      <c r="AK132" s="13">
        <f t="shared" si="89"/>
        <v>2.2708641912150958E-12</v>
      </c>
      <c r="AL132" s="20">
        <f t="shared" ref="AL132:AL153" si="112">(AJ132+AK132)*0.475*44/12</f>
        <v>4.2330868906469593E-12</v>
      </c>
      <c r="AM132" s="59">
        <f t="shared" ref="AM132:AM195" si="113">AL132+(AD132+AE132)*44/12</f>
        <v>283.74392866106956</v>
      </c>
      <c r="AN132" s="59">
        <f ca="1">AVERAGE(OFFSET($AM$3,0,0,'Données projet'!$E$10+1,1))-AVERAGE(OFFSET($H$3,0,0,'Données projet'!$E$10+1,1))</f>
        <v>325.45940224919184</v>
      </c>
      <c r="AO132" s="59">
        <f t="shared" si="90"/>
        <v>256.30046621034876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88.304951253765523</v>
      </c>
      <c r="AV132" s="21">
        <f>EXP(-LN(2)/25)*AV131+(1-EXP(-LN(2)/25))/(LN(2)/25)*Calculateur!AQ132*Calculateur!AS132*VLOOKUP('Données projet'!$B$10,Paramètres!$A$1:$I$89,3,0)*0.475*44/12</f>
        <v>24.055707267524969</v>
      </c>
      <c r="AW132" s="21">
        <f>EXP(-LN(2)/2)*AW131+(1-EXP(-LN(2)/2))/(LN(2)/2)*AQ132*AT132*VLOOKUP('Données projet'!$B$10,Paramètres!$A$1:$I$89,3,0)*0.475*44/12</f>
        <v>3.0749901385578742E-2</v>
      </c>
      <c r="AX132" s="21">
        <f t="shared" ref="AX132:AX153" si="114">SUM(AU132:AW132)</f>
        <v>112.39140842267607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7.1129999999999995</v>
      </c>
      <c r="BD132" s="12">
        <f>IF('Données projet'!$A$88&gt;35,BD131+BC132-BL131,IF(A132&lt;'Données projet'!$A$88,$BA$205^A132,IF(A132='Données projet'!$A$88,'Données projet'!$B$88,BD131+BC132-BL131)))</f>
        <v>319.23100000000005</v>
      </c>
      <c r="BE132" s="13">
        <f>BD132*VLOOKUP('Données projet'!$B$11,Paramètres!$A$1:$I$89,3,0)*VLOOKUP('Données projet'!$B$11,Paramètres!$A$1:$I$89,5,0)</f>
        <v>323.70023400000008</v>
      </c>
      <c r="BF132" s="13">
        <f t="shared" si="91"/>
        <v>76.122743392807436</v>
      </c>
      <c r="BG132" s="20">
        <f t="shared" ref="BG132:BG153" si="115">(BE132+BF132)*0.475*44/12</f>
        <v>696.35835229247311</v>
      </c>
      <c r="BH132" s="59">
        <f t="shared" ref="BH132:BH195" si="116">BG132+(AY132+AZ132)*44/12</f>
        <v>980.10228095353841</v>
      </c>
      <c r="BI132" s="59">
        <f ca="1">AVERAGE(OFFSET($BH$3,0,0,'Données projet'!$E$11+1,1))-AVERAGE(OFFSET($H$3,0,0,'Données projet'!$E$11+1,1))</f>
        <v>580.02848304986492</v>
      </c>
      <c r="BJ132" s="59">
        <f t="shared" si="92"/>
        <v>281.68891895586728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22.232539848836037</v>
      </c>
      <c r="BQ132" s="21">
        <f>EXP(-LN(2)/25)*BQ131+(1-EXP(-LN(2)/25))/(LN(2)/25)*Calculateur!BL132*Calculateur!BN132*VLOOKUP('Données projet'!$B$11,Paramètres!$A$1:$I$89,3,0)*0.475*44/12</f>
        <v>21.042865958902397</v>
      </c>
      <c r="BR132" s="21">
        <f>EXP(-LN(2)/2)*BR131+(1-EXP(-LN(2)/2))/(LN(2)/2)*BL132*BO132*VLOOKUP('Données projet'!$B$11,Paramètres!$A$1:$I$89,3,0)*0.475*44/12</f>
        <v>0.40380315169139586</v>
      </c>
      <c r="BS132" s="22">
        <f t="shared" ref="BS132:BS153" si="117">SUM(BP132:BR132)</f>
        <v>43.679208959429836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>
        <f>BY132*VLOOKUP('Données projet'!$B$12,Paramètres!$A$1:$I$89,3,0)*VLOOKUP('Données projet'!$B$12,Paramètres!$A$1:$I$89,5,0)</f>
        <v>0</v>
      </c>
      <c r="CA132" s="13" t="e">
        <f t="shared" si="93"/>
        <v>#NUM!</v>
      </c>
      <c r="CB132" s="20" t="e">
        <f t="shared" ref="CB132:CB153" si="118">(BZ132+CA132)*0.475*44/12</f>
        <v>#NUM!</v>
      </c>
      <c r="CC132" s="59" t="e">
        <f t="shared" ref="CC132:CC195" si="119">CB132+(BT132+BU132)*44/12</f>
        <v>#NUM!</v>
      </c>
      <c r="CD132" s="59">
        <f ca="1">AVERAGE(OFFSET($CC$3,0,0,'Données projet'!$E$12+1,1))-AVERAGE(OFFSET($H$3,0,0,'Données projet'!$E$12+1,1))</f>
        <v>439.15394290667945</v>
      </c>
      <c r="CE132" s="59">
        <f t="shared" si="94"/>
        <v>423.56554025351068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19.114545321637376</v>
      </c>
      <c r="CL132" s="21">
        <f>EXP(-LN(2)/25)*CL131+(1-EXP(-LN(2)/25))/(LN(2)/25)*Calculateur!CG132*Calculateur!CI132*VLOOKUP('Données projet'!$B$12,Paramètres!$A$1:$I$89,3,0)*0.475*44/12</f>
        <v>12.801233150945384</v>
      </c>
      <c r="CM132" s="21">
        <f>EXP(-LN(2)/2)*CM131+(1-EXP(-LN(2)/2))/(LN(2)/2)*CG132*CJ132*VLOOKUP('Données projet'!$B$12,Paramètres!$A$1:$I$89,3,0)*0.475*44/12</f>
        <v>3.1467172566226821E-6</v>
      </c>
      <c r="CN132" s="22">
        <f t="shared" ref="CN132:CN153" si="120">SUM(CK132:CM132)</f>
        <v>31.915781619300017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>
        <f>CT132*VLOOKUP('Données projet'!$B$13,Paramètres!$A$1:$I$89,3,0)*VLOOKUP('Données projet'!$B$13,Paramètres!$A$1:$I$89,5,0)</f>
        <v>0</v>
      </c>
      <c r="CV132" s="13" t="e">
        <f t="shared" si="95"/>
        <v>#NUM!</v>
      </c>
      <c r="CW132" s="20" t="e">
        <f t="shared" ref="CW132:CW153" si="121">(CU132+CV132)*0.475*44/12</f>
        <v>#NUM!</v>
      </c>
      <c r="CX132" s="59" t="e">
        <f t="shared" ref="CX132:CX195" si="122">CW132+(CO132+CP132)*44/12</f>
        <v>#NUM!</v>
      </c>
      <c r="CY132" s="59">
        <f ca="1">AVERAGE(OFFSET($CX$3,0,0,'Données projet'!$E$13+1,1))-AVERAGE(OFFSET($H$3,0,0,'Données projet'!$E$13+1,1))</f>
        <v>408.246209980743</v>
      </c>
      <c r="CZ132" s="59">
        <f t="shared" si="96"/>
        <v>394.10236303013903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>
        <f>EXP(-LN(2)/35)*DF131+(1-EXP(-LN(2)/35))/(LN(2)/35)*DB132*DC132*VLOOKUP('Données projet'!$B$13,Paramètres!$A$1:$I$89,3,0)*0.475*44/12</f>
        <v>21.62865822135716</v>
      </c>
      <c r="DG132" s="21">
        <f>EXP(-LN(2)/25)*DG131+(1-EXP(-LN(2)/25))/(LN(2)/25)*Calculateur!DB132*Calculateur!DD132*VLOOKUP('Données projet'!$B$13,Paramètres!$A$1:$I$89,3,0)*0.475*44/12</f>
        <v>14.484963778881404</v>
      </c>
      <c r="DH132" s="21">
        <f>EXP(-LN(2)/2)*DH131+(1-EXP(-LN(2)/2))/(LN(2)/2)*DB132*DE132*VLOOKUP('Données projet'!$B$13,Paramètres!$A$1:$I$89,3,0)*0.475*44/12</f>
        <v>2.8887896126372172E-6</v>
      </c>
      <c r="DI132" s="22">
        <f t="shared" ref="DI132:DI153" si="123">SUM(DF132:DH132)</f>
        <v>36.113624889028173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>
        <f>DO132*VLOOKUP('Données projet'!$B$14,Paramètres!$A$1:$I$89,3,0)*VLOOKUP('Données projet'!$B$14,Paramètres!$A$1:$I$89,5,0)</f>
        <v>0</v>
      </c>
      <c r="DQ132" s="13" t="e">
        <f t="shared" si="97"/>
        <v>#NUM!</v>
      </c>
      <c r="DR132" s="20" t="e">
        <f t="shared" ref="DR132:DR153" si="124">(DP132+DQ132)*0.475*44/12</f>
        <v>#NUM!</v>
      </c>
      <c r="DS132" s="59" t="e">
        <f t="shared" ref="DS132:DS195" si="125">DR132+(DJ132+DK132)*44/12</f>
        <v>#NUM!</v>
      </c>
      <c r="DT132" s="59">
        <f ca="1">AVERAGE(OFFSET($DS$3,0,0,'Données projet'!$E$14+1,1))-AVERAGE(OFFSET($H$3,0,0,'Données projet'!$E$14+1,1))</f>
        <v>371.07993287480366</v>
      </c>
      <c r="DU132" s="59">
        <f t="shared" si="98"/>
        <v>358.67120540290637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>
        <f>EXP(-LN(2)/35)*EA131+(1-EXP(-LN(2)/35))/(LN(2)/35)*DW132*DX132*VLOOKUP('Données projet'!$B$14,Paramètres!$A$1:$I$89,3,0)*0.475*44/12</f>
        <v>15.667660099702774</v>
      </c>
      <c r="EB132" s="21">
        <f>EXP(-LN(2)/25)*EB131+(1-EXP(-LN(2)/25))/(LN(2)/25)*Calculateur!DW132*Calculateur!DY132*VLOOKUP('Données projet'!$B$14,Paramètres!$A$1:$I$89,3,0)*0.475*44/12</f>
        <v>10.492814058151952</v>
      </c>
      <c r="EC132" s="21">
        <f>EXP(-LN(2)/2)*EC131+(1-EXP(-LN(2)/2))/(LN(2)/2)*DW132*DZ132*VLOOKUP('Données projet'!$B$14,Paramètres!$A$1:$I$89,3,0)*0.475*44/12</f>
        <v>2.5792764398546628E-6</v>
      </c>
      <c r="ED132" s="22">
        <f t="shared" ref="ED132:ED153" si="126">SUM(EA132:EC132)</f>
        <v>26.160476737131166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45">
      <c r="A133" s="10">
        <f t="shared" ref="A133:A152" si="139">A132+1</f>
        <v>130</v>
      </c>
      <c r="B133" s="73">
        <f>'Scénario référence'!$B$16*5+'Scénario référence'!$B$17*0+'Scénario référence'!$B$18*5</f>
        <v>5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1">
        <f t="shared" ref="D133:D196" si="140">IFERROR(EXP(-1.0587+0.8836*LN(C133)+0.284),0)</f>
        <v>0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18.333333333333332</v>
      </c>
      <c r="H133" s="67">
        <f t="shared" si="110"/>
        <v>183.33333333333334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9.0229999999999961</v>
      </c>
      <c r="N133" s="13">
        <f>IF('Données projet'!$A$36&gt;35,N132+M133-V132,IF(A133&lt;'Données projet'!$A$36,$K$205^A133,IF(A133='Données projet'!$A$36,'Données projet'!$B$36,N132+M133-V132)))</f>
        <v>448.18800000000078</v>
      </c>
      <c r="O133" s="13">
        <f>N133*VLOOKUP('Données projet'!$B$9,Paramètres!$A$1:$I$89,3,0)*VLOOKUP('Données projet'!$B$9,Paramètres!$A$1:$I$89,5,0)</f>
        <v>405.52050240000068</v>
      </c>
      <c r="P133" s="13">
        <f t="shared" ref="P133:P196" si="141">EXP(-1.0587+0.8836*LN(O133)+0.284)</f>
        <v>92.894967969753338</v>
      </c>
      <c r="Q133" s="20">
        <f t="shared" si="108"/>
        <v>868.07361089398819</v>
      </c>
      <c r="R133" s="59">
        <f t="shared" si="109"/>
        <v>1151.9838942874203</v>
      </c>
      <c r="S133" s="59">
        <f ca="1">AVERAGE(OFFSET($R$3,0,0,'Données projet'!$E$9+1,1))-AVERAGE(OFFSET($H$3,0,0,'Données projet'!$E$9+1,1))</f>
        <v>681.47578137804555</v>
      </c>
      <c r="T133" s="59">
        <f t="shared" ref="T133:T196" si="142">$T$3</f>
        <v>300.88511065995885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34.286882343143766</v>
      </c>
      <c r="AA133" s="21">
        <f>EXP(-LN(2)/25)*AA132+(1-EXP(-LN(2)/25))/(LN(2)/25)*Calculateur!V133*Calculateur!X133*VLOOKUP('Données projet'!$B$9,Paramètres!$A$1:$I$89,3,0)*0.475*44/12</f>
        <v>20.738039431624053</v>
      </c>
      <c r="AB133" s="21">
        <f>EXP(-LN(2)/2)*AB132+(1-EXP(-LN(2)/2))/(LN(2)/2)*V133*Y133*VLOOKUP('Données projet'!$B$9,Paramètres!$A$1:$I$89,3,0)*0.475*44/12</f>
        <v>0.638247542190579</v>
      </c>
      <c r="AC133" s="22">
        <f t="shared" si="111"/>
        <v>55.663169316958395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3.4106051316484809E-13</v>
      </c>
      <c r="AJ133" s="13">
        <f>AI133*VLOOKUP('Données projet'!$B$10,Paramètres!$A$1:$I$89,3,0)*VLOOKUP('Données projet'!$B$10,Paramètres!$A$1:$I$89,5,0)</f>
        <v>1.5961632016114892E-13</v>
      </c>
      <c r="AK133" s="13">
        <f t="shared" ref="AK133:AK153" si="143">EXP(-1.0587+0.8836*LN(AJ133)+0.284)</f>
        <v>2.2708641912150958E-12</v>
      </c>
      <c r="AL133" s="20">
        <f t="shared" si="112"/>
        <v>4.2330868906469593E-12</v>
      </c>
      <c r="AM133" s="59">
        <f t="shared" si="113"/>
        <v>283.91028339343632</v>
      </c>
      <c r="AN133" s="59">
        <f ca="1">AVERAGE(OFFSET($AM$3,0,0,'Données projet'!$E$10+1,1))-AVERAGE(OFFSET($H$3,0,0,'Données projet'!$E$10+1,1))</f>
        <v>325.45940224919184</v>
      </c>
      <c r="AO133" s="59">
        <f t="shared" ref="AO133:AO196" si="144">$AO$3</f>
        <v>256.30046621034876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86.57334502038114</v>
      </c>
      <c r="AV133" s="21">
        <f>EXP(-LN(2)/25)*AV132+(1-EXP(-LN(2)/25))/(LN(2)/25)*Calculateur!AQ133*Calculateur!AS133*VLOOKUP('Données projet'!$B$10,Paramètres!$A$1:$I$89,3,0)*0.475*44/12</f>
        <v>23.397902687259833</v>
      </c>
      <c r="AW133" s="21">
        <f>EXP(-LN(2)/2)*AW132+(1-EXP(-LN(2)/2))/(LN(2)/2)*AQ133*AT133*VLOOKUP('Données projet'!$B$10,Paramètres!$A$1:$I$89,3,0)*0.475*44/12</f>
        <v>2.1743463790560344E-2</v>
      </c>
      <c r="AX133" s="21">
        <f t="shared" si="114"/>
        <v>109.99299117143153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7.1129999999999995</v>
      </c>
      <c r="BD133" s="12">
        <f>IF('Données projet'!$A$88&gt;35,BD132+BC133-BL132,IF(A133&lt;'Données projet'!$A$88,$BA$205^A133,IF(A133='Données projet'!$A$88,'Données projet'!$B$88,BD132+BC133-BL132)))</f>
        <v>326.34400000000005</v>
      </c>
      <c r="BE133" s="13">
        <f>BD133*VLOOKUP('Données projet'!$B$11,Paramètres!$A$1:$I$89,3,0)*VLOOKUP('Données projet'!$B$11,Paramètres!$A$1:$I$89,5,0)</f>
        <v>330.91281600000008</v>
      </c>
      <c r="BF133" s="13">
        <f t="shared" ref="BF133:BF153" si="145">EXP(-1.0587+0.8836*LN(BE133)+0.284)</f>
        <v>77.619526782062408</v>
      </c>
      <c r="BG133" s="20">
        <f t="shared" si="115"/>
        <v>711.52716367875882</v>
      </c>
      <c r="BH133" s="59">
        <f t="shared" si="116"/>
        <v>995.43744707219093</v>
      </c>
      <c r="BI133" s="59">
        <f ca="1">AVERAGE(OFFSET($BH$3,0,0,'Données projet'!$E$11+1,1))-AVERAGE(OFFSET($H$3,0,0,'Données projet'!$E$11+1,1))</f>
        <v>580.02848304986492</v>
      </c>
      <c r="BJ133" s="59">
        <f t="shared" ref="BJ133:BJ196" si="146">$BJ$3</f>
        <v>281.68891895586728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21.79657330291068</v>
      </c>
      <c r="BQ133" s="21">
        <f>EXP(-LN(2)/25)*BQ132+(1-EXP(-LN(2)/25))/(LN(2)/25)*Calculateur!BL133*Calculateur!BN133*VLOOKUP('Données projet'!$B$11,Paramètres!$A$1:$I$89,3,0)*0.475*44/12</f>
        <v>20.467447682659984</v>
      </c>
      <c r="BR133" s="21">
        <f>EXP(-LN(2)/2)*BR132+(1-EXP(-LN(2)/2))/(LN(2)/2)*BL133*BO133*VLOOKUP('Données projet'!$B$11,Paramètres!$A$1:$I$89,3,0)*0.475*44/12</f>
        <v>0.2855319468254861</v>
      </c>
      <c r="BS133" s="22">
        <f t="shared" si="117"/>
        <v>42.549552932396153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>
        <f>BY133*VLOOKUP('Données projet'!$B$12,Paramètres!$A$1:$I$89,3,0)*VLOOKUP('Données projet'!$B$12,Paramètres!$A$1:$I$89,5,0)</f>
        <v>0</v>
      </c>
      <c r="CA133" s="13" t="e">
        <f t="shared" ref="CA133:CA153" si="147">EXP(-1.0587+0.8836*LN(BZ133)+0.284)</f>
        <v>#NUM!</v>
      </c>
      <c r="CB133" s="20" t="e">
        <f t="shared" si="118"/>
        <v>#NUM!</v>
      </c>
      <c r="CC133" s="59" t="e">
        <f t="shared" si="119"/>
        <v>#NUM!</v>
      </c>
      <c r="CD133" s="59">
        <f ca="1">AVERAGE(OFFSET($CC$3,0,0,'Données projet'!$E$12+1,1))-AVERAGE(OFFSET($H$3,0,0,'Données projet'!$E$12+1,1))</f>
        <v>439.15394290667945</v>
      </c>
      <c r="CE133" s="59">
        <f t="shared" ref="CE133:CE196" si="148">$CE$3</f>
        <v>423.56554025351068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18.73972074660151</v>
      </c>
      <c r="CL133" s="21">
        <f>EXP(-LN(2)/25)*CL132+(1-EXP(-LN(2)/25))/(LN(2)/25)*Calculateur!CG133*Calculateur!CI133*VLOOKUP('Données projet'!$B$12,Paramètres!$A$1:$I$89,3,0)*0.475*44/12</f>
        <v>12.451182757245189</v>
      </c>
      <c r="CM133" s="21">
        <f>EXP(-LN(2)/2)*CM132+(1-EXP(-LN(2)/2))/(LN(2)/2)*CG133*CJ133*VLOOKUP('Données projet'!$B$12,Paramètres!$A$1:$I$89,3,0)*0.475*44/12</f>
        <v>2.2250651106346279E-6</v>
      </c>
      <c r="CN133" s="22">
        <f t="shared" si="120"/>
        <v>31.190905728911808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>
        <f>CT133*VLOOKUP('Données projet'!$B$13,Paramètres!$A$1:$I$89,3,0)*VLOOKUP('Données projet'!$B$13,Paramètres!$A$1:$I$89,5,0)</f>
        <v>0</v>
      </c>
      <c r="CV133" s="13" t="e">
        <f t="shared" ref="CV133:CV153" si="149">EXP(-1.0587+0.8836*LN(CU133)+0.284)</f>
        <v>#NUM!</v>
      </c>
      <c r="CW133" s="20" t="e">
        <f t="shared" si="121"/>
        <v>#NUM!</v>
      </c>
      <c r="CX133" s="59" t="e">
        <f t="shared" si="122"/>
        <v>#NUM!</v>
      </c>
      <c r="CY133" s="59">
        <f ca="1">AVERAGE(OFFSET($CX$3,0,0,'Données projet'!$E$13+1,1))-AVERAGE(OFFSET($H$3,0,0,'Données projet'!$E$13+1,1))</f>
        <v>408.246209980743</v>
      </c>
      <c r="CZ133" s="59">
        <f t="shared" ref="CZ133:CZ196" si="150">$CZ$3</f>
        <v>394.10236303013903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>
        <f>EXP(-LN(2)/35)*DF132+(1-EXP(-LN(2)/35))/(LN(2)/35)*DB133*DC133*VLOOKUP('Données projet'!$B$13,Paramètres!$A$1:$I$89,3,0)*0.475*44/12</f>
        <v>21.204533425815242</v>
      </c>
      <c r="DG133" s="21">
        <f>EXP(-LN(2)/25)*DG132+(1-EXP(-LN(2)/25))/(LN(2)/25)*Calculateur!DB133*Calculateur!DD133*VLOOKUP('Données projet'!$B$13,Paramètres!$A$1:$I$89,3,0)*0.475*44/12</f>
        <v>14.088871682616753</v>
      </c>
      <c r="DH133" s="21">
        <f>EXP(-LN(2)/2)*DH132+(1-EXP(-LN(2)/2))/(LN(2)/2)*DB133*DE133*VLOOKUP('Données projet'!$B$13,Paramètres!$A$1:$I$89,3,0)*0.475*44/12</f>
        <v>2.0426827245170361E-6</v>
      </c>
      <c r="DI133" s="22">
        <f t="shared" si="123"/>
        <v>35.293407151114721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>
        <f>DO133*VLOOKUP('Données projet'!$B$14,Paramètres!$A$1:$I$89,3,0)*VLOOKUP('Données projet'!$B$14,Paramètres!$A$1:$I$89,5,0)</f>
        <v>0</v>
      </c>
      <c r="DQ133" s="13" t="e">
        <f t="shared" ref="DQ133:DQ153" si="151">EXP(-1.0587+0.8836*LN(DP133)+0.284)</f>
        <v>#NUM!</v>
      </c>
      <c r="DR133" s="20" t="e">
        <f t="shared" si="124"/>
        <v>#NUM!</v>
      </c>
      <c r="DS133" s="59" t="e">
        <f t="shared" si="125"/>
        <v>#NUM!</v>
      </c>
      <c r="DT133" s="59">
        <f ca="1">AVERAGE(OFFSET($DS$3,0,0,'Données projet'!$E$14+1,1))-AVERAGE(OFFSET($H$3,0,0,'Données projet'!$E$14+1,1))</f>
        <v>371.07993287480366</v>
      </c>
      <c r="DU133" s="59">
        <f t="shared" ref="DU133:DU196" si="152">$DU$3</f>
        <v>358.67120540290637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>
        <f>EXP(-LN(2)/35)*EA132+(1-EXP(-LN(2)/35))/(LN(2)/35)*DW133*DX133*VLOOKUP('Données projet'!$B$14,Paramètres!$A$1:$I$89,3,0)*0.475*44/12</f>
        <v>15.360426841476654</v>
      </c>
      <c r="EB133" s="21">
        <f>EXP(-LN(2)/25)*EB132+(1-EXP(-LN(2)/25))/(LN(2)/25)*Calculateur!DW133*Calculateur!DY133*VLOOKUP('Données projet'!$B$14,Paramètres!$A$1:$I$89,3,0)*0.475*44/12</f>
        <v>10.205887505938676</v>
      </c>
      <c r="EC133" s="21">
        <f>EXP(-LN(2)/2)*EC132+(1-EXP(-LN(2)/2))/(LN(2)/2)*DW133*DZ133*VLOOKUP('Données projet'!$B$14,Paramètres!$A$1:$I$89,3,0)*0.475*44/12</f>
        <v>1.8238238611759284E-6</v>
      </c>
      <c r="ED133" s="22">
        <f t="shared" si="126"/>
        <v>25.56631617123919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45">
      <c r="A134" s="10">
        <f t="shared" si="139"/>
        <v>131</v>
      </c>
      <c r="B134" s="73">
        <f>'Scénario référence'!$B$16*5+'Scénario référence'!$B$17*0+'Scénario référence'!$B$18*5</f>
        <v>5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1">
        <f t="shared" si="140"/>
        <v>0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18.333333333333332</v>
      </c>
      <c r="H134" s="67">
        <f t="shared" si="110"/>
        <v>183.33333333333334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9.0229999999999961</v>
      </c>
      <c r="N134" s="13">
        <f>IF('Données projet'!$A$36&gt;35,N133+M134-V133,IF(A134&lt;'Données projet'!$A$36,$K$205^A134,IF(A134='Données projet'!$A$36,'Données projet'!$B$36,N133+M134-V133)))</f>
        <v>457.21100000000081</v>
      </c>
      <c r="O134" s="13">
        <f>N134*VLOOKUP('Données projet'!$B$9,Paramètres!$A$1:$I$89,3,0)*VLOOKUP('Données projet'!$B$9,Paramètres!$A$1:$I$89,5,0)</f>
        <v>413.68451280000073</v>
      </c>
      <c r="P134" s="13">
        <f t="shared" si="141"/>
        <v>94.545535312483779</v>
      </c>
      <c r="Q134" s="20">
        <f t="shared" si="108"/>
        <v>885.16733379591051</v>
      </c>
      <c r="R134" s="59">
        <f t="shared" si="109"/>
        <v>1169.2410860390162</v>
      </c>
      <c r="S134" s="59">
        <f ca="1">AVERAGE(OFFSET($R$3,0,0,'Données projet'!$E$9+1,1))-AVERAGE(OFFSET($H$3,0,0,'Données projet'!$E$9+1,1))</f>
        <v>681.47578137804555</v>
      </c>
      <c r="T134" s="59">
        <f t="shared" si="142"/>
        <v>300.88511065995885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33.614537493327965</v>
      </c>
      <c r="AA134" s="21">
        <f>EXP(-LN(2)/25)*AA133+(1-EXP(-LN(2)/25))/(LN(2)/25)*Calculateur!V134*Calculateur!X134*VLOOKUP('Données projet'!$B$9,Paramètres!$A$1:$I$89,3,0)*0.475*44/12</f>
        <v>20.170956652800196</v>
      </c>
      <c r="AB134" s="21">
        <f>EXP(-LN(2)/2)*AB133+(1-EXP(-LN(2)/2))/(LN(2)/2)*V134*Y134*VLOOKUP('Données projet'!$B$9,Paramètres!$A$1:$I$89,3,0)*0.475*44/12</f>
        <v>0.45130916515860553</v>
      </c>
      <c r="AC134" s="22">
        <f t="shared" si="111"/>
        <v>54.236803311286764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3.4106051316484809E-13</v>
      </c>
      <c r="AJ134" s="13">
        <f>AI134*VLOOKUP('Données projet'!$B$10,Paramètres!$A$1:$I$89,3,0)*VLOOKUP('Données projet'!$B$10,Paramètres!$A$1:$I$89,5,0)</f>
        <v>1.5961632016114892E-13</v>
      </c>
      <c r="AK134" s="13">
        <f t="shared" si="143"/>
        <v>2.2708641912150958E-12</v>
      </c>
      <c r="AL134" s="20">
        <f t="shared" si="112"/>
        <v>4.2330868906469593E-12</v>
      </c>
      <c r="AM134" s="59">
        <f t="shared" si="113"/>
        <v>284.07375224310994</v>
      </c>
      <c r="AN134" s="59">
        <f ca="1">AVERAGE(OFFSET($AM$3,0,0,'Données projet'!$E$10+1,1))-AVERAGE(OFFSET($H$3,0,0,'Données projet'!$E$10+1,1))</f>
        <v>325.45940224919184</v>
      </c>
      <c r="AO134" s="59">
        <f t="shared" si="144"/>
        <v>256.30046621034876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84.87569452905791</v>
      </c>
      <c r="AV134" s="21">
        <f>EXP(-LN(2)/25)*AV133+(1-EXP(-LN(2)/25))/(LN(2)/25)*Calculateur!AQ134*Calculateur!AS134*VLOOKUP('Données projet'!$B$10,Paramètres!$A$1:$I$89,3,0)*0.475*44/12</f>
        <v>22.758085807834487</v>
      </c>
      <c r="AW134" s="21">
        <f>EXP(-LN(2)/2)*AW133+(1-EXP(-LN(2)/2))/(LN(2)/2)*AQ134*AT134*VLOOKUP('Données projet'!$B$10,Paramètres!$A$1:$I$89,3,0)*0.475*44/12</f>
        <v>1.5374950692789373E-2</v>
      </c>
      <c r="AX134" s="21">
        <f t="shared" si="114"/>
        <v>107.64915528758519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7.1129999999999995</v>
      </c>
      <c r="BD134" s="12">
        <f>IF('Données projet'!$A$88&gt;35,BD133+BC134-BL133,IF(A134&lt;'Données projet'!$A$88,$BA$205^A134,IF(A134='Données projet'!$A$88,'Données projet'!$B$88,BD133+BC134-BL133)))</f>
        <v>333.45700000000005</v>
      </c>
      <c r="BE134" s="13">
        <f>BD134*VLOOKUP('Données projet'!$B$11,Paramètres!$A$1:$I$89,3,0)*VLOOKUP('Données projet'!$B$11,Paramètres!$A$1:$I$89,5,0)</f>
        <v>338.12539800000008</v>
      </c>
      <c r="BF134" s="13">
        <f t="shared" si="145"/>
        <v>79.112517242778139</v>
      </c>
      <c r="BG134" s="20">
        <f t="shared" si="115"/>
        <v>726.68936904783868</v>
      </c>
      <c r="BH134" s="59">
        <f t="shared" si="116"/>
        <v>1010.7631212909444</v>
      </c>
      <c r="BI134" s="59">
        <f ca="1">AVERAGE(OFFSET($BH$3,0,0,'Données projet'!$E$11+1,1))-AVERAGE(OFFSET($H$3,0,0,'Données projet'!$E$11+1,1))</f>
        <v>580.02848304986492</v>
      </c>
      <c r="BJ134" s="59">
        <f t="shared" si="146"/>
        <v>281.68891895586728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21.369155795037585</v>
      </c>
      <c r="BQ134" s="21">
        <f>EXP(-LN(2)/25)*BQ133+(1-EXP(-LN(2)/25))/(LN(2)/25)*Calculateur!BL134*Calculateur!BN134*VLOOKUP('Données projet'!$B$11,Paramètres!$A$1:$I$89,3,0)*0.475*44/12</f>
        <v>19.907764249441353</v>
      </c>
      <c r="BR134" s="21">
        <f>EXP(-LN(2)/2)*BR133+(1-EXP(-LN(2)/2))/(LN(2)/2)*BL134*BO134*VLOOKUP('Données projet'!$B$11,Paramètres!$A$1:$I$89,3,0)*0.475*44/12</f>
        <v>0.20190157584569793</v>
      </c>
      <c r="BS134" s="22">
        <f t="shared" si="117"/>
        <v>41.478821620324638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>
        <f>BY134*VLOOKUP('Données projet'!$B$12,Paramètres!$A$1:$I$89,3,0)*VLOOKUP('Données projet'!$B$12,Paramètres!$A$1:$I$89,5,0)</f>
        <v>0</v>
      </c>
      <c r="CA134" s="13" t="e">
        <f t="shared" si="147"/>
        <v>#NUM!</v>
      </c>
      <c r="CB134" s="20" t="e">
        <f t="shared" si="118"/>
        <v>#NUM!</v>
      </c>
      <c r="CC134" s="59" t="e">
        <f t="shared" si="119"/>
        <v>#NUM!</v>
      </c>
      <c r="CD134" s="59">
        <f ca="1">AVERAGE(OFFSET($CC$3,0,0,'Données projet'!$E$12+1,1))-AVERAGE(OFFSET($H$3,0,0,'Données projet'!$E$12+1,1))</f>
        <v>439.15394290667945</v>
      </c>
      <c r="CE134" s="59">
        <f t="shared" si="148"/>
        <v>423.56554025351068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18.372246252861682</v>
      </c>
      <c r="CL134" s="21">
        <f>EXP(-LN(2)/25)*CL133+(1-EXP(-LN(2)/25))/(LN(2)/25)*Calculateur!CG134*Calculateur!CI134*VLOOKUP('Données projet'!$B$12,Paramètres!$A$1:$I$89,3,0)*0.475*44/12</f>
        <v>12.110704509969075</v>
      </c>
      <c r="CM134" s="21">
        <f>EXP(-LN(2)/2)*CM133+(1-EXP(-LN(2)/2))/(LN(2)/2)*CG134*CJ134*VLOOKUP('Données projet'!$B$12,Paramètres!$A$1:$I$89,3,0)*0.475*44/12</f>
        <v>1.573358628311341E-6</v>
      </c>
      <c r="CN134" s="22">
        <f t="shared" si="120"/>
        <v>30.482952336189385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>
        <f>CT134*VLOOKUP('Données projet'!$B$13,Paramètres!$A$1:$I$89,3,0)*VLOOKUP('Données projet'!$B$13,Paramètres!$A$1:$I$89,5,0)</f>
        <v>0</v>
      </c>
      <c r="CV134" s="13" t="e">
        <f t="shared" si="149"/>
        <v>#NUM!</v>
      </c>
      <c r="CW134" s="20" t="e">
        <f t="shared" si="121"/>
        <v>#NUM!</v>
      </c>
      <c r="CX134" s="59" t="e">
        <f t="shared" si="122"/>
        <v>#NUM!</v>
      </c>
      <c r="CY134" s="59">
        <f ca="1">AVERAGE(OFFSET($CX$3,0,0,'Données projet'!$E$13+1,1))-AVERAGE(OFFSET($H$3,0,0,'Données projet'!$E$13+1,1))</f>
        <v>408.246209980743</v>
      </c>
      <c r="CZ134" s="59">
        <f t="shared" si="150"/>
        <v>394.10236303013903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>
        <f>EXP(-LN(2)/35)*DF133+(1-EXP(-LN(2)/35))/(LN(2)/35)*DB134*DC134*VLOOKUP('Données projet'!$B$13,Paramètres!$A$1:$I$89,3,0)*0.475*44/12</f>
        <v>20.788725458823318</v>
      </c>
      <c r="DG134" s="21">
        <f>EXP(-LN(2)/25)*DG133+(1-EXP(-LN(2)/25))/(LN(2)/25)*Calculateur!DB134*Calculateur!DD134*VLOOKUP('Données projet'!$B$13,Paramètres!$A$1:$I$89,3,0)*0.475*44/12</f>
        <v>13.703610745554037</v>
      </c>
      <c r="DH134" s="21">
        <f>EXP(-LN(2)/2)*DH133+(1-EXP(-LN(2)/2))/(LN(2)/2)*DB134*DE134*VLOOKUP('Données projet'!$B$13,Paramètres!$A$1:$I$89,3,0)*0.475*44/12</f>
        <v>1.4443948063186086E-6</v>
      </c>
      <c r="DI134" s="22">
        <f t="shared" si="123"/>
        <v>34.492337648772157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>
        <f>DO134*VLOOKUP('Données projet'!$B$14,Paramètres!$A$1:$I$89,3,0)*VLOOKUP('Données projet'!$B$14,Paramètres!$A$1:$I$89,5,0)</f>
        <v>0</v>
      </c>
      <c r="DQ134" s="13" t="e">
        <f t="shared" si="151"/>
        <v>#NUM!</v>
      </c>
      <c r="DR134" s="20" t="e">
        <f t="shared" si="124"/>
        <v>#NUM!</v>
      </c>
      <c r="DS134" s="59" t="e">
        <f t="shared" si="125"/>
        <v>#NUM!</v>
      </c>
      <c r="DT134" s="59">
        <f ca="1">AVERAGE(OFFSET($DS$3,0,0,'Données projet'!$E$14+1,1))-AVERAGE(OFFSET($H$3,0,0,'Données projet'!$E$14+1,1))</f>
        <v>371.07993287480366</v>
      </c>
      <c r="DU134" s="59">
        <f t="shared" si="152"/>
        <v>358.67120540290637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>
        <f>EXP(-LN(2)/35)*EA133+(1-EXP(-LN(2)/35))/(LN(2)/35)*DW134*DX134*VLOOKUP('Données projet'!$B$14,Paramètres!$A$1:$I$89,3,0)*0.475*44/12</f>
        <v>15.059218240050564</v>
      </c>
      <c r="EB134" s="21">
        <f>EXP(-LN(2)/25)*EB133+(1-EXP(-LN(2)/25))/(LN(2)/25)*Calculateur!DW134*Calculateur!DY134*VLOOKUP('Données projet'!$B$14,Paramètres!$A$1:$I$89,3,0)*0.475*44/12</f>
        <v>9.9268069753844852</v>
      </c>
      <c r="EC134" s="21">
        <f>EXP(-LN(2)/2)*EC133+(1-EXP(-LN(2)/2))/(LN(2)/2)*DW134*DZ134*VLOOKUP('Données projet'!$B$14,Paramètres!$A$1:$I$89,3,0)*0.475*44/12</f>
        <v>1.2896382199273314E-6</v>
      </c>
      <c r="ED134" s="22">
        <f t="shared" si="126"/>
        <v>24.986026505073269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45">
      <c r="A135" s="10">
        <f t="shared" si="139"/>
        <v>132</v>
      </c>
      <c r="B135" s="73">
        <f>'Scénario référence'!$B$16*5+'Scénario référence'!$B$17*0+'Scénario référence'!$B$18*5</f>
        <v>5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1">
        <f t="shared" si="140"/>
        <v>0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18.333333333333332</v>
      </c>
      <c r="H135" s="67">
        <f t="shared" si="110"/>
        <v>183.33333333333334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9.0229999999999961</v>
      </c>
      <c r="N135" s="13">
        <f>IF('Données projet'!$A$36&gt;35,N134+M135-V134,IF(A135&lt;'Données projet'!$A$36,$K$205^A135,IF(A135='Données projet'!$A$36,'Données projet'!$B$36,N134+M135-V134)))</f>
        <v>466.23400000000083</v>
      </c>
      <c r="O135" s="13">
        <f>N135*VLOOKUP('Données projet'!$B$9,Paramètres!$A$1:$I$89,3,0)*VLOOKUP('Données projet'!$B$9,Paramètres!$A$1:$I$89,5,0)</f>
        <v>421.84852320000078</v>
      </c>
      <c r="P135" s="13">
        <f t="shared" si="141"/>
        <v>96.192315164348642</v>
      </c>
      <c r="Q135" s="20">
        <f t="shared" si="108"/>
        <v>902.2544601512418</v>
      </c>
      <c r="R135" s="59">
        <f t="shared" si="109"/>
        <v>1186.488845424941</v>
      </c>
      <c r="S135" s="59">
        <f ca="1">AVERAGE(OFFSET($R$3,0,0,'Données projet'!$E$9+1,1))-AVERAGE(OFFSET($H$3,0,0,'Données projet'!$E$9+1,1))</f>
        <v>681.47578137804555</v>
      </c>
      <c r="T135" s="59">
        <f t="shared" si="142"/>
        <v>300.88511065995885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32.955376915927189</v>
      </c>
      <c r="AA135" s="21">
        <f>EXP(-LN(2)/25)*AA134+(1-EXP(-LN(2)/25))/(LN(2)/25)*Calculateur!V135*Calculateur!X135*VLOOKUP('Données projet'!$B$9,Paramètres!$A$1:$I$89,3,0)*0.475*44/12</f>
        <v>19.619380782384866</v>
      </c>
      <c r="AB135" s="21">
        <f>EXP(-LN(2)/2)*AB134+(1-EXP(-LN(2)/2))/(LN(2)/2)*V135*Y135*VLOOKUP('Données projet'!$B$9,Paramètres!$A$1:$I$89,3,0)*0.475*44/12</f>
        <v>0.31912377109528955</v>
      </c>
      <c r="AC135" s="22">
        <f t="shared" si="111"/>
        <v>52.893881469407347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3.4106051316484809E-13</v>
      </c>
      <c r="AJ135" s="13">
        <f>AI135*VLOOKUP('Données projet'!$B$10,Paramètres!$A$1:$I$89,3,0)*VLOOKUP('Données projet'!$B$10,Paramètres!$A$1:$I$89,5,0)</f>
        <v>1.5961632016114892E-13</v>
      </c>
      <c r="AK135" s="13">
        <f t="shared" si="143"/>
        <v>2.2708641912150958E-12</v>
      </c>
      <c r="AL135" s="20">
        <f t="shared" si="112"/>
        <v>4.2330868906469593E-12</v>
      </c>
      <c r="AM135" s="59">
        <f t="shared" si="113"/>
        <v>284.23438527370337</v>
      </c>
      <c r="AN135" s="59">
        <f ca="1">AVERAGE(OFFSET($AM$3,0,0,'Données projet'!$E$10+1,1))-AVERAGE(OFFSET($H$3,0,0,'Données projet'!$E$10+1,1))</f>
        <v>325.45940224919184</v>
      </c>
      <c r="AO135" s="59">
        <f t="shared" si="144"/>
        <v>256.30046621034876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83.211333928404983</v>
      </c>
      <c r="AV135" s="21">
        <f>EXP(-LN(2)/25)*AV134+(1-EXP(-LN(2)/25))/(LN(2)/25)*Calculateur!AQ135*Calculateur!AS135*VLOOKUP('Données projet'!$B$10,Paramètres!$A$1:$I$89,3,0)*0.475*44/12</f>
        <v>22.135764754623533</v>
      </c>
      <c r="AW135" s="21">
        <f>EXP(-LN(2)/2)*AW134+(1-EXP(-LN(2)/2))/(LN(2)/2)*AQ135*AT135*VLOOKUP('Données projet'!$B$10,Paramètres!$A$1:$I$89,3,0)*0.475*44/12</f>
        <v>1.0871731895280174E-2</v>
      </c>
      <c r="AX135" s="21">
        <f t="shared" si="114"/>
        <v>105.3579704149238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>
        <f>VLOOKUP(A135,'Données projet'!$A$87:$I$107,2,0)</f>
        <v>340.57</v>
      </c>
      <c r="BB135" s="12">
        <f>VLOOKUP(A135,'Données projet'!$A$87:$I$107,9,0)</f>
        <v>7.1129999999999995</v>
      </c>
      <c r="BC135" s="12">
        <f t="array" ref="BC135">INDEX(BB:BB,MIN(IF(ISNUMBER(BB135:BB331),ROW(BB135:BB331),"")))</f>
        <v>7.1129999999999995</v>
      </c>
      <c r="BD135" s="12">
        <f>IF('Données projet'!$A$88&gt;35,BD134+BC135-BL134,IF(A135&lt;'Données projet'!$A$88,$BA$205^A135,IF(A135='Données projet'!$A$88,'Données projet'!$B$88,BD134+BC135-BL134)))</f>
        <v>340.57000000000005</v>
      </c>
      <c r="BE135" s="13">
        <f>BD135*VLOOKUP('Données projet'!$B$11,Paramètres!$A$1:$I$89,3,0)*VLOOKUP('Données projet'!$B$11,Paramètres!$A$1:$I$89,5,0)</f>
        <v>345.33798000000007</v>
      </c>
      <c r="BF135" s="13">
        <f t="shared" si="145"/>
        <v>80.601805001623404</v>
      </c>
      <c r="BG135" s="20">
        <f t="shared" si="115"/>
        <v>741.84512554449418</v>
      </c>
      <c r="BH135" s="59">
        <f t="shared" si="116"/>
        <v>1026.0795108181933</v>
      </c>
      <c r="BI135" s="59">
        <f ca="1">AVERAGE(OFFSET($BH$3,0,0,'Données projet'!$E$11+1,1))-AVERAGE(OFFSET($H$3,0,0,'Données projet'!$E$11+1,1))</f>
        <v>580.02848304986492</v>
      </c>
      <c r="BJ135" s="59">
        <f t="shared" si="146"/>
        <v>281.68891895586728</v>
      </c>
      <c r="BK135" s="15">
        <f>IF(ISNA(VLOOKUP(A135,'Données projet'!$A$87:$I$107,3,0)),0,VLOOKUP(A135,'Données projet'!$A$87:$I$107,3,0))</f>
        <v>9</v>
      </c>
      <c r="BL135" s="15">
        <f>IF(ISNA(VLOOKUP(A135,'Données projet'!$A$87:$I$107,4,0)),0,VLOOKUP(A135,'Données projet'!$A$87:$I$107,4,0))</f>
        <v>48.699999999999989</v>
      </c>
      <c r="BM135" s="16">
        <f>IF(ISNA(VLOOKUP(A135,'Données projet'!$A$87:$I$107,5,0)),0%,VLOOKUP(A135,'Données projet'!$A$87:$I$107,5,0)*VLOOKUP('Données projet'!$B$11,Paramètres!$A$1:$I$89,7,0))</f>
        <v>0.15049999999999999</v>
      </c>
      <c r="BN135" s="16">
        <f>IF(ISNA(VLOOKUP(A135,'Données projet'!$A$87:$I$107,6,0)),0%,VLOOKUP(A135,'Données projet'!$A$87:$I$107,6,0)*VLOOKUP('Données projet'!$B$11,Paramètres!$A$1:$I$89,7,0))</f>
        <v>8.6000000000000007E-2</v>
      </c>
      <c r="BO135" s="16">
        <f>IF(ISNA(VLOOKUP(A135,'Données projet'!$A$87:$I$107,7,0)),0%,VLOOKUP(A135,'Données projet'!$A$87:$I$107,7,0))</f>
        <v>0.1</v>
      </c>
      <c r="BP135" s="21">
        <f>EXP(-LN(2)/35)*BP134+(1-EXP(-LN(2)/35))/(LN(2)/35)*BL135*BM135*VLOOKUP('Données projet'!$B$11,Paramètres!$A$1:$I$89,3,0)*0.475*44/12</f>
        <v>29.165932320591985</v>
      </c>
      <c r="BQ135" s="21">
        <f>EXP(-LN(2)/25)*BQ134+(1-EXP(-LN(2)/25))/(LN(2)/25)*Calculateur!BL135*Calculateur!BN135*VLOOKUP('Données projet'!$B$11,Paramètres!$A$1:$I$89,3,0)*0.475*44/12</f>
        <v>24.039650447408519</v>
      </c>
      <c r="BR135" s="21">
        <f>EXP(-LN(2)/2)*BR134+(1-EXP(-LN(2)/2))/(LN(2)/2)*BL135*BO135*VLOOKUP('Données projet'!$B$11,Paramètres!$A$1:$I$89,3,0)*0.475*44/12</f>
        <v>4.802071712578778</v>
      </c>
      <c r="BS135" s="22">
        <f t="shared" si="117"/>
        <v>58.007654480579284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>
        <f>BY135*VLOOKUP('Données projet'!$B$12,Paramètres!$A$1:$I$89,3,0)*VLOOKUP('Données projet'!$B$12,Paramètres!$A$1:$I$89,5,0)</f>
        <v>0</v>
      </c>
      <c r="CA135" s="13" t="e">
        <f t="shared" si="147"/>
        <v>#NUM!</v>
      </c>
      <c r="CB135" s="20" t="e">
        <f t="shared" si="118"/>
        <v>#NUM!</v>
      </c>
      <c r="CC135" s="59" t="e">
        <f t="shared" si="119"/>
        <v>#NUM!</v>
      </c>
      <c r="CD135" s="59">
        <f ca="1">AVERAGE(OFFSET($CC$3,0,0,'Données projet'!$E$12+1,1))-AVERAGE(OFFSET($H$3,0,0,'Données projet'!$E$12+1,1))</f>
        <v>439.15394290667945</v>
      </c>
      <c r="CE135" s="59">
        <f t="shared" si="148"/>
        <v>423.56554025351068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18.011977709806782</v>
      </c>
      <c r="CL135" s="21">
        <f>EXP(-LN(2)/25)*CL134+(1-EXP(-LN(2)/25))/(LN(2)/25)*Calculateur!CG135*Calculateur!CI135*VLOOKUP('Données projet'!$B$12,Paramètres!$A$1:$I$89,3,0)*0.475*44/12</f>
        <v>11.7795366582697</v>
      </c>
      <c r="CM135" s="21">
        <f>EXP(-LN(2)/2)*CM134+(1-EXP(-LN(2)/2))/(LN(2)/2)*CG135*CJ135*VLOOKUP('Données projet'!$B$12,Paramètres!$A$1:$I$89,3,0)*0.475*44/12</f>
        <v>1.112532555317314E-6</v>
      </c>
      <c r="CN135" s="22">
        <f t="shared" si="120"/>
        <v>29.791515480609039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>
        <f>CT135*VLOOKUP('Données projet'!$B$13,Paramètres!$A$1:$I$89,3,0)*VLOOKUP('Données projet'!$B$13,Paramètres!$A$1:$I$89,5,0)</f>
        <v>0</v>
      </c>
      <c r="CV135" s="13" t="e">
        <f t="shared" si="149"/>
        <v>#NUM!</v>
      </c>
      <c r="CW135" s="20" t="e">
        <f t="shared" si="121"/>
        <v>#NUM!</v>
      </c>
      <c r="CX135" s="59" t="e">
        <f t="shared" si="122"/>
        <v>#NUM!</v>
      </c>
      <c r="CY135" s="59">
        <f ca="1">AVERAGE(OFFSET($CX$3,0,0,'Données projet'!$E$13+1,1))-AVERAGE(OFFSET($H$3,0,0,'Données projet'!$E$13+1,1))</f>
        <v>408.246209980743</v>
      </c>
      <c r="CZ135" s="59">
        <f t="shared" si="150"/>
        <v>394.10236303013903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>
        <f>EXP(-LN(2)/35)*DF134+(1-EXP(-LN(2)/35))/(LN(2)/35)*DB135*DC135*VLOOKUP('Données projet'!$B$13,Paramètres!$A$1:$I$89,3,0)*0.475*44/12</f>
        <v>20.381071232446288</v>
      </c>
      <c r="DG135" s="21">
        <f>EXP(-LN(2)/25)*DG134+(1-EXP(-LN(2)/25))/(LN(2)/25)*Calculateur!DB135*Calculateur!DD135*VLOOKUP('Données projet'!$B$13,Paramètres!$A$1:$I$89,3,0)*0.475*44/12</f>
        <v>13.328884789075293</v>
      </c>
      <c r="DH135" s="21">
        <f>EXP(-LN(2)/2)*DH134+(1-EXP(-LN(2)/2))/(LN(2)/2)*DB135*DE135*VLOOKUP('Données projet'!$B$13,Paramètres!$A$1:$I$89,3,0)*0.475*44/12</f>
        <v>1.021341362258518E-6</v>
      </c>
      <c r="DI135" s="22">
        <f t="shared" si="123"/>
        <v>33.709957042862939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>
        <f>DO135*VLOOKUP('Données projet'!$B$14,Paramètres!$A$1:$I$89,3,0)*VLOOKUP('Données projet'!$B$14,Paramètres!$A$1:$I$89,5,0)</f>
        <v>0</v>
      </c>
      <c r="DQ135" s="13" t="e">
        <f t="shared" si="151"/>
        <v>#NUM!</v>
      </c>
      <c r="DR135" s="20" t="e">
        <f t="shared" si="124"/>
        <v>#NUM!</v>
      </c>
      <c r="DS135" s="59" t="e">
        <f t="shared" si="125"/>
        <v>#NUM!</v>
      </c>
      <c r="DT135" s="59">
        <f ca="1">AVERAGE(OFFSET($DS$3,0,0,'Données projet'!$E$14+1,1))-AVERAGE(OFFSET($H$3,0,0,'Données projet'!$E$14+1,1))</f>
        <v>371.07993287480366</v>
      </c>
      <c r="DU135" s="59">
        <f t="shared" si="152"/>
        <v>358.67120540290637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>
        <f>EXP(-LN(2)/35)*EA134+(1-EXP(-LN(2)/35))/(LN(2)/35)*DW135*DX135*VLOOKUP('Données projet'!$B$14,Paramètres!$A$1:$I$89,3,0)*0.475*44/12</f>
        <v>14.763916155579334</v>
      </c>
      <c r="EB135" s="21">
        <f>EXP(-LN(2)/25)*EB134+(1-EXP(-LN(2)/25))/(LN(2)/25)*Calculateur!DW135*Calculateur!DY135*VLOOKUP('Données projet'!$B$14,Paramètres!$A$1:$I$89,3,0)*0.475*44/12</f>
        <v>9.6553579166145056</v>
      </c>
      <c r="EC135" s="21">
        <f>EXP(-LN(2)/2)*EC134+(1-EXP(-LN(2)/2))/(LN(2)/2)*DW135*DZ135*VLOOKUP('Données projet'!$B$14,Paramètres!$A$1:$I$89,3,0)*0.475*44/12</f>
        <v>9.1191193058796419E-7</v>
      </c>
      <c r="ED135" s="22">
        <f t="shared" si="126"/>
        <v>24.419274984105769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45">
      <c r="A136" s="10">
        <f t="shared" si="139"/>
        <v>133</v>
      </c>
      <c r="B136" s="73">
        <f>'Scénario référence'!$B$16*5+'Scénario référence'!$B$17*0+'Scénario référence'!$B$18*5</f>
        <v>5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1">
        <f t="shared" si="140"/>
        <v>0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18.333333333333332</v>
      </c>
      <c r="H136" s="67">
        <f t="shared" si="110"/>
        <v>183.33333333333334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9.0229999999999961</v>
      </c>
      <c r="N136" s="13">
        <f>IF('Données projet'!$A$36&gt;35,N135+M136-V135,IF(A136&lt;'Données projet'!$A$36,$K$205^A136,IF(A136='Données projet'!$A$36,'Données projet'!$B$36,N135+M136-V135)))</f>
        <v>475.25700000000086</v>
      </c>
      <c r="O136" s="13">
        <f>N136*VLOOKUP('Données projet'!$B$9,Paramètres!$A$1:$I$89,3,0)*VLOOKUP('Données projet'!$B$9,Paramètres!$A$1:$I$89,5,0)</f>
        <v>430.01253360000078</v>
      </c>
      <c r="P136" s="13">
        <f t="shared" si="141"/>
        <v>97.835389274652726</v>
      </c>
      <c r="Q136" s="20">
        <f t="shared" si="108"/>
        <v>919.33513234002146</v>
      </c>
      <c r="R136" s="59">
        <f t="shared" si="109"/>
        <v>1203.7273640203548</v>
      </c>
      <c r="S136" s="59">
        <f ca="1">AVERAGE(OFFSET($R$3,0,0,'Données projet'!$E$9+1,1))-AVERAGE(OFFSET($H$3,0,0,'Données projet'!$E$9+1,1))</f>
        <v>681.47578137804555</v>
      </c>
      <c r="T136" s="59">
        <f t="shared" si="142"/>
        <v>300.88511065995885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32.309142075400985</v>
      </c>
      <c r="AA136" s="21">
        <f>EXP(-LN(2)/25)*AA135+(1-EXP(-LN(2)/25))/(LN(2)/25)*Calculateur!V136*Calculateur!X136*VLOOKUP('Données projet'!$B$9,Paramètres!$A$1:$I$89,3,0)*0.475*44/12</f>
        <v>19.082887783152156</v>
      </c>
      <c r="AB136" s="21">
        <f>EXP(-LN(2)/2)*AB135+(1-EXP(-LN(2)/2))/(LN(2)/2)*V136*Y136*VLOOKUP('Données projet'!$B$9,Paramètres!$A$1:$I$89,3,0)*0.475*44/12</f>
        <v>0.22565458257930279</v>
      </c>
      <c r="AC136" s="22">
        <f t="shared" si="111"/>
        <v>51.617684441132447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3.4106051316484809E-13</v>
      </c>
      <c r="AJ136" s="13">
        <f>AI136*VLOOKUP('Données projet'!$B$10,Paramètres!$A$1:$I$89,3,0)*VLOOKUP('Données projet'!$B$10,Paramètres!$A$1:$I$89,5,0)</f>
        <v>1.5961632016114892E-13</v>
      </c>
      <c r="AK136" s="13">
        <f t="shared" si="143"/>
        <v>2.2708641912150958E-12</v>
      </c>
      <c r="AL136" s="20">
        <f t="shared" si="112"/>
        <v>4.2330868906469593E-12</v>
      </c>
      <c r="AM136" s="59">
        <f t="shared" si="113"/>
        <v>284.3922316803376</v>
      </c>
      <c r="AN136" s="59">
        <f ca="1">AVERAGE(OFFSET($AM$3,0,0,'Données projet'!$E$10+1,1))-AVERAGE(OFFSET($H$3,0,0,'Données projet'!$E$10+1,1))</f>
        <v>325.45940224919184</v>
      </c>
      <c r="AO136" s="59">
        <f t="shared" si="144"/>
        <v>256.30046621034876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81.579610423971133</v>
      </c>
      <c r="AV136" s="21">
        <f>EXP(-LN(2)/25)*AV135+(1-EXP(-LN(2)/25))/(LN(2)/25)*Calculateur!AQ136*Calculateur!AS136*VLOOKUP('Données projet'!$B$10,Paramètres!$A$1:$I$89,3,0)*0.475*44/12</f>
        <v>21.530461103339075</v>
      </c>
      <c r="AW136" s="21">
        <f>EXP(-LN(2)/2)*AW135+(1-EXP(-LN(2)/2))/(LN(2)/2)*AQ136*AT136*VLOOKUP('Données projet'!$B$10,Paramètres!$A$1:$I$89,3,0)*0.475*44/12</f>
        <v>7.6874753463946881E-3</v>
      </c>
      <c r="AX136" s="21">
        <f t="shared" si="114"/>
        <v>103.11775900265661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7.3375000000000012</v>
      </c>
      <c r="BD136" s="12">
        <f>IF('Données projet'!$A$88&gt;35,BD135+BC136-BL135,IF(A136&lt;'Données projet'!$A$88,$BA$205^A136,IF(A136='Données projet'!$A$88,'Données projet'!$B$88,BD135+BC136-BL135)))</f>
        <v>299.20750000000004</v>
      </c>
      <c r="BE136" s="13">
        <f>BD136*VLOOKUP('Données projet'!$B$11,Paramètres!$A$1:$I$89,3,0)*VLOOKUP('Données projet'!$B$11,Paramètres!$A$1:$I$89,5,0)</f>
        <v>303.39640500000007</v>
      </c>
      <c r="BF136" s="13">
        <f t="shared" si="145"/>
        <v>71.888013236043776</v>
      </c>
      <c r="BG136" s="20">
        <f t="shared" si="115"/>
        <v>653.62036176110962</v>
      </c>
      <c r="BH136" s="59">
        <f t="shared" si="116"/>
        <v>938.01259344144296</v>
      </c>
      <c r="BI136" s="59">
        <f ca="1">AVERAGE(OFFSET($BH$3,0,0,'Données projet'!$E$11+1,1))-AVERAGE(OFFSET($H$3,0,0,'Données projet'!$E$11+1,1))</f>
        <v>580.02848304986492</v>
      </c>
      <c r="BJ136" s="59">
        <f t="shared" si="146"/>
        <v>281.68891895586728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28.594006177247326</v>
      </c>
      <c r="BQ136" s="21">
        <f>EXP(-LN(2)/25)*BQ135+(1-EXP(-LN(2)/25))/(LN(2)/25)*Calculateur!BL136*Calculateur!BN136*VLOOKUP('Données projet'!$B$11,Paramètres!$A$1:$I$89,3,0)*0.475*44/12</f>
        <v>23.382284941733861</v>
      </c>
      <c r="BR136" s="21">
        <f>EXP(-LN(2)/2)*BR135+(1-EXP(-LN(2)/2))/(LN(2)/2)*BL136*BO136*VLOOKUP('Données projet'!$B$11,Paramètres!$A$1:$I$89,3,0)*0.475*44/12</f>
        <v>3.3955774717085516</v>
      </c>
      <c r="BS136" s="22">
        <f t="shared" si="117"/>
        <v>55.371868590689736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>
        <f>BY136*VLOOKUP('Données projet'!$B$12,Paramètres!$A$1:$I$89,3,0)*VLOOKUP('Données projet'!$B$12,Paramètres!$A$1:$I$89,5,0)</f>
        <v>0</v>
      </c>
      <c r="CA136" s="13" t="e">
        <f t="shared" si="147"/>
        <v>#NUM!</v>
      </c>
      <c r="CB136" s="20" t="e">
        <f t="shared" si="118"/>
        <v>#NUM!</v>
      </c>
      <c r="CC136" s="59" t="e">
        <f t="shared" si="119"/>
        <v>#NUM!</v>
      </c>
      <c r="CD136" s="59">
        <f ca="1">AVERAGE(OFFSET($CC$3,0,0,'Données projet'!$E$12+1,1))-AVERAGE(OFFSET($H$3,0,0,'Données projet'!$E$12+1,1))</f>
        <v>439.15394290667945</v>
      </c>
      <c r="CE136" s="59">
        <f t="shared" si="148"/>
        <v>423.56554025351068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17.658773813139074</v>
      </c>
      <c r="CL136" s="21">
        <f>EXP(-LN(2)/25)*CL135+(1-EXP(-LN(2)/25))/(LN(2)/25)*Calculateur!CG136*Calculateur!CI136*VLOOKUP('Données projet'!$B$12,Paramètres!$A$1:$I$89,3,0)*0.475*44/12</f>
        <v>11.457424608890404</v>
      </c>
      <c r="CM136" s="21">
        <f>EXP(-LN(2)/2)*CM135+(1-EXP(-LN(2)/2))/(LN(2)/2)*CG136*CJ136*VLOOKUP('Données projet'!$B$12,Paramètres!$A$1:$I$89,3,0)*0.475*44/12</f>
        <v>7.8667931415567052E-7</v>
      </c>
      <c r="CN136" s="22">
        <f t="shared" si="120"/>
        <v>29.116199208708792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>
        <f>CT136*VLOOKUP('Données projet'!$B$13,Paramètres!$A$1:$I$89,3,0)*VLOOKUP('Données projet'!$B$13,Paramètres!$A$1:$I$89,5,0)</f>
        <v>0</v>
      </c>
      <c r="CV136" s="13" t="e">
        <f t="shared" si="149"/>
        <v>#NUM!</v>
      </c>
      <c r="CW136" s="20" t="e">
        <f t="shared" si="121"/>
        <v>#NUM!</v>
      </c>
      <c r="CX136" s="59" t="e">
        <f t="shared" si="122"/>
        <v>#NUM!</v>
      </c>
      <c r="CY136" s="59">
        <f ca="1">AVERAGE(OFFSET($CX$3,0,0,'Données projet'!$E$13+1,1))-AVERAGE(OFFSET($H$3,0,0,'Données projet'!$E$13+1,1))</f>
        <v>408.246209980743</v>
      </c>
      <c r="CZ136" s="59">
        <f t="shared" si="150"/>
        <v>394.10236303013903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>
        <f>EXP(-LN(2)/35)*DF135+(1-EXP(-LN(2)/35))/(LN(2)/35)*DB136*DC136*VLOOKUP('Données projet'!$B$13,Paramètres!$A$1:$I$89,3,0)*0.475*44/12</f>
        <v>19.981410856803986</v>
      </c>
      <c r="DG136" s="21">
        <f>EXP(-LN(2)/25)*DG135+(1-EXP(-LN(2)/25))/(LN(2)/25)*Calculateur!DB136*Calculateur!DD136*VLOOKUP('Données projet'!$B$13,Paramètres!$A$1:$I$89,3,0)*0.475*44/12</f>
        <v>12.964405733582442</v>
      </c>
      <c r="DH136" s="21">
        <f>EXP(-LN(2)/2)*DH135+(1-EXP(-LN(2)/2))/(LN(2)/2)*DB136*DE136*VLOOKUP('Données projet'!$B$13,Paramètres!$A$1:$I$89,3,0)*0.475*44/12</f>
        <v>7.2219740315930429E-7</v>
      </c>
      <c r="DI136" s="22">
        <f t="shared" si="123"/>
        <v>32.945817312583834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>
        <f>DO136*VLOOKUP('Données projet'!$B$14,Paramètres!$A$1:$I$89,3,0)*VLOOKUP('Données projet'!$B$14,Paramètres!$A$1:$I$89,5,0)</f>
        <v>0</v>
      </c>
      <c r="DQ136" s="13" t="e">
        <f t="shared" si="151"/>
        <v>#NUM!</v>
      </c>
      <c r="DR136" s="20" t="e">
        <f t="shared" si="124"/>
        <v>#NUM!</v>
      </c>
      <c r="DS136" s="59" t="e">
        <f t="shared" si="125"/>
        <v>#NUM!</v>
      </c>
      <c r="DT136" s="59">
        <f ca="1">AVERAGE(OFFSET($DS$3,0,0,'Données projet'!$E$14+1,1))-AVERAGE(OFFSET($H$3,0,0,'Données projet'!$E$14+1,1))</f>
        <v>371.07993287480366</v>
      </c>
      <c r="DU136" s="59">
        <f t="shared" si="152"/>
        <v>358.67120540290637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>
        <f>EXP(-LN(2)/35)*EA135+(1-EXP(-LN(2)/35))/(LN(2)/35)*DW136*DX136*VLOOKUP('Données projet'!$B$14,Paramètres!$A$1:$I$89,3,0)*0.475*44/12</f>
        <v>14.474404764868099</v>
      </c>
      <c r="EB136" s="21">
        <f>EXP(-LN(2)/25)*EB135+(1-EXP(-LN(2)/25))/(LN(2)/25)*Calculateur!DW136*Calculateur!DY136*VLOOKUP('Données projet'!$B$14,Paramètres!$A$1:$I$89,3,0)*0.475*44/12</f>
        <v>9.3913316466314765</v>
      </c>
      <c r="EC136" s="21">
        <f>EXP(-LN(2)/2)*EC135+(1-EXP(-LN(2)/2))/(LN(2)/2)*DW136*DZ136*VLOOKUP('Données projet'!$B$14,Paramètres!$A$1:$I$89,3,0)*0.475*44/12</f>
        <v>6.448191099636657E-7</v>
      </c>
      <c r="ED136" s="22">
        <f t="shared" si="126"/>
        <v>23.865737056318686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45">
      <c r="A137" s="10">
        <f t="shared" si="139"/>
        <v>134</v>
      </c>
      <c r="B137" s="73">
        <f>'Scénario référence'!$B$16*5+'Scénario référence'!$B$17*0+'Scénario référence'!$B$18*5</f>
        <v>5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1">
        <f t="shared" si="140"/>
        <v>0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18.333333333333332</v>
      </c>
      <c r="H137" s="67">
        <f t="shared" si="110"/>
        <v>183.33333333333334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>
        <f>VLOOKUP(A137,'Données projet'!$A$35:$I$55,2,0)</f>
        <v>484.28</v>
      </c>
      <c r="L137" s="12">
        <f>VLOOKUP(A137,'Données projet'!$A$35:$I$55,9,0)</f>
        <v>9.0229999999999961</v>
      </c>
      <c r="M137" s="12">
        <f t="array" ref="M137">INDEX(L:L,MIN(IF(ISNUMBER(L137:L333),ROW(L137:L333),"")))</f>
        <v>9.0229999999999961</v>
      </c>
      <c r="N137" s="13">
        <f>IF('Données projet'!$A$36&gt;35,N136+M137-V136,IF(A137&lt;'Données projet'!$A$36,$K$205^A137,IF(A137='Données projet'!$A$36,'Données projet'!$B$36,N136+M137-V136)))</f>
        <v>484.28000000000088</v>
      </c>
      <c r="O137" s="13">
        <f>N137*VLOOKUP('Données projet'!$B$9,Paramètres!$A$1:$I$89,3,0)*VLOOKUP('Données projet'!$B$9,Paramètres!$A$1:$I$89,5,0)</f>
        <v>438.17654400000077</v>
      </c>
      <c r="P137" s="13">
        <f t="shared" si="141"/>
        <v>99.474836110972063</v>
      </c>
      <c r="Q137" s="20">
        <f t="shared" si="108"/>
        <v>936.40948702661092</v>
      </c>
      <c r="R137" s="59">
        <f t="shared" si="109"/>
        <v>1220.9568268313151</v>
      </c>
      <c r="S137" s="59">
        <f ca="1">AVERAGE(OFFSET($R$3,0,0,'Données projet'!$E$9+1,1))-AVERAGE(OFFSET($H$3,0,0,'Données projet'!$E$9+1,1))</f>
        <v>681.47578137804555</v>
      </c>
      <c r="T137" s="59">
        <f t="shared" si="142"/>
        <v>300.88511065995885</v>
      </c>
      <c r="U137" s="15">
        <f>IF(ISNA(VLOOKUP(A137,'Données projet'!$A$35:$I$55,3,0)),0,VLOOKUP(A137,'Données projet'!$A$35:$I$55,3,0))</f>
        <v>11</v>
      </c>
      <c r="V137" s="15">
        <f>IF(ISNA(VLOOKUP(A137,'Données projet'!$A$35:$I$55,4,0)),0,VLOOKUP(A137,'Données projet'!$A$35:$I$55,4,0))</f>
        <v>60.779999999999973</v>
      </c>
      <c r="W137" s="16">
        <f>IF(ISNA(VLOOKUP(A137,'Données projet'!$A$35:$I$55,5,0)),0%,VLOOKUP(A137,'Données projet'!$A$35:$I$55,5,0)*VLOOKUP('Données projet'!$B$9,Paramètres!$A$1:$I$89,7,0))</f>
        <v>0.215</v>
      </c>
      <c r="X137" s="16">
        <f>IF(ISNA(VLOOKUP(A137,'Données projet'!$A$35:$I$55,6,0)),0%,VLOOKUP(A137,'Données projet'!$A$35:$I$55,6,0)*VLOOKUP('Données projet'!$B$9,Paramètres!$A$1:$I$89,7,0))</f>
        <v>8.6000000000000007E-2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44.746279842031008</v>
      </c>
      <c r="AA137" s="21">
        <f>EXP(-LN(2)/25)*AA136+(1-EXP(-LN(2)/25))/(LN(2)/25)*Calculateur!V137*Calculateur!X137*VLOOKUP('Données projet'!$B$9,Paramètres!$A$1:$I$89,3,0)*0.475*44/12</f>
        <v>23.768759616615345</v>
      </c>
      <c r="AB137" s="21">
        <f>EXP(-LN(2)/2)*AB136+(1-EXP(-LN(2)/2))/(LN(2)/2)*V137*Y137*VLOOKUP('Données projet'!$B$9,Paramètres!$A$1:$I$89,3,0)*0.475*44/12</f>
        <v>0.15956188554764478</v>
      </c>
      <c r="AC137" s="22">
        <f t="shared" si="111"/>
        <v>68.674601344194002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3.4106051316484809E-13</v>
      </c>
      <c r="AJ137" s="13">
        <f>AI137*VLOOKUP('Données projet'!$B$10,Paramètres!$A$1:$I$89,3,0)*VLOOKUP('Données projet'!$B$10,Paramètres!$A$1:$I$89,5,0)</f>
        <v>1.5961632016114892E-13</v>
      </c>
      <c r="AK137" s="13">
        <f t="shared" si="143"/>
        <v>2.2708641912150958E-12</v>
      </c>
      <c r="AL137" s="20">
        <f t="shared" si="112"/>
        <v>4.2330868906469593E-12</v>
      </c>
      <c r="AM137" s="59">
        <f t="shared" si="113"/>
        <v>284.54733980470849</v>
      </c>
      <c r="AN137" s="59">
        <f ca="1">AVERAGE(OFFSET($AM$3,0,0,'Données projet'!$E$10+1,1))-AVERAGE(OFFSET($H$3,0,0,'Données projet'!$E$10+1,1))</f>
        <v>325.45940224919184</v>
      </c>
      <c r="AO137" s="59">
        <f t="shared" si="144"/>
        <v>256.30046621034876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79.979884022206164</v>
      </c>
      <c r="AV137" s="21">
        <f>EXP(-LN(2)/25)*AV136+(1-EXP(-LN(2)/25))/(LN(2)/25)*Calculateur!AQ137*Calculateur!AS137*VLOOKUP('Données projet'!$B$10,Paramètres!$A$1:$I$89,3,0)*0.475*44/12</f>
        <v>20.941709512230528</v>
      </c>
      <c r="AW137" s="21">
        <f>EXP(-LN(2)/2)*AW136+(1-EXP(-LN(2)/2))/(LN(2)/2)*AQ137*AT137*VLOOKUP('Données projet'!$B$10,Paramètres!$A$1:$I$89,3,0)*0.475*44/12</f>
        <v>5.4358659476400877E-3</v>
      </c>
      <c r="AX137" s="21">
        <f t="shared" si="114"/>
        <v>100.92702940038434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7.3375000000000012</v>
      </c>
      <c r="BD137" s="12">
        <f>IF('Données projet'!$A$88&gt;35,BD136+BC137-BL136,IF(A137&lt;'Données projet'!$A$88,$BA$205^A137,IF(A137='Données projet'!$A$88,'Données projet'!$B$88,BD136+BC137-BL136)))</f>
        <v>306.54500000000002</v>
      </c>
      <c r="BE137" s="13">
        <f>BD137*VLOOKUP('Données projet'!$B$11,Paramètres!$A$1:$I$89,3,0)*VLOOKUP('Données projet'!$B$11,Paramètres!$A$1:$I$89,5,0)</f>
        <v>310.83663000000001</v>
      </c>
      <c r="BF137" s="13">
        <f t="shared" si="145"/>
        <v>73.443524398472576</v>
      </c>
      <c r="BG137" s="20">
        <f t="shared" si="115"/>
        <v>669.28793557733968</v>
      </c>
      <c r="BH137" s="59">
        <f t="shared" si="116"/>
        <v>953.83527538204396</v>
      </c>
      <c r="BI137" s="59">
        <f ca="1">AVERAGE(OFFSET($BH$3,0,0,'Données projet'!$E$11+1,1))-AVERAGE(OFFSET($H$3,0,0,'Données projet'!$E$11+1,1))</f>
        <v>580.02848304986492</v>
      </c>
      <c r="BJ137" s="59">
        <f t="shared" si="146"/>
        <v>281.68891895586728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28.033295156733157</v>
      </c>
      <c r="BQ137" s="21">
        <f>EXP(-LN(2)/25)*BQ136+(1-EXP(-LN(2)/25))/(LN(2)/25)*Calculateur!BL137*Calculateur!BN137*VLOOKUP('Données projet'!$B$11,Paramètres!$A$1:$I$89,3,0)*0.475*44/12</f>
        <v>22.742895130381225</v>
      </c>
      <c r="BR137" s="21">
        <f>EXP(-LN(2)/2)*BR136+(1-EXP(-LN(2)/2))/(LN(2)/2)*BL137*BO137*VLOOKUP('Données projet'!$B$11,Paramètres!$A$1:$I$89,3,0)*0.475*44/12</f>
        <v>2.4010358562893894</v>
      </c>
      <c r="BS137" s="22">
        <f t="shared" si="117"/>
        <v>53.177226143403772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>
        <f>BY137*VLOOKUP('Données projet'!$B$12,Paramètres!$A$1:$I$89,3,0)*VLOOKUP('Données projet'!$B$12,Paramètres!$A$1:$I$89,5,0)</f>
        <v>0</v>
      </c>
      <c r="CA137" s="13" t="e">
        <f t="shared" si="147"/>
        <v>#NUM!</v>
      </c>
      <c r="CB137" s="20" t="e">
        <f t="shared" si="118"/>
        <v>#NUM!</v>
      </c>
      <c r="CC137" s="59" t="e">
        <f t="shared" si="119"/>
        <v>#NUM!</v>
      </c>
      <c r="CD137" s="59">
        <f ca="1">AVERAGE(OFFSET($CC$3,0,0,'Données projet'!$E$12+1,1))-AVERAGE(OFFSET($H$3,0,0,'Données projet'!$E$12+1,1))</f>
        <v>439.15394290667945</v>
      </c>
      <c r="CE137" s="59">
        <f t="shared" si="148"/>
        <v>423.56554025351068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17.312496029451918</v>
      </c>
      <c r="CL137" s="21">
        <f>EXP(-LN(2)/25)*CL136+(1-EXP(-LN(2)/25))/(LN(2)/25)*Calculateur!CG137*Calculateur!CI137*VLOOKUP('Données projet'!$B$12,Paramètres!$A$1:$I$89,3,0)*0.475*44/12</f>
        <v>11.144120730440523</v>
      </c>
      <c r="CM137" s="21">
        <f>EXP(-LN(2)/2)*CM136+(1-EXP(-LN(2)/2))/(LN(2)/2)*CG137*CJ137*VLOOKUP('Données projet'!$B$12,Paramètres!$A$1:$I$89,3,0)*0.475*44/12</f>
        <v>5.5626627765865699E-7</v>
      </c>
      <c r="CN137" s="22">
        <f t="shared" si="120"/>
        <v>28.45661731615872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>
        <f>CT137*VLOOKUP('Données projet'!$B$13,Paramètres!$A$1:$I$89,3,0)*VLOOKUP('Données projet'!$B$13,Paramètres!$A$1:$I$89,5,0)</f>
        <v>0</v>
      </c>
      <c r="CV137" s="13" t="e">
        <f t="shared" si="149"/>
        <v>#NUM!</v>
      </c>
      <c r="CW137" s="20" t="e">
        <f t="shared" si="121"/>
        <v>#NUM!</v>
      </c>
      <c r="CX137" s="59" t="e">
        <f t="shared" si="122"/>
        <v>#NUM!</v>
      </c>
      <c r="CY137" s="59">
        <f ca="1">AVERAGE(OFFSET($CX$3,0,0,'Données projet'!$E$13+1,1))-AVERAGE(OFFSET($H$3,0,0,'Données projet'!$E$13+1,1))</f>
        <v>408.246209980743</v>
      </c>
      <c r="CZ137" s="59">
        <f t="shared" si="150"/>
        <v>394.10236303013903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>
        <f>EXP(-LN(2)/35)*DF136+(1-EXP(-LN(2)/35))/(LN(2)/35)*DB137*DC137*VLOOKUP('Données projet'!$B$13,Paramètres!$A$1:$I$89,3,0)*0.475*44/12</f>
        <v>19.589587577359271</v>
      </c>
      <c r="DG137" s="21">
        <f>EXP(-LN(2)/25)*DG136+(1-EXP(-LN(2)/25))/(LN(2)/25)*Calculateur!DB137*Calculateur!DD137*VLOOKUP('Données projet'!$B$13,Paramètres!$A$1:$I$89,3,0)*0.475*44/12</f>
        <v>12.609893377029163</v>
      </c>
      <c r="DH137" s="21">
        <f>EXP(-LN(2)/2)*DH136+(1-EXP(-LN(2)/2))/(LN(2)/2)*DB137*DE137*VLOOKUP('Données projet'!$B$13,Paramètres!$A$1:$I$89,3,0)*0.475*44/12</f>
        <v>5.1067068112925902E-7</v>
      </c>
      <c r="DI137" s="22">
        <f t="shared" si="123"/>
        <v>32.199481465059115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>
        <f>DO137*VLOOKUP('Données projet'!$B$14,Paramètres!$A$1:$I$89,3,0)*VLOOKUP('Données projet'!$B$14,Paramètres!$A$1:$I$89,5,0)</f>
        <v>0</v>
      </c>
      <c r="DQ137" s="13" t="e">
        <f t="shared" si="151"/>
        <v>#NUM!</v>
      </c>
      <c r="DR137" s="20" t="e">
        <f t="shared" si="124"/>
        <v>#NUM!</v>
      </c>
      <c r="DS137" s="59" t="e">
        <f t="shared" si="125"/>
        <v>#NUM!</v>
      </c>
      <c r="DT137" s="59">
        <f ca="1">AVERAGE(OFFSET($DS$3,0,0,'Données projet'!$E$14+1,1))-AVERAGE(OFFSET($H$3,0,0,'Données projet'!$E$14+1,1))</f>
        <v>371.07993287480366</v>
      </c>
      <c r="DU137" s="59">
        <f t="shared" si="152"/>
        <v>358.67120540290637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>
        <f>EXP(-LN(2)/35)*EA136+(1-EXP(-LN(2)/35))/(LN(2)/35)*DW137*DX137*VLOOKUP('Données projet'!$B$14,Paramètres!$A$1:$I$89,3,0)*0.475*44/12</f>
        <v>14.190570515944199</v>
      </c>
      <c r="EB137" s="21">
        <f>EXP(-LN(2)/25)*EB136+(1-EXP(-LN(2)/25))/(LN(2)/25)*Calculateur!DW137*Calculateur!DY137*VLOOKUP('Données projet'!$B$14,Paramètres!$A$1:$I$89,3,0)*0.475*44/12</f>
        <v>9.1345251888856716</v>
      </c>
      <c r="EC137" s="21">
        <f>EXP(-LN(2)/2)*EC136+(1-EXP(-LN(2)/2))/(LN(2)/2)*DW137*DZ137*VLOOKUP('Données projet'!$B$14,Paramètres!$A$1:$I$89,3,0)*0.475*44/12</f>
        <v>4.559559652939821E-7</v>
      </c>
      <c r="ED137" s="22">
        <f t="shared" si="126"/>
        <v>23.325096160785836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45">
      <c r="A138" s="10">
        <f t="shared" si="139"/>
        <v>135</v>
      </c>
      <c r="B138" s="73">
        <f>'Scénario référence'!$B$16*5+'Scénario référence'!$B$17*0+'Scénario référence'!$B$18*5</f>
        <v>5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1">
        <f t="shared" si="140"/>
        <v>0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18.333333333333332</v>
      </c>
      <c r="H138" s="67">
        <f t="shared" si="110"/>
        <v>183.33333333333334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9.1440000000000055</v>
      </c>
      <c r="N138" s="13">
        <f>IF('Données projet'!$A$36&gt;35,N137+M138-V137,IF(A138&lt;'Données projet'!$A$36,$K$205^A138,IF(A138='Données projet'!$A$36,'Données projet'!$B$36,N137+M138-V137)))</f>
        <v>432.64400000000091</v>
      </c>
      <c r="O138" s="13">
        <f>N138*VLOOKUP('Données projet'!$B$9,Paramètres!$A$1:$I$89,3,0)*VLOOKUP('Données projet'!$B$9,Paramètres!$A$1:$I$89,5,0)</f>
        <v>391.45629120000086</v>
      </c>
      <c r="P138" s="13">
        <f t="shared" si="141"/>
        <v>90.042388870129827</v>
      </c>
      <c r="Q138" s="20">
        <f t="shared" si="108"/>
        <v>838.6102011221443</v>
      </c>
      <c r="R138" s="59">
        <f t="shared" si="109"/>
        <v>1123.3099582720315</v>
      </c>
      <c r="S138" s="59">
        <f ca="1">AVERAGE(OFFSET($R$3,0,0,'Données projet'!$E$9+1,1))-AVERAGE(OFFSET($H$3,0,0,'Données projet'!$E$9+1,1))</f>
        <v>681.47578137804555</v>
      </c>
      <c r="T138" s="59">
        <f t="shared" si="142"/>
        <v>300.88511065995885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43.868832586864571</v>
      </c>
      <c r="AA138" s="21">
        <f>EXP(-LN(2)/25)*AA137+(1-EXP(-LN(2)/25))/(LN(2)/25)*Calculateur!V138*Calculateur!X138*VLOOKUP('Données projet'!$B$9,Paramètres!$A$1:$I$89,3,0)*0.475*44/12</f>
        <v>23.118801634954256</v>
      </c>
      <c r="AB138" s="21">
        <f>EXP(-LN(2)/2)*AB137+(1-EXP(-LN(2)/2))/(LN(2)/2)*V138*Y138*VLOOKUP('Données projet'!$B$9,Paramètres!$A$1:$I$89,3,0)*0.475*44/12</f>
        <v>0.1128272912896514</v>
      </c>
      <c r="AC138" s="22">
        <f t="shared" si="111"/>
        <v>67.100461513108471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3.4106051316484809E-13</v>
      </c>
      <c r="AJ138" s="13">
        <f>AI138*VLOOKUP('Données projet'!$B$10,Paramètres!$A$1:$I$89,3,0)*VLOOKUP('Données projet'!$B$10,Paramètres!$A$1:$I$89,5,0)</f>
        <v>1.5961632016114892E-13</v>
      </c>
      <c r="AK138" s="13">
        <f t="shared" si="143"/>
        <v>2.2708641912150958E-12</v>
      </c>
      <c r="AL138" s="20">
        <f t="shared" si="112"/>
        <v>4.2330868906469593E-12</v>
      </c>
      <c r="AM138" s="59">
        <f t="shared" si="113"/>
        <v>284.69975714989135</v>
      </c>
      <c r="AN138" s="59">
        <f ca="1">AVERAGE(OFFSET($AM$3,0,0,'Données projet'!$E$10+1,1))-AVERAGE(OFFSET($H$3,0,0,'Données projet'!$E$10+1,1))</f>
        <v>325.45940224919184</v>
      </c>
      <c r="AO138" s="59">
        <f t="shared" si="144"/>
        <v>256.30046621034876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78.411527279443035</v>
      </c>
      <c r="AV138" s="21">
        <f>EXP(-LN(2)/25)*AV137+(1-EXP(-LN(2)/25))/(LN(2)/25)*Calculateur!AQ138*Calculateur!AS138*VLOOKUP('Données projet'!$B$10,Paramètres!$A$1:$I$89,3,0)*0.475*44/12</f>
        <v>20.369057364341945</v>
      </c>
      <c r="AW138" s="21">
        <f>EXP(-LN(2)/2)*AW137+(1-EXP(-LN(2)/2))/(LN(2)/2)*AQ138*AT138*VLOOKUP('Données projet'!$B$10,Paramètres!$A$1:$I$89,3,0)*0.475*44/12</f>
        <v>3.8437376731973445E-3</v>
      </c>
      <c r="AX138" s="21">
        <f t="shared" si="114"/>
        <v>98.78442838145817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7.3375000000000012</v>
      </c>
      <c r="BD138" s="12">
        <f>IF('Données projet'!$A$88&gt;35,BD137+BC138-BL137,IF(A138&lt;'Données projet'!$A$88,$BA$205^A138,IF(A138='Données projet'!$A$88,'Données projet'!$B$88,BD137+BC138-BL137)))</f>
        <v>313.88249999999999</v>
      </c>
      <c r="BE138" s="13">
        <f>BD138*VLOOKUP('Données projet'!$B$11,Paramètres!$A$1:$I$89,3,0)*VLOOKUP('Données projet'!$B$11,Paramètres!$A$1:$I$89,5,0)</f>
        <v>318.27685500000001</v>
      </c>
      <c r="BF138" s="13">
        <f t="shared" si="145"/>
        <v>74.994707244966222</v>
      </c>
      <c r="BG138" s="20">
        <f t="shared" si="115"/>
        <v>684.94797090998281</v>
      </c>
      <c r="BH138" s="59">
        <f t="shared" si="116"/>
        <v>969.64772805986991</v>
      </c>
      <c r="BI138" s="59">
        <f ca="1">AVERAGE(OFFSET($BH$3,0,0,'Données projet'!$E$11+1,1))-AVERAGE(OFFSET($H$3,0,0,'Données projet'!$E$11+1,1))</f>
        <v>580.02848304986492</v>
      </c>
      <c r="BJ138" s="59">
        <f t="shared" si="146"/>
        <v>281.68891895586728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27.483579337331317</v>
      </c>
      <c r="BQ138" s="21">
        <f>EXP(-LN(2)/25)*BQ137+(1-EXP(-LN(2)/25))/(LN(2)/25)*Calculateur!BL138*Calculateur!BN138*VLOOKUP('Données projet'!$B$11,Paramètres!$A$1:$I$89,3,0)*0.475*44/12</f>
        <v>22.120989467044076</v>
      </c>
      <c r="BR138" s="21">
        <f>EXP(-LN(2)/2)*BR137+(1-EXP(-LN(2)/2))/(LN(2)/2)*BL138*BO138*VLOOKUP('Données projet'!$B$11,Paramètres!$A$1:$I$89,3,0)*0.475*44/12</f>
        <v>1.6977887358542763</v>
      </c>
      <c r="BS138" s="22">
        <f t="shared" si="117"/>
        <v>51.302357540229664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>
        <f>BY138*VLOOKUP('Données projet'!$B$12,Paramètres!$A$1:$I$89,3,0)*VLOOKUP('Données projet'!$B$12,Paramètres!$A$1:$I$89,5,0)</f>
        <v>0</v>
      </c>
      <c r="CA138" s="13" t="e">
        <f t="shared" si="147"/>
        <v>#NUM!</v>
      </c>
      <c r="CB138" s="20" t="e">
        <f t="shared" si="118"/>
        <v>#NUM!</v>
      </c>
      <c r="CC138" s="59" t="e">
        <f t="shared" si="119"/>
        <v>#NUM!</v>
      </c>
      <c r="CD138" s="59">
        <f ca="1">AVERAGE(OFFSET($CC$3,0,0,'Données projet'!$E$12+1,1))-AVERAGE(OFFSET($H$3,0,0,'Données projet'!$E$12+1,1))</f>
        <v>439.15394290667945</v>
      </c>
      <c r="CE138" s="59">
        <f t="shared" si="148"/>
        <v>423.56554025351068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16.97300854189427</v>
      </c>
      <c r="CL138" s="21">
        <f>EXP(-LN(2)/25)*CL137+(1-EXP(-LN(2)/25))/(LN(2)/25)*Calculateur!CG138*Calculateur!CI138*VLOOKUP('Données projet'!$B$12,Paramètres!$A$1:$I$89,3,0)*0.475*44/12</f>
        <v>10.839384163022789</v>
      </c>
      <c r="CM138" s="21">
        <f>EXP(-LN(2)/2)*CM137+(1-EXP(-LN(2)/2))/(LN(2)/2)*CG138*CJ138*VLOOKUP('Données projet'!$B$12,Paramètres!$A$1:$I$89,3,0)*0.475*44/12</f>
        <v>3.9333965707783526E-7</v>
      </c>
      <c r="CN138" s="22">
        <f t="shared" si="120"/>
        <v>27.812393098256717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>
        <f>CT138*VLOOKUP('Données projet'!$B$13,Paramètres!$A$1:$I$89,3,0)*VLOOKUP('Données projet'!$B$13,Paramètres!$A$1:$I$89,5,0)</f>
        <v>0</v>
      </c>
      <c r="CV138" s="13" t="e">
        <f t="shared" si="149"/>
        <v>#NUM!</v>
      </c>
      <c r="CW138" s="20" t="e">
        <f t="shared" si="121"/>
        <v>#NUM!</v>
      </c>
      <c r="CX138" s="59" t="e">
        <f t="shared" si="122"/>
        <v>#NUM!</v>
      </c>
      <c r="CY138" s="59">
        <f ca="1">AVERAGE(OFFSET($CX$3,0,0,'Données projet'!$E$13+1,1))-AVERAGE(OFFSET($H$3,0,0,'Données projet'!$E$13+1,1))</f>
        <v>408.246209980743</v>
      </c>
      <c r="CZ138" s="59">
        <f t="shared" si="150"/>
        <v>394.10236303013903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>
        <f>EXP(-LN(2)/35)*DF137+(1-EXP(-LN(2)/35))/(LN(2)/35)*DB138*DC138*VLOOKUP('Données projet'!$B$13,Paramètres!$A$1:$I$89,3,0)*0.475*44/12</f>
        <v>19.205447713435866</v>
      </c>
      <c r="DG138" s="21">
        <f>EXP(-LN(2)/25)*DG137+(1-EXP(-LN(2)/25))/(LN(2)/25)*Calculateur!DB138*Calculateur!DD138*VLOOKUP('Données projet'!$B$13,Paramètres!$A$1:$I$89,3,0)*0.475*44/12</f>
        <v>12.265075179508829</v>
      </c>
      <c r="DH138" s="21">
        <f>EXP(-LN(2)/2)*DH137+(1-EXP(-LN(2)/2))/(LN(2)/2)*DB138*DE138*VLOOKUP('Données projet'!$B$13,Paramètres!$A$1:$I$89,3,0)*0.475*44/12</f>
        <v>3.6109870157965214E-7</v>
      </c>
      <c r="DI138" s="22">
        <f t="shared" si="123"/>
        <v>31.470523254043396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>
        <f>DO138*VLOOKUP('Données projet'!$B$14,Paramètres!$A$1:$I$89,3,0)*VLOOKUP('Données projet'!$B$14,Paramètres!$A$1:$I$89,5,0)</f>
        <v>0</v>
      </c>
      <c r="DQ138" s="13" t="e">
        <f t="shared" si="151"/>
        <v>#NUM!</v>
      </c>
      <c r="DR138" s="20" t="e">
        <f t="shared" si="124"/>
        <v>#NUM!</v>
      </c>
      <c r="DS138" s="59" t="e">
        <f t="shared" si="125"/>
        <v>#NUM!</v>
      </c>
      <c r="DT138" s="59">
        <f ca="1">AVERAGE(OFFSET($DS$3,0,0,'Données projet'!$E$14+1,1))-AVERAGE(OFFSET($H$3,0,0,'Données projet'!$E$14+1,1))</f>
        <v>371.07993287480366</v>
      </c>
      <c r="DU138" s="59">
        <f t="shared" si="152"/>
        <v>358.67120540290637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>
        <f>EXP(-LN(2)/35)*EA137+(1-EXP(-LN(2)/35))/(LN(2)/35)*DW138*DX138*VLOOKUP('Données projet'!$B$14,Paramètres!$A$1:$I$89,3,0)*0.475*44/12</f>
        <v>13.912302083519899</v>
      </c>
      <c r="EB138" s="21">
        <f>EXP(-LN(2)/25)*EB137+(1-EXP(-LN(2)/25))/(LN(2)/25)*Calculateur!DW138*Calculateur!DY138*VLOOKUP('Données projet'!$B$14,Paramètres!$A$1:$I$89,3,0)*0.475*44/12</f>
        <v>8.8847411172317905</v>
      </c>
      <c r="EC138" s="21">
        <f>EXP(-LN(2)/2)*EC137+(1-EXP(-LN(2)/2))/(LN(2)/2)*DW138*DZ138*VLOOKUP('Données projet'!$B$14,Paramètres!$A$1:$I$89,3,0)*0.475*44/12</f>
        <v>3.2240955498183285E-7</v>
      </c>
      <c r="ED138" s="22">
        <f t="shared" si="126"/>
        <v>22.797043523161243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45">
      <c r="A139" s="10">
        <f t="shared" si="139"/>
        <v>136</v>
      </c>
      <c r="B139" s="73">
        <f>'Scénario référence'!$B$16*5+'Scénario référence'!$B$17*0+'Scénario référence'!$B$18*5</f>
        <v>5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1">
        <f t="shared" si="140"/>
        <v>0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18.333333333333332</v>
      </c>
      <c r="H139" s="67">
        <f t="shared" si="110"/>
        <v>183.33333333333334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9.1440000000000055</v>
      </c>
      <c r="N139" s="13">
        <f>IF('Données projet'!$A$36&gt;35,N138+M139-V138,IF(A139&lt;'Données projet'!$A$36,$K$205^A139,IF(A139='Données projet'!$A$36,'Données projet'!$B$36,N138+M139-V138)))</f>
        <v>441.78800000000092</v>
      </c>
      <c r="O139" s="13">
        <f>N139*VLOOKUP('Données projet'!$B$9,Paramètres!$A$1:$I$89,3,0)*VLOOKUP('Données projet'!$B$9,Paramètres!$A$1:$I$89,5,0)</f>
        <v>399.72978240000077</v>
      </c>
      <c r="P139" s="13">
        <f t="shared" si="141"/>
        <v>91.721880595341759</v>
      </c>
      <c r="Q139" s="20">
        <f t="shared" si="108"/>
        <v>855.94497971688827</v>
      </c>
      <c r="R139" s="59">
        <f t="shared" si="109"/>
        <v>1140.7945101117734</v>
      </c>
      <c r="S139" s="59">
        <f ca="1">AVERAGE(OFFSET($R$3,0,0,'Données projet'!$E$9+1,1))-AVERAGE(OFFSET($H$3,0,0,'Données projet'!$E$9+1,1))</f>
        <v>681.47578137804555</v>
      </c>
      <c r="T139" s="59">
        <f t="shared" si="142"/>
        <v>300.88511065995885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43.008591537181964</v>
      </c>
      <c r="AA139" s="21">
        <f>EXP(-LN(2)/25)*AA138+(1-EXP(-LN(2)/25))/(LN(2)/25)*Calculateur!V139*Calculateur!X139*VLOOKUP('Données projet'!$B$9,Paramètres!$A$1:$I$89,3,0)*0.475*44/12</f>
        <v>22.486616788481491</v>
      </c>
      <c r="AB139" s="21">
        <f>EXP(-LN(2)/2)*AB138+(1-EXP(-LN(2)/2))/(LN(2)/2)*V139*Y139*VLOOKUP('Données projet'!$B$9,Paramètres!$A$1:$I$89,3,0)*0.475*44/12</f>
        <v>7.9780942773822389E-2</v>
      </c>
      <c r="AC139" s="22">
        <f t="shared" si="111"/>
        <v>65.574989268437278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3.4106051316484809E-13</v>
      </c>
      <c r="AJ139" s="13">
        <f>AI139*VLOOKUP('Données projet'!$B$10,Paramètres!$A$1:$I$89,3,0)*VLOOKUP('Données projet'!$B$10,Paramètres!$A$1:$I$89,5,0)</f>
        <v>1.5961632016114892E-13</v>
      </c>
      <c r="AK139" s="13">
        <f t="shared" si="143"/>
        <v>2.2708641912150958E-12</v>
      </c>
      <c r="AL139" s="20">
        <f t="shared" si="112"/>
        <v>4.2330868906469593E-12</v>
      </c>
      <c r="AM139" s="59">
        <f t="shared" si="113"/>
        <v>284.84953039488943</v>
      </c>
      <c r="AN139" s="59">
        <f ca="1">AVERAGE(OFFSET($AM$3,0,0,'Données projet'!$E$10+1,1))-AVERAGE(OFFSET($H$3,0,0,'Données projet'!$E$10+1,1))</f>
        <v>325.45940224919184</v>
      </c>
      <c r="AO139" s="59">
        <f t="shared" si="144"/>
        <v>256.30046621034876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76.873925055802346</v>
      </c>
      <c r="AV139" s="21">
        <f>EXP(-LN(2)/25)*AV138+(1-EXP(-LN(2)/25))/(LN(2)/25)*Calculateur!AQ139*Calculateur!AS139*VLOOKUP('Données projet'!$B$10,Paramètres!$A$1:$I$89,3,0)*0.475*44/12</f>
        <v>19.812064419551842</v>
      </c>
      <c r="AW139" s="21">
        <f>EXP(-LN(2)/2)*AW138+(1-EXP(-LN(2)/2))/(LN(2)/2)*AQ139*AT139*VLOOKUP('Données projet'!$B$10,Paramètres!$A$1:$I$89,3,0)*0.475*44/12</f>
        <v>2.7179329738200443E-3</v>
      </c>
      <c r="AX139" s="21">
        <f t="shared" si="114"/>
        <v>96.688707408328014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7.3375000000000012</v>
      </c>
      <c r="BD139" s="12">
        <f>IF('Données projet'!$A$88&gt;35,BD138+BC139-BL138,IF(A139&lt;'Données projet'!$A$88,$BA$205^A139,IF(A139='Données projet'!$A$88,'Données projet'!$B$88,BD138+BC139-BL138)))</f>
        <v>321.21999999999997</v>
      </c>
      <c r="BE139" s="13">
        <f>BD139*VLOOKUP('Données projet'!$B$11,Paramètres!$A$1:$I$89,3,0)*VLOOKUP('Données projet'!$B$11,Paramètres!$A$1:$I$89,5,0)</f>
        <v>325.71707999999995</v>
      </c>
      <c r="BF139" s="13">
        <f t="shared" si="145"/>
        <v>76.54167460148193</v>
      </c>
      <c r="BG139" s="20">
        <f t="shared" si="115"/>
        <v>700.60066426424748</v>
      </c>
      <c r="BH139" s="59">
        <f t="shared" si="116"/>
        <v>985.45019465913265</v>
      </c>
      <c r="BI139" s="59">
        <f ca="1">AVERAGE(OFFSET($BH$3,0,0,'Données projet'!$E$11+1,1))-AVERAGE(OFFSET($H$3,0,0,'Données projet'!$E$11+1,1))</f>
        <v>580.02848304986492</v>
      </c>
      <c r="BJ139" s="59">
        <f t="shared" si="146"/>
        <v>281.68891895586728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26.944643109854404</v>
      </c>
      <c r="BQ139" s="21">
        <f>EXP(-LN(2)/25)*BQ138+(1-EXP(-LN(2)/25))/(LN(2)/25)*Calculateur!BL139*Calculateur!BN139*VLOOKUP('Données projet'!$B$11,Paramètres!$A$1:$I$89,3,0)*0.475*44/12</f>
        <v>21.516089846775479</v>
      </c>
      <c r="BR139" s="21">
        <f>EXP(-LN(2)/2)*BR138+(1-EXP(-LN(2)/2))/(LN(2)/2)*BL139*BO139*VLOOKUP('Données projet'!$B$11,Paramètres!$A$1:$I$89,3,0)*0.475*44/12</f>
        <v>1.2005179281446949</v>
      </c>
      <c r="BS139" s="22">
        <f t="shared" si="117"/>
        <v>49.661250884774574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>
        <f>BY139*VLOOKUP('Données projet'!$B$12,Paramètres!$A$1:$I$89,3,0)*VLOOKUP('Données projet'!$B$12,Paramètres!$A$1:$I$89,5,0)</f>
        <v>0</v>
      </c>
      <c r="CA139" s="13" t="e">
        <f t="shared" si="147"/>
        <v>#NUM!</v>
      </c>
      <c r="CB139" s="20" t="e">
        <f t="shared" si="118"/>
        <v>#NUM!</v>
      </c>
      <c r="CC139" s="59" t="e">
        <f t="shared" si="119"/>
        <v>#NUM!</v>
      </c>
      <c r="CD139" s="59">
        <f ca="1">AVERAGE(OFFSET($CC$3,0,0,'Données projet'!$E$12+1,1))-AVERAGE(OFFSET($H$3,0,0,'Données projet'!$E$12+1,1))</f>
        <v>439.15394290667945</v>
      </c>
      <c r="CE139" s="59">
        <f t="shared" si="148"/>
        <v>423.56554025351068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16.64017819690071</v>
      </c>
      <c r="CL139" s="21">
        <f>EXP(-LN(2)/25)*CL138+(1-EXP(-LN(2)/25))/(LN(2)/25)*Calculateur!CG139*Calculateur!CI139*VLOOKUP('Données projet'!$B$12,Paramètres!$A$1:$I$89,3,0)*0.475*44/12</f>
        <v>10.542980633066492</v>
      </c>
      <c r="CM139" s="21">
        <f>EXP(-LN(2)/2)*CM138+(1-EXP(-LN(2)/2))/(LN(2)/2)*CG139*CJ139*VLOOKUP('Données projet'!$B$12,Paramètres!$A$1:$I$89,3,0)*0.475*44/12</f>
        <v>2.7813313882932849E-7</v>
      </c>
      <c r="CN139" s="22">
        <f t="shared" si="120"/>
        <v>27.183159108100341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>
        <f>CT139*VLOOKUP('Données projet'!$B$13,Paramètres!$A$1:$I$89,3,0)*VLOOKUP('Données projet'!$B$13,Paramètres!$A$1:$I$89,5,0)</f>
        <v>0</v>
      </c>
      <c r="CV139" s="13" t="e">
        <f t="shared" si="149"/>
        <v>#NUM!</v>
      </c>
      <c r="CW139" s="20" t="e">
        <f t="shared" si="121"/>
        <v>#NUM!</v>
      </c>
      <c r="CX139" s="59" t="e">
        <f t="shared" si="122"/>
        <v>#NUM!</v>
      </c>
      <c r="CY139" s="59">
        <f ca="1">AVERAGE(OFFSET($CX$3,0,0,'Données projet'!$E$13+1,1))-AVERAGE(OFFSET($H$3,0,0,'Données projet'!$E$13+1,1))</f>
        <v>408.246209980743</v>
      </c>
      <c r="CZ139" s="59">
        <f t="shared" si="150"/>
        <v>394.10236303013903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>
        <f>EXP(-LN(2)/35)*DF138+(1-EXP(-LN(2)/35))/(LN(2)/35)*DB139*DC139*VLOOKUP('Données projet'!$B$13,Paramètres!$A$1:$I$89,3,0)*0.475*44/12</f>
        <v>18.828840597941817</v>
      </c>
      <c r="DG139" s="21">
        <f>EXP(-LN(2)/25)*DG138+(1-EXP(-LN(2)/25))/(LN(2)/25)*Calculateur!DB139*Calculateur!DD139*VLOOKUP('Données projet'!$B$13,Paramètres!$A$1:$I$89,3,0)*0.475*44/12</f>
        <v>11.929686053732889</v>
      </c>
      <c r="DH139" s="21">
        <f>EXP(-LN(2)/2)*DH138+(1-EXP(-LN(2)/2))/(LN(2)/2)*DB139*DE139*VLOOKUP('Données projet'!$B$13,Paramètres!$A$1:$I$89,3,0)*0.475*44/12</f>
        <v>2.5533534056462951E-7</v>
      </c>
      <c r="DI139" s="22">
        <f t="shared" si="123"/>
        <v>30.758526907010047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>
        <f>DO139*VLOOKUP('Données projet'!$B$14,Paramètres!$A$1:$I$89,3,0)*VLOOKUP('Données projet'!$B$14,Paramètres!$A$1:$I$89,5,0)</f>
        <v>0</v>
      </c>
      <c r="DQ139" s="13" t="e">
        <f t="shared" si="151"/>
        <v>#NUM!</v>
      </c>
      <c r="DR139" s="20" t="e">
        <f t="shared" si="124"/>
        <v>#NUM!</v>
      </c>
      <c r="DS139" s="59" t="e">
        <f t="shared" si="125"/>
        <v>#NUM!</v>
      </c>
      <c r="DT139" s="59">
        <f ca="1">AVERAGE(OFFSET($DS$3,0,0,'Données projet'!$E$14+1,1))-AVERAGE(OFFSET($H$3,0,0,'Données projet'!$E$14+1,1))</f>
        <v>371.07993287480366</v>
      </c>
      <c r="DU139" s="59">
        <f t="shared" si="152"/>
        <v>358.67120540290637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>
        <f>EXP(-LN(2)/35)*EA138+(1-EXP(-LN(2)/35))/(LN(2)/35)*DW139*DX139*VLOOKUP('Données projet'!$B$14,Paramètres!$A$1:$I$89,3,0)*0.475*44/12</f>
        <v>13.639490325328454</v>
      </c>
      <c r="EB139" s="21">
        <f>EXP(-LN(2)/25)*EB138+(1-EXP(-LN(2)/25))/(LN(2)/25)*Calculateur!DW139*Calculateur!DY139*VLOOKUP('Données projet'!$B$14,Paramètres!$A$1:$I$89,3,0)*0.475*44/12</f>
        <v>8.6417874041528577</v>
      </c>
      <c r="EC139" s="21">
        <f>EXP(-LN(2)/2)*EC138+(1-EXP(-LN(2)/2))/(LN(2)/2)*DW139*DZ139*VLOOKUP('Données projet'!$B$14,Paramètres!$A$1:$I$89,3,0)*0.475*44/12</f>
        <v>2.2797798264699105E-7</v>
      </c>
      <c r="ED139" s="22">
        <f t="shared" si="126"/>
        <v>22.281277957459292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45">
      <c r="A140" s="10">
        <f t="shared" si="139"/>
        <v>137</v>
      </c>
      <c r="B140" s="73">
        <f>'Scénario référence'!$B$16*5+'Scénario référence'!$B$17*0+'Scénario référence'!$B$18*5</f>
        <v>5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1">
        <f t="shared" si="140"/>
        <v>0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18.333333333333332</v>
      </c>
      <c r="H140" s="67">
        <f t="shared" si="110"/>
        <v>183.33333333333334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9.1440000000000055</v>
      </c>
      <c r="N140" s="13">
        <f>IF('Données projet'!$A$36&gt;35,N139+M140-V139,IF(A140&lt;'Données projet'!$A$36,$K$205^A140,IF(A140='Données projet'!$A$36,'Données projet'!$B$36,N139+M140-V139)))</f>
        <v>450.93200000000093</v>
      </c>
      <c r="O140" s="13">
        <f>N140*VLOOKUP('Données projet'!$B$9,Paramètres!$A$1:$I$89,3,0)*VLOOKUP('Données projet'!$B$9,Paramètres!$A$1:$I$89,5,0)</f>
        <v>408.00327360000085</v>
      </c>
      <c r="P140" s="13">
        <f t="shared" si="141"/>
        <v>93.397330631669121</v>
      </c>
      <c r="Q140" s="20">
        <f t="shared" si="108"/>
        <v>873.27271903682515</v>
      </c>
      <c r="R140" s="59">
        <f t="shared" si="109"/>
        <v>1158.2694244457505</v>
      </c>
      <c r="S140" s="59">
        <f ca="1">AVERAGE(OFFSET($R$3,0,0,'Données projet'!$E$9+1,1))-AVERAGE(OFFSET($H$3,0,0,'Données projet'!$E$9+1,1))</f>
        <v>681.47578137804555</v>
      </c>
      <c r="T140" s="59">
        <f t="shared" si="142"/>
        <v>300.88511065995885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42.165219289788404</v>
      </c>
      <c r="AA140" s="21">
        <f>EXP(-LN(2)/25)*AA139+(1-EXP(-LN(2)/25))/(LN(2)/25)*Calculateur!V140*Calculateur!X140*VLOOKUP('Données projet'!$B$9,Paramètres!$A$1:$I$89,3,0)*0.475*44/12</f>
        <v>21.871719069880683</v>
      </c>
      <c r="AB140" s="21">
        <f>EXP(-LN(2)/2)*AB139+(1-EXP(-LN(2)/2))/(LN(2)/2)*V140*Y140*VLOOKUP('Données projet'!$B$9,Paramètres!$A$1:$I$89,3,0)*0.475*44/12</f>
        <v>5.6413645644825698E-2</v>
      </c>
      <c r="AC140" s="22">
        <f t="shared" si="111"/>
        <v>64.093352005313903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3.4106051316484809E-13</v>
      </c>
      <c r="AJ140" s="13">
        <f>AI140*VLOOKUP('Données projet'!$B$10,Paramètres!$A$1:$I$89,3,0)*VLOOKUP('Données projet'!$B$10,Paramètres!$A$1:$I$89,5,0)</f>
        <v>1.5961632016114892E-13</v>
      </c>
      <c r="AK140" s="13">
        <f t="shared" si="143"/>
        <v>2.2708641912150958E-12</v>
      </c>
      <c r="AL140" s="20">
        <f t="shared" si="112"/>
        <v>4.2330868906469593E-12</v>
      </c>
      <c r="AM140" s="59">
        <f t="shared" si="113"/>
        <v>284.99670540892959</v>
      </c>
      <c r="AN140" s="59">
        <f ca="1">AVERAGE(OFFSET($AM$3,0,0,'Données projet'!$E$10+1,1))-AVERAGE(OFFSET($H$3,0,0,'Données projet'!$E$10+1,1))</f>
        <v>325.45940224919184</v>
      </c>
      <c r="AO140" s="59">
        <f t="shared" si="144"/>
        <v>256.30046621034876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75.366474273922492</v>
      </c>
      <c r="AV140" s="21">
        <f>EXP(-LN(2)/25)*AV139+(1-EXP(-LN(2)/25))/(LN(2)/25)*Calculateur!AQ140*Calculateur!AS140*VLOOKUP('Données projet'!$B$10,Paramètres!$A$1:$I$89,3,0)*0.475*44/12</f>
        <v>19.270302476128009</v>
      </c>
      <c r="AW140" s="21">
        <f>EXP(-LN(2)/2)*AW139+(1-EXP(-LN(2)/2))/(LN(2)/2)*AQ140*AT140*VLOOKUP('Données projet'!$B$10,Paramètres!$A$1:$I$89,3,0)*0.475*44/12</f>
        <v>1.9218688365986727E-3</v>
      </c>
      <c r="AX140" s="21">
        <f t="shared" si="114"/>
        <v>94.638698618887105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7.3375000000000012</v>
      </c>
      <c r="BD140" s="12">
        <f>IF('Données projet'!$A$88&gt;35,BD139+BC140-BL139,IF(A140&lt;'Données projet'!$A$88,$BA$205^A140,IF(A140='Données projet'!$A$88,'Données projet'!$B$88,BD139+BC140-BL139)))</f>
        <v>328.55749999999995</v>
      </c>
      <c r="BE140" s="13">
        <f>BD140*VLOOKUP('Données projet'!$B$11,Paramètres!$A$1:$I$89,3,0)*VLOOKUP('Données projet'!$B$11,Paramètres!$A$1:$I$89,5,0)</f>
        <v>333.15730499999995</v>
      </c>
      <c r="BF140" s="13">
        <f t="shared" si="145"/>
        <v>78.084533845329503</v>
      </c>
      <c r="BG140" s="20">
        <f t="shared" si="115"/>
        <v>716.24620265561543</v>
      </c>
      <c r="BH140" s="59">
        <f t="shared" si="116"/>
        <v>1001.2429080645409</v>
      </c>
      <c r="BI140" s="59">
        <f ca="1">AVERAGE(OFFSET($BH$3,0,0,'Données projet'!$E$11+1,1))-AVERAGE(OFFSET($H$3,0,0,'Données projet'!$E$11+1,1))</f>
        <v>580.02848304986492</v>
      </c>
      <c r="BJ140" s="59">
        <f t="shared" si="146"/>
        <v>281.68891895586728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26.416275093079673</v>
      </c>
      <c r="BQ140" s="21">
        <f>EXP(-LN(2)/25)*BQ139+(1-EXP(-LN(2)/25))/(LN(2)/25)*Calculateur!BL140*Calculateur!BN140*VLOOKUP('Données projet'!$B$11,Paramètres!$A$1:$I$89,3,0)*0.475*44/12</f>
        <v>20.927731238433413</v>
      </c>
      <c r="BR140" s="21">
        <f>EXP(-LN(2)/2)*BR139+(1-EXP(-LN(2)/2))/(LN(2)/2)*BL140*BO140*VLOOKUP('Données projet'!$B$11,Paramètres!$A$1:$I$89,3,0)*0.475*44/12</f>
        <v>0.84889436792713824</v>
      </c>
      <c r="BS140" s="22">
        <f t="shared" si="117"/>
        <v>48.192900699440223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>
        <f>BY140*VLOOKUP('Données projet'!$B$12,Paramètres!$A$1:$I$89,3,0)*VLOOKUP('Données projet'!$B$12,Paramètres!$A$1:$I$89,5,0)</f>
        <v>0</v>
      </c>
      <c r="CA140" s="13" t="e">
        <f t="shared" si="147"/>
        <v>#NUM!</v>
      </c>
      <c r="CB140" s="20" t="e">
        <f t="shared" si="118"/>
        <v>#NUM!</v>
      </c>
      <c r="CC140" s="59" t="e">
        <f t="shared" si="119"/>
        <v>#NUM!</v>
      </c>
      <c r="CD140" s="59">
        <f ca="1">AVERAGE(OFFSET($CC$3,0,0,'Données projet'!$E$12+1,1))-AVERAGE(OFFSET($H$3,0,0,'Données projet'!$E$12+1,1))</f>
        <v>439.15394290667945</v>
      </c>
      <c r="CE140" s="59">
        <f t="shared" si="148"/>
        <v>423.56554025351068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16.313874451966008</v>
      </c>
      <c r="CL140" s="21">
        <f>EXP(-LN(2)/25)*CL139+(1-EXP(-LN(2)/25))/(LN(2)/25)*Calculateur!CG140*Calculateur!CI140*VLOOKUP('Données projet'!$B$12,Paramètres!$A$1:$I$89,3,0)*0.475*44/12</f>
        <v>10.254682273224033</v>
      </c>
      <c r="CM140" s="21">
        <f>EXP(-LN(2)/2)*CM139+(1-EXP(-LN(2)/2))/(LN(2)/2)*CG140*CJ140*VLOOKUP('Données projet'!$B$12,Paramètres!$A$1:$I$89,3,0)*0.475*44/12</f>
        <v>1.9666982853891763E-7</v>
      </c>
      <c r="CN140" s="22">
        <f t="shared" si="120"/>
        <v>26.568556921859869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>
        <f>CT140*VLOOKUP('Données projet'!$B$13,Paramètres!$A$1:$I$89,3,0)*VLOOKUP('Données projet'!$B$13,Paramètres!$A$1:$I$89,5,0)</f>
        <v>0</v>
      </c>
      <c r="CV140" s="13" t="e">
        <f t="shared" si="149"/>
        <v>#NUM!</v>
      </c>
      <c r="CW140" s="20" t="e">
        <f t="shared" si="121"/>
        <v>#NUM!</v>
      </c>
      <c r="CX140" s="59" t="e">
        <f t="shared" si="122"/>
        <v>#NUM!</v>
      </c>
      <c r="CY140" s="59">
        <f ca="1">AVERAGE(OFFSET($CX$3,0,0,'Données projet'!$E$13+1,1))-AVERAGE(OFFSET($H$3,0,0,'Données projet'!$E$13+1,1))</f>
        <v>408.246209980743</v>
      </c>
      <c r="CZ140" s="59">
        <f t="shared" si="150"/>
        <v>394.10236303013903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>
        <f>EXP(-LN(2)/35)*DF139+(1-EXP(-LN(2)/35))/(LN(2)/35)*DB140*DC140*VLOOKUP('Données projet'!$B$13,Paramètres!$A$1:$I$89,3,0)*0.475*44/12</f>
        <v>18.459618518274947</v>
      </c>
      <c r="DG140" s="21">
        <f>EXP(-LN(2)/25)*DG139+(1-EXP(-LN(2)/25))/(LN(2)/25)*Calculateur!DB140*Calculateur!DD140*VLOOKUP('Données projet'!$B$13,Paramètres!$A$1:$I$89,3,0)*0.475*44/12</f>
        <v>11.60346816123864</v>
      </c>
      <c r="DH140" s="21">
        <f>EXP(-LN(2)/2)*DH139+(1-EXP(-LN(2)/2))/(LN(2)/2)*DB140*DE140*VLOOKUP('Données projet'!$B$13,Paramètres!$A$1:$I$89,3,0)*0.475*44/12</f>
        <v>1.8054935078982607E-7</v>
      </c>
      <c r="DI140" s="22">
        <f t="shared" si="123"/>
        <v>30.063086860062938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>
        <f>DO140*VLOOKUP('Données projet'!$B$14,Paramètres!$A$1:$I$89,3,0)*VLOOKUP('Données projet'!$B$14,Paramètres!$A$1:$I$89,5,0)</f>
        <v>0</v>
      </c>
      <c r="DQ140" s="13" t="e">
        <f t="shared" si="151"/>
        <v>#NUM!</v>
      </c>
      <c r="DR140" s="20" t="e">
        <f t="shared" si="124"/>
        <v>#NUM!</v>
      </c>
      <c r="DS140" s="59" t="e">
        <f t="shared" si="125"/>
        <v>#NUM!</v>
      </c>
      <c r="DT140" s="59">
        <f ca="1">AVERAGE(OFFSET($DS$3,0,0,'Données projet'!$E$14+1,1))-AVERAGE(OFFSET($H$3,0,0,'Données projet'!$E$14+1,1))</f>
        <v>371.07993287480366</v>
      </c>
      <c r="DU140" s="59">
        <f t="shared" si="152"/>
        <v>358.67120540290637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>
        <f>EXP(-LN(2)/35)*EA139+(1-EXP(-LN(2)/35))/(LN(2)/35)*DW140*DX140*VLOOKUP('Données projet'!$B$14,Paramètres!$A$1:$I$89,3,0)*0.475*44/12</f>
        <v>13.372028239316402</v>
      </c>
      <c r="EB140" s="21">
        <f>EXP(-LN(2)/25)*EB139+(1-EXP(-LN(2)/25))/(LN(2)/25)*Calculateur!DW140*Calculateur!DY140*VLOOKUP('Données projet'!$B$14,Paramètres!$A$1:$I$89,3,0)*0.475*44/12</f>
        <v>8.4054772731344496</v>
      </c>
      <c r="EC140" s="21">
        <f>EXP(-LN(2)/2)*EC139+(1-EXP(-LN(2)/2))/(LN(2)/2)*DW140*DZ140*VLOOKUP('Données projet'!$B$14,Paramètres!$A$1:$I$89,3,0)*0.475*44/12</f>
        <v>1.6120477749091643E-7</v>
      </c>
      <c r="ED140" s="22">
        <f t="shared" si="126"/>
        <v>21.777505673655629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45">
      <c r="A141" s="10">
        <f t="shared" si="139"/>
        <v>138</v>
      </c>
      <c r="B141" s="73">
        <f>'Scénario référence'!$B$16*5+'Scénario référence'!$B$17*0+'Scénario référence'!$B$18*5</f>
        <v>5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1">
        <f t="shared" si="140"/>
        <v>0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18.333333333333332</v>
      </c>
      <c r="H141" s="67">
        <f t="shared" si="110"/>
        <v>183.33333333333334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9.1440000000000055</v>
      </c>
      <c r="N141" s="13">
        <f>IF('Données projet'!$A$36&gt;35,N140+M141-V140,IF(A141&lt;'Données projet'!$A$36,$K$205^A141,IF(A141='Données projet'!$A$36,'Données projet'!$B$36,N140+M141-V140)))</f>
        <v>460.07600000000093</v>
      </c>
      <c r="O141" s="13">
        <f>N141*VLOOKUP('Données projet'!$B$9,Paramètres!$A$1:$I$89,3,0)*VLOOKUP('Données projet'!$B$9,Paramètres!$A$1:$I$89,5,0)</f>
        <v>416.27676480000082</v>
      </c>
      <c r="P141" s="13">
        <f t="shared" si="141"/>
        <v>95.068830381071379</v>
      </c>
      <c r="Q141" s="20">
        <f t="shared" si="108"/>
        <v>890.5935782737007</v>
      </c>
      <c r="R141" s="59">
        <f t="shared" si="109"/>
        <v>1175.7349055392067</v>
      </c>
      <c r="S141" s="59">
        <f ca="1">AVERAGE(OFFSET($R$3,0,0,'Données projet'!$E$9+1,1))-AVERAGE(OFFSET($H$3,0,0,'Données projet'!$E$9+1,1))</f>
        <v>681.47578137804555</v>
      </c>
      <c r="T141" s="59">
        <f t="shared" si="142"/>
        <v>300.88511065995885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41.338385057759957</v>
      </c>
      <c r="AA141" s="21">
        <f>EXP(-LN(2)/25)*AA140+(1-EXP(-LN(2)/25))/(LN(2)/25)*Calculateur!V141*Calculateur!X141*VLOOKUP('Données projet'!$B$9,Paramètres!$A$1:$I$89,3,0)*0.475*44/12</f>
        <v>21.273635761731079</v>
      </c>
      <c r="AB141" s="21">
        <f>EXP(-LN(2)/2)*AB140+(1-EXP(-LN(2)/2))/(LN(2)/2)*V141*Y141*VLOOKUP('Données projet'!$B$9,Paramètres!$A$1:$I$89,3,0)*0.475*44/12</f>
        <v>3.9890471386911194E-2</v>
      </c>
      <c r="AC141" s="22">
        <f t="shared" si="111"/>
        <v>62.651911290877948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3.4106051316484809E-13</v>
      </c>
      <c r="AJ141" s="13">
        <f>AI141*VLOOKUP('Données projet'!$B$10,Paramètres!$A$1:$I$89,3,0)*VLOOKUP('Données projet'!$B$10,Paramètres!$A$1:$I$89,5,0)</f>
        <v>1.5961632016114892E-13</v>
      </c>
      <c r="AK141" s="13">
        <f t="shared" si="143"/>
        <v>2.2708641912150958E-12</v>
      </c>
      <c r="AL141" s="20">
        <f t="shared" si="112"/>
        <v>4.2330868906469593E-12</v>
      </c>
      <c r="AM141" s="59">
        <f t="shared" si="113"/>
        <v>285.14132726551014</v>
      </c>
      <c r="AN141" s="59">
        <f ca="1">AVERAGE(OFFSET($AM$3,0,0,'Données projet'!$E$10+1,1))-AVERAGE(OFFSET($H$3,0,0,'Données projet'!$E$10+1,1))</f>
        <v>325.45940224919184</v>
      </c>
      <c r="AO141" s="59">
        <f t="shared" si="144"/>
        <v>256.30046621034876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73.888583682421114</v>
      </c>
      <c r="AV141" s="21">
        <f>EXP(-LN(2)/25)*AV140+(1-EXP(-LN(2)/25))/(LN(2)/25)*Calculateur!AQ141*Calculateur!AS141*VLOOKUP('Données projet'!$B$10,Paramètres!$A$1:$I$89,3,0)*0.475*44/12</f>
        <v>18.743355041537125</v>
      </c>
      <c r="AW141" s="21">
        <f>EXP(-LN(2)/2)*AW140+(1-EXP(-LN(2)/2))/(LN(2)/2)*AQ141*AT141*VLOOKUP('Données projet'!$B$10,Paramètres!$A$1:$I$89,3,0)*0.475*44/12</f>
        <v>1.3589664869100224E-3</v>
      </c>
      <c r="AX141" s="21">
        <f t="shared" si="114"/>
        <v>92.633297690445147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7.3375000000000012</v>
      </c>
      <c r="BD141" s="12">
        <f>IF('Données projet'!$A$88&gt;35,BD140+BC141-BL140,IF(A141&lt;'Données projet'!$A$88,$BA$205^A141,IF(A141='Données projet'!$A$88,'Données projet'!$B$88,BD140+BC141-BL140)))</f>
        <v>335.89499999999992</v>
      </c>
      <c r="BE141" s="13">
        <f>BD141*VLOOKUP('Données projet'!$B$11,Paramètres!$A$1:$I$89,3,0)*VLOOKUP('Données projet'!$B$11,Paramètres!$A$1:$I$89,5,0)</f>
        <v>340.59752999999995</v>
      </c>
      <c r="BF141" s="13">
        <f t="shared" si="145"/>
        <v>79.623387284014498</v>
      </c>
      <c r="BG141" s="20">
        <f t="shared" si="115"/>
        <v>731.88476426965838</v>
      </c>
      <c r="BH141" s="59">
        <f t="shared" si="116"/>
        <v>1017.0260915351644</v>
      </c>
      <c r="BI141" s="59">
        <f ca="1">AVERAGE(OFFSET($BH$3,0,0,'Données projet'!$E$11+1,1))-AVERAGE(OFFSET($H$3,0,0,'Données projet'!$E$11+1,1))</f>
        <v>580.02848304986492</v>
      </c>
      <c r="BJ141" s="59">
        <f t="shared" si="146"/>
        <v>281.68891895586728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25.898268050841224</v>
      </c>
      <c r="BQ141" s="21">
        <f>EXP(-LN(2)/25)*BQ140+(1-EXP(-LN(2)/25))/(LN(2)/25)*Calculateur!BL141*Calculateur!BN141*VLOOKUP('Données projet'!$B$11,Paramètres!$A$1:$I$89,3,0)*0.475*44/12</f>
        <v>20.355461327176897</v>
      </c>
      <c r="BR141" s="21">
        <f>EXP(-LN(2)/2)*BR140+(1-EXP(-LN(2)/2))/(LN(2)/2)*BL141*BO141*VLOOKUP('Données projet'!$B$11,Paramètres!$A$1:$I$89,3,0)*0.475*44/12</f>
        <v>0.60025896407234758</v>
      </c>
      <c r="BS141" s="22">
        <f t="shared" si="117"/>
        <v>46.853988342090467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>
        <f>BY141*VLOOKUP('Données projet'!$B$12,Paramètres!$A$1:$I$89,3,0)*VLOOKUP('Données projet'!$B$12,Paramètres!$A$1:$I$89,5,0)</f>
        <v>0</v>
      </c>
      <c r="CA141" s="13" t="e">
        <f t="shared" si="147"/>
        <v>#NUM!</v>
      </c>
      <c r="CB141" s="20" t="e">
        <f t="shared" si="118"/>
        <v>#NUM!</v>
      </c>
      <c r="CC141" s="59" t="e">
        <f t="shared" si="119"/>
        <v>#NUM!</v>
      </c>
      <c r="CD141" s="59">
        <f ca="1">AVERAGE(OFFSET($CC$3,0,0,'Données projet'!$E$12+1,1))-AVERAGE(OFFSET($H$3,0,0,'Données projet'!$E$12+1,1))</f>
        <v>439.15394290667945</v>
      </c>
      <c r="CE141" s="59">
        <f t="shared" si="148"/>
        <v>423.56554025351068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15.993969324443842</v>
      </c>
      <c r="CL141" s="21">
        <f>EXP(-LN(2)/25)*CL140+(1-EXP(-LN(2)/25))/(LN(2)/25)*Calculateur!CG141*Calculateur!CI141*VLOOKUP('Données projet'!$B$12,Paramètres!$A$1:$I$89,3,0)*0.475*44/12</f>
        <v>9.9742674471924175</v>
      </c>
      <c r="CM141" s="21">
        <f>EXP(-LN(2)/2)*CM140+(1-EXP(-LN(2)/2))/(LN(2)/2)*CG141*CJ141*VLOOKUP('Données projet'!$B$12,Paramètres!$A$1:$I$89,3,0)*0.475*44/12</f>
        <v>1.3906656941466425E-7</v>
      </c>
      <c r="CN141" s="22">
        <f t="shared" si="120"/>
        <v>25.968236910702828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>
        <f>CT141*VLOOKUP('Données projet'!$B$13,Paramètres!$A$1:$I$89,3,0)*VLOOKUP('Données projet'!$B$13,Paramètres!$A$1:$I$89,5,0)</f>
        <v>0</v>
      </c>
      <c r="CV141" s="13" t="e">
        <f t="shared" si="149"/>
        <v>#NUM!</v>
      </c>
      <c r="CW141" s="20" t="e">
        <f t="shared" si="121"/>
        <v>#NUM!</v>
      </c>
      <c r="CX141" s="59" t="e">
        <f t="shared" si="122"/>
        <v>#NUM!</v>
      </c>
      <c r="CY141" s="59">
        <f ca="1">AVERAGE(OFFSET($CX$3,0,0,'Données projet'!$E$13+1,1))-AVERAGE(OFFSET($H$3,0,0,'Données projet'!$E$13+1,1))</f>
        <v>408.246209980743</v>
      </c>
      <c r="CZ141" s="59">
        <f t="shared" si="150"/>
        <v>394.10236303013903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>
        <f>EXP(-LN(2)/35)*DF140+(1-EXP(-LN(2)/35))/(LN(2)/35)*DB141*DC141*VLOOKUP('Données projet'!$B$13,Paramètres!$A$1:$I$89,3,0)*0.475*44/12</f>
        <v>18.097636658387113</v>
      </c>
      <c r="DG141" s="21">
        <f>EXP(-LN(2)/25)*DG140+(1-EXP(-LN(2)/25))/(LN(2)/25)*Calculateur!DB141*Calculateur!DD141*VLOOKUP('Données projet'!$B$13,Paramètres!$A$1:$I$89,3,0)*0.475*44/12</f>
        <v>11.286170714169698</v>
      </c>
      <c r="DH141" s="21">
        <f>EXP(-LN(2)/2)*DH140+(1-EXP(-LN(2)/2))/(LN(2)/2)*DB141*DE141*VLOOKUP('Données projet'!$B$13,Paramètres!$A$1:$I$89,3,0)*0.475*44/12</f>
        <v>1.2766767028231475E-7</v>
      </c>
      <c r="DI141" s="22">
        <f t="shared" si="123"/>
        <v>29.383807500224481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>
        <f>DO141*VLOOKUP('Données projet'!$B$14,Paramètres!$A$1:$I$89,3,0)*VLOOKUP('Données projet'!$B$14,Paramètres!$A$1:$I$89,5,0)</f>
        <v>0</v>
      </c>
      <c r="DQ141" s="13" t="e">
        <f t="shared" si="151"/>
        <v>#NUM!</v>
      </c>
      <c r="DR141" s="20" t="e">
        <f t="shared" si="124"/>
        <v>#NUM!</v>
      </c>
      <c r="DS141" s="59" t="e">
        <f t="shared" si="125"/>
        <v>#NUM!</v>
      </c>
      <c r="DT141" s="59">
        <f ca="1">AVERAGE(OFFSET($DS$3,0,0,'Données projet'!$E$14+1,1))-AVERAGE(OFFSET($H$3,0,0,'Données projet'!$E$14+1,1))</f>
        <v>371.07993287480366</v>
      </c>
      <c r="DU141" s="59">
        <f t="shared" si="152"/>
        <v>358.67120540290637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>
        <f>EXP(-LN(2)/35)*EA140+(1-EXP(-LN(2)/35))/(LN(2)/35)*DW141*DX141*VLOOKUP('Données projet'!$B$14,Paramètres!$A$1:$I$89,3,0)*0.475*44/12</f>
        <v>13.109810921675281</v>
      </c>
      <c r="EB141" s="21">
        <f>EXP(-LN(2)/25)*EB140+(1-EXP(-LN(2)/25))/(LN(2)/25)*Calculateur!DW141*Calculateur!DY141*VLOOKUP('Données projet'!$B$14,Paramètres!$A$1:$I$89,3,0)*0.475*44/12</f>
        <v>8.1756290550757491</v>
      </c>
      <c r="EC141" s="21">
        <f>EXP(-LN(2)/2)*EC140+(1-EXP(-LN(2)/2))/(LN(2)/2)*DW141*DZ141*VLOOKUP('Données projet'!$B$14,Paramètres!$A$1:$I$89,3,0)*0.475*44/12</f>
        <v>1.1398899132349552E-7</v>
      </c>
      <c r="ED141" s="22">
        <f t="shared" si="126"/>
        <v>21.285440090740021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45">
      <c r="A142" s="10">
        <f t="shared" si="139"/>
        <v>139</v>
      </c>
      <c r="B142" s="73">
        <f>'Scénario référence'!$B$16*5+'Scénario référence'!$B$17*0+'Scénario référence'!$B$18*5</f>
        <v>5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1">
        <f t="shared" si="140"/>
        <v>0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18.333333333333332</v>
      </c>
      <c r="H142" s="67">
        <f t="shared" si="110"/>
        <v>183.33333333333334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9.1440000000000055</v>
      </c>
      <c r="N142" s="13">
        <f>IF('Données projet'!$A$36&gt;35,N141+M142-V141,IF(A142&lt;'Données projet'!$A$36,$K$205^A142,IF(A142='Données projet'!$A$36,'Données projet'!$B$36,N141+M142-V141)))</f>
        <v>469.22000000000094</v>
      </c>
      <c r="O142" s="13">
        <f>N142*VLOOKUP('Données projet'!$B$9,Paramètres!$A$1:$I$89,3,0)*VLOOKUP('Données projet'!$B$9,Paramètres!$A$1:$I$89,5,0)</f>
        <v>424.55025600000084</v>
      </c>
      <c r="P142" s="13">
        <f t="shared" si="141"/>
        <v>96.736467404516418</v>
      </c>
      <c r="Q142" s="20">
        <f t="shared" si="108"/>
        <v>907.90770992953412</v>
      </c>
      <c r="R142" s="59">
        <f t="shared" si="109"/>
        <v>1193.1911501857351</v>
      </c>
      <c r="S142" s="59">
        <f ca="1">AVERAGE(OFFSET($R$3,0,0,'Données projet'!$E$9+1,1))-AVERAGE(OFFSET($H$3,0,0,'Données projet'!$E$9+1,1))</f>
        <v>681.47578137804555</v>
      </c>
      <c r="T142" s="59">
        <f t="shared" si="142"/>
        <v>300.88511065995885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40.527764540702499</v>
      </c>
      <c r="AA142" s="21">
        <f>EXP(-LN(2)/25)*AA141+(1-EXP(-LN(2)/25))/(LN(2)/25)*Calculateur!V142*Calculateur!X142*VLOOKUP('Données projet'!$B$9,Paramètres!$A$1:$I$89,3,0)*0.475*44/12</f>
        <v>20.691907073094658</v>
      </c>
      <c r="AB142" s="21">
        <f>EXP(-LN(2)/2)*AB141+(1-EXP(-LN(2)/2))/(LN(2)/2)*V142*Y142*VLOOKUP('Données projet'!$B$9,Paramètres!$A$1:$I$89,3,0)*0.475*44/12</f>
        <v>2.8206822822412849E-2</v>
      </c>
      <c r="AC142" s="22">
        <f t="shared" si="111"/>
        <v>61.247878436619573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3.4106051316484809E-13</v>
      </c>
      <c r="AJ142" s="13">
        <f>AI142*VLOOKUP('Données projet'!$B$10,Paramètres!$A$1:$I$89,3,0)*VLOOKUP('Données projet'!$B$10,Paramètres!$A$1:$I$89,5,0)</f>
        <v>1.5961632016114892E-13</v>
      </c>
      <c r="AK142" s="13">
        <f t="shared" si="143"/>
        <v>2.2708641912150958E-12</v>
      </c>
      <c r="AL142" s="20">
        <f t="shared" si="112"/>
        <v>4.2330868906469593E-12</v>
      </c>
      <c r="AM142" s="59">
        <f t="shared" si="113"/>
        <v>285.2834402562051</v>
      </c>
      <c r="AN142" s="59">
        <f ca="1">AVERAGE(OFFSET($AM$3,0,0,'Données projet'!$E$10+1,1))-AVERAGE(OFFSET($H$3,0,0,'Données projet'!$E$10+1,1))</f>
        <v>325.45940224919184</v>
      </c>
      <c r="AO142" s="59">
        <f t="shared" si="144"/>
        <v>256.30046621034876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72.439673623994821</v>
      </c>
      <c r="AV142" s="21">
        <f>EXP(-LN(2)/25)*AV141+(1-EXP(-LN(2)/25))/(LN(2)/25)*Calculateur!AQ142*Calculateur!AS142*VLOOKUP('Données projet'!$B$10,Paramètres!$A$1:$I$89,3,0)*0.475*44/12</f>
        <v>18.23081701225609</v>
      </c>
      <c r="AW142" s="21">
        <f>EXP(-LN(2)/2)*AW141+(1-EXP(-LN(2)/2))/(LN(2)/2)*AQ142*AT142*VLOOKUP('Données projet'!$B$10,Paramètres!$A$1:$I$89,3,0)*0.475*44/12</f>
        <v>9.6093441829933645E-4</v>
      </c>
      <c r="AX142" s="21">
        <f t="shared" si="114"/>
        <v>90.67145157066922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7.3375000000000012</v>
      </c>
      <c r="BD142" s="12">
        <f>IF('Données projet'!$A$88&gt;35,BD141+BC142-BL141,IF(A142&lt;'Données projet'!$A$88,$BA$205^A142,IF(A142='Données projet'!$A$88,'Données projet'!$B$88,BD141+BC142-BL141)))</f>
        <v>343.2324999999999</v>
      </c>
      <c r="BE142" s="13">
        <f>BD142*VLOOKUP('Données projet'!$B$11,Paramètres!$A$1:$I$89,3,0)*VLOOKUP('Données projet'!$B$11,Paramètres!$A$1:$I$89,5,0)</f>
        <v>348.03775499999989</v>
      </c>
      <c r="BF142" s="13">
        <f t="shared" si="145"/>
        <v>81.158332500044466</v>
      </c>
      <c r="BG142" s="20">
        <f t="shared" si="115"/>
        <v>747.51651906257723</v>
      </c>
      <c r="BH142" s="59">
        <f t="shared" si="116"/>
        <v>1032.7999593187781</v>
      </c>
      <c r="BI142" s="59">
        <f ca="1">AVERAGE(OFFSET($BH$3,0,0,'Données projet'!$E$11+1,1))-AVERAGE(OFFSET($H$3,0,0,'Données projet'!$E$11+1,1))</f>
        <v>580.02848304986492</v>
      </c>
      <c r="BJ142" s="59">
        <f t="shared" si="146"/>
        <v>281.68891895586728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25.390418810747974</v>
      </c>
      <c r="BQ142" s="21">
        <f>EXP(-LN(2)/25)*BQ141+(1-EXP(-LN(2)/25))/(LN(2)/25)*Calculateur!BL142*Calculateur!BN142*VLOOKUP('Données projet'!$B$11,Paramètres!$A$1:$I$89,3,0)*0.475*44/12</f>
        <v>19.798840166738056</v>
      </c>
      <c r="BR142" s="21">
        <f>EXP(-LN(2)/2)*BR141+(1-EXP(-LN(2)/2))/(LN(2)/2)*BL142*BO142*VLOOKUP('Données projet'!$B$11,Paramètres!$A$1:$I$89,3,0)*0.475*44/12</f>
        <v>0.42444718396356917</v>
      </c>
      <c r="BS142" s="22">
        <f t="shared" si="117"/>
        <v>45.613706161449606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>
        <f>BY142*VLOOKUP('Données projet'!$B$12,Paramètres!$A$1:$I$89,3,0)*VLOOKUP('Données projet'!$B$12,Paramètres!$A$1:$I$89,5,0)</f>
        <v>0</v>
      </c>
      <c r="CA142" s="13" t="e">
        <f t="shared" si="147"/>
        <v>#NUM!</v>
      </c>
      <c r="CB142" s="20" t="e">
        <f t="shared" si="118"/>
        <v>#NUM!</v>
      </c>
      <c r="CC142" s="59" t="e">
        <f t="shared" si="119"/>
        <v>#NUM!</v>
      </c>
      <c r="CD142" s="59">
        <f ca="1">AVERAGE(OFFSET($CC$3,0,0,'Données projet'!$E$12+1,1))-AVERAGE(OFFSET($H$3,0,0,'Données projet'!$E$12+1,1))</f>
        <v>439.15394290667945</v>
      </c>
      <c r="CE142" s="59">
        <f t="shared" si="148"/>
        <v>423.56554025351068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15.680337341349524</v>
      </c>
      <c r="CL142" s="21">
        <f>EXP(-LN(2)/25)*CL141+(1-EXP(-LN(2)/25))/(LN(2)/25)*Calculateur!CG142*Calculateur!CI142*VLOOKUP('Données projet'!$B$12,Paramètres!$A$1:$I$89,3,0)*0.475*44/12</f>
        <v>9.7015205793250114</v>
      </c>
      <c r="CM142" s="21">
        <f>EXP(-LN(2)/2)*CM141+(1-EXP(-LN(2)/2))/(LN(2)/2)*CG142*CJ142*VLOOKUP('Données projet'!$B$12,Paramètres!$A$1:$I$89,3,0)*0.475*44/12</f>
        <v>9.8334914269458815E-8</v>
      </c>
      <c r="CN142" s="22">
        <f t="shared" si="120"/>
        <v>25.381858019009449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>
        <f>CT142*VLOOKUP('Données projet'!$B$13,Paramètres!$A$1:$I$89,3,0)*VLOOKUP('Données projet'!$B$13,Paramètres!$A$1:$I$89,5,0)</f>
        <v>0</v>
      </c>
      <c r="CV142" s="13" t="e">
        <f t="shared" si="149"/>
        <v>#NUM!</v>
      </c>
      <c r="CW142" s="20" t="e">
        <f t="shared" si="121"/>
        <v>#NUM!</v>
      </c>
      <c r="CX142" s="59" t="e">
        <f t="shared" si="122"/>
        <v>#NUM!</v>
      </c>
      <c r="CY142" s="59">
        <f ca="1">AVERAGE(OFFSET($CX$3,0,0,'Données projet'!$E$13+1,1))-AVERAGE(OFFSET($H$3,0,0,'Données projet'!$E$13+1,1))</f>
        <v>408.246209980743</v>
      </c>
      <c r="CZ142" s="59">
        <f t="shared" si="150"/>
        <v>394.10236303013903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>
        <f>EXP(-LN(2)/35)*DF141+(1-EXP(-LN(2)/35))/(LN(2)/35)*DB142*DC142*VLOOKUP('Données projet'!$B$13,Paramètres!$A$1:$I$89,3,0)*0.475*44/12</f>
        <v>17.742753041984546</v>
      </c>
      <c r="DG142" s="21">
        <f>EXP(-LN(2)/25)*DG141+(1-EXP(-LN(2)/25))/(LN(2)/25)*Calculateur!DB142*Calculateur!DD142*VLOOKUP('Données projet'!$B$13,Paramètres!$A$1:$I$89,3,0)*0.475*44/12</f>
        <v>10.977549782476805</v>
      </c>
      <c r="DH142" s="21">
        <f>EXP(-LN(2)/2)*DH141+(1-EXP(-LN(2)/2))/(LN(2)/2)*DB142*DE142*VLOOKUP('Données projet'!$B$13,Paramètres!$A$1:$I$89,3,0)*0.475*44/12</f>
        <v>9.0274675394913036E-8</v>
      </c>
      <c r="DI142" s="22">
        <f t="shared" si="123"/>
        <v>28.720302914736024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>
        <f>DO142*VLOOKUP('Données projet'!$B$14,Paramètres!$A$1:$I$89,3,0)*VLOOKUP('Données projet'!$B$14,Paramètres!$A$1:$I$89,5,0)</f>
        <v>0</v>
      </c>
      <c r="DQ142" s="13" t="e">
        <f t="shared" si="151"/>
        <v>#NUM!</v>
      </c>
      <c r="DR142" s="20" t="e">
        <f t="shared" si="124"/>
        <v>#NUM!</v>
      </c>
      <c r="DS142" s="59" t="e">
        <f t="shared" si="125"/>
        <v>#NUM!</v>
      </c>
      <c r="DT142" s="59">
        <f ca="1">AVERAGE(OFFSET($DS$3,0,0,'Données projet'!$E$14+1,1))-AVERAGE(OFFSET($H$3,0,0,'Données projet'!$E$14+1,1))</f>
        <v>371.07993287480366</v>
      </c>
      <c r="DU142" s="59">
        <f t="shared" si="152"/>
        <v>358.67120540290637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>
        <f>EXP(-LN(2)/35)*EA141+(1-EXP(-LN(2)/35))/(LN(2)/35)*DW142*DX142*VLOOKUP('Données projet'!$B$14,Paramètres!$A$1:$I$89,3,0)*0.475*44/12</f>
        <v>12.852735525696332</v>
      </c>
      <c r="EB142" s="21">
        <f>EXP(-LN(2)/25)*EB141+(1-EXP(-LN(2)/25))/(LN(2)/25)*Calculateur!DW142*Calculateur!DY142*VLOOKUP('Données projet'!$B$14,Paramètres!$A$1:$I$89,3,0)*0.475*44/12</f>
        <v>7.9520660486270565</v>
      </c>
      <c r="EC142" s="21">
        <f>EXP(-LN(2)/2)*EC141+(1-EXP(-LN(2)/2))/(LN(2)/2)*DW142*DZ142*VLOOKUP('Données projet'!$B$14,Paramètres!$A$1:$I$89,3,0)*0.475*44/12</f>
        <v>8.0602388745458213E-8</v>
      </c>
      <c r="ED142" s="22">
        <f t="shared" si="126"/>
        <v>20.804801654925775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45">
      <c r="A143" s="10">
        <f t="shared" si="139"/>
        <v>140</v>
      </c>
      <c r="B143" s="73">
        <f>'Scénario référence'!$B$16*5+'Scénario référence'!$B$17*0+'Scénario référence'!$B$18*5</f>
        <v>5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1">
        <f t="shared" si="140"/>
        <v>0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18.333333333333332</v>
      </c>
      <c r="H143" s="67">
        <f t="shared" si="110"/>
        <v>183.33333333333334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9.1440000000000055</v>
      </c>
      <c r="N143" s="13">
        <f>IF('Données projet'!$A$36&gt;35,N142+M143-V142,IF(A143&lt;'Données projet'!$A$36,$K$205^A143,IF(A143='Données projet'!$A$36,'Données projet'!$B$36,N142+M143-V142)))</f>
        <v>478.36400000000094</v>
      </c>
      <c r="O143" s="13">
        <f>N143*VLOOKUP('Données projet'!$B$9,Paramètres!$A$1:$I$89,3,0)*VLOOKUP('Données projet'!$B$9,Paramètres!$A$1:$I$89,5,0)</f>
        <v>432.82374720000081</v>
      </c>
      <c r="P143" s="13">
        <f t="shared" si="141"/>
        <v>98.400325655042849</v>
      </c>
      <c r="Q143" s="20">
        <f t="shared" si="108"/>
        <v>925.21526022253431</v>
      </c>
      <c r="R143" s="59">
        <f t="shared" si="109"/>
        <v>1210.6383481267587</v>
      </c>
      <c r="S143" s="59">
        <f ca="1">AVERAGE(OFFSET($R$3,0,0,'Données projet'!$E$9+1,1))-AVERAGE(OFFSET($H$3,0,0,'Données projet'!$E$9+1,1))</f>
        <v>681.47578137804555</v>
      </c>
      <c r="T143" s="59">
        <f t="shared" si="142"/>
        <v>300.88511065995885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39.733039797554845</v>
      </c>
      <c r="AA143" s="21">
        <f>EXP(-LN(2)/25)*AA142+(1-EXP(-LN(2)/25))/(LN(2)/25)*Calculateur!V143*Calculateur!X143*VLOOKUP('Données projet'!$B$9,Paramètres!$A$1:$I$89,3,0)*0.475*44/12</f>
        <v>20.126085786040782</v>
      </c>
      <c r="AB143" s="21">
        <f>EXP(-LN(2)/2)*AB142+(1-EXP(-LN(2)/2))/(LN(2)/2)*V143*Y143*VLOOKUP('Données projet'!$B$9,Paramètres!$A$1:$I$89,3,0)*0.475*44/12</f>
        <v>1.9945235693455597E-2</v>
      </c>
      <c r="AC143" s="22">
        <f t="shared" si="111"/>
        <v>59.879070819289083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3.4106051316484809E-13</v>
      </c>
      <c r="AJ143" s="13">
        <f>AI143*VLOOKUP('Données projet'!$B$10,Paramètres!$A$1:$I$89,3,0)*VLOOKUP('Données projet'!$B$10,Paramètres!$A$1:$I$89,5,0)</f>
        <v>1.5961632016114892E-13</v>
      </c>
      <c r="AK143" s="13">
        <f t="shared" si="143"/>
        <v>2.2708641912150958E-12</v>
      </c>
      <c r="AL143" s="20">
        <f t="shared" si="112"/>
        <v>4.2330868906469593E-12</v>
      </c>
      <c r="AM143" s="59">
        <f t="shared" si="113"/>
        <v>285.42308790422857</v>
      </c>
      <c r="AN143" s="59">
        <f ca="1">AVERAGE(OFFSET($AM$3,0,0,'Données projet'!$E$10+1,1))-AVERAGE(OFFSET($H$3,0,0,'Données projet'!$E$10+1,1))</f>
        <v>325.45940224919184</v>
      </c>
      <c r="AO143" s="59">
        <f t="shared" si="144"/>
        <v>256.30046621034876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71.019175808066407</v>
      </c>
      <c r="AV143" s="21">
        <f>EXP(-LN(2)/25)*AV142+(1-EXP(-LN(2)/25))/(LN(2)/25)*Calculateur!AQ143*Calculateur!AS143*VLOOKUP('Données projet'!$B$10,Paramètres!$A$1:$I$89,3,0)*0.475*44/12</f>
        <v>17.732294362338948</v>
      </c>
      <c r="AW143" s="21">
        <f>EXP(-LN(2)/2)*AW142+(1-EXP(-LN(2)/2))/(LN(2)/2)*AQ143*AT143*VLOOKUP('Données projet'!$B$10,Paramètres!$A$1:$I$89,3,0)*0.475*44/12</f>
        <v>6.7948324345501129E-4</v>
      </c>
      <c r="AX143" s="21">
        <f t="shared" si="114"/>
        <v>88.752149653648814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7.3375000000000012</v>
      </c>
      <c r="BD143" s="12">
        <f>IF('Données projet'!$A$88&gt;35,BD142+BC143-BL142,IF(A143&lt;'Données projet'!$A$88,$BA$205^A143,IF(A143='Données projet'!$A$88,'Données projet'!$B$88,BD142+BC143-BL142)))</f>
        <v>350.56999999999988</v>
      </c>
      <c r="BE143" s="13">
        <f>BD143*VLOOKUP('Données projet'!$B$11,Paramètres!$A$1:$I$89,3,0)*VLOOKUP('Données projet'!$B$11,Paramètres!$A$1:$I$89,5,0)</f>
        <v>355.47797999999989</v>
      </c>
      <c r="BF143" s="13">
        <f t="shared" si="145"/>
        <v>82.689462665419711</v>
      </c>
      <c r="BG143" s="20">
        <f t="shared" si="115"/>
        <v>763.14162930893906</v>
      </c>
      <c r="BH143" s="59">
        <f t="shared" si="116"/>
        <v>1048.5647172131635</v>
      </c>
      <c r="BI143" s="59">
        <f ca="1">AVERAGE(OFFSET($BH$3,0,0,'Données projet'!$E$11+1,1))-AVERAGE(OFFSET($H$3,0,0,'Données projet'!$E$11+1,1))</f>
        <v>580.02848304986492</v>
      </c>
      <c r="BJ143" s="59">
        <f t="shared" si="146"/>
        <v>281.68891895586728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24.892528184495504</v>
      </c>
      <c r="BQ143" s="21">
        <f>EXP(-LN(2)/25)*BQ142+(1-EXP(-LN(2)/25))/(LN(2)/25)*Calculateur!BL143*Calculateur!BN143*VLOOKUP('Données projet'!$B$11,Paramètres!$A$1:$I$89,3,0)*0.475*44/12</f>
        <v>19.257439841202849</v>
      </c>
      <c r="BR143" s="21">
        <f>EXP(-LN(2)/2)*BR142+(1-EXP(-LN(2)/2))/(LN(2)/2)*BL143*BO143*VLOOKUP('Données projet'!$B$11,Paramètres!$A$1:$I$89,3,0)*0.475*44/12</f>
        <v>0.30012948203617379</v>
      </c>
      <c r="BS143" s="22">
        <f t="shared" si="117"/>
        <v>44.450097507734533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>
        <f>BY143*VLOOKUP('Données projet'!$B$12,Paramètres!$A$1:$I$89,3,0)*VLOOKUP('Données projet'!$B$12,Paramètres!$A$1:$I$89,5,0)</f>
        <v>0</v>
      </c>
      <c r="CA143" s="13" t="e">
        <f t="shared" si="147"/>
        <v>#NUM!</v>
      </c>
      <c r="CB143" s="20" t="e">
        <f t="shared" si="118"/>
        <v>#NUM!</v>
      </c>
      <c r="CC143" s="59" t="e">
        <f t="shared" si="119"/>
        <v>#NUM!</v>
      </c>
      <c r="CD143" s="59">
        <f ca="1">AVERAGE(OFFSET($CC$3,0,0,'Données projet'!$E$12+1,1))-AVERAGE(OFFSET($H$3,0,0,'Données projet'!$E$12+1,1))</f>
        <v>439.15394290667945</v>
      </c>
      <c r="CE143" s="59">
        <f t="shared" si="148"/>
        <v>423.56554025351068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15.372855490147066</v>
      </c>
      <c r="CL143" s="21">
        <f>EXP(-LN(2)/25)*CL142+(1-EXP(-LN(2)/25))/(LN(2)/25)*Calculateur!CG143*Calculateur!CI143*VLOOKUP('Données projet'!$B$12,Paramètres!$A$1:$I$89,3,0)*0.475*44/12</f>
        <v>9.4362319889025752</v>
      </c>
      <c r="CM143" s="21">
        <f>EXP(-LN(2)/2)*CM142+(1-EXP(-LN(2)/2))/(LN(2)/2)*CG143*CJ143*VLOOKUP('Données projet'!$B$12,Paramètres!$A$1:$I$89,3,0)*0.475*44/12</f>
        <v>6.9533284707332123E-8</v>
      </c>
      <c r="CN143" s="22">
        <f t="shared" si="120"/>
        <v>24.809087548582927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>
        <f>CT143*VLOOKUP('Données projet'!$B$13,Paramètres!$A$1:$I$89,3,0)*VLOOKUP('Données projet'!$B$13,Paramètres!$A$1:$I$89,5,0)</f>
        <v>0</v>
      </c>
      <c r="CV143" s="13" t="e">
        <f t="shared" si="149"/>
        <v>#NUM!</v>
      </c>
      <c r="CW143" s="20" t="e">
        <f t="shared" si="121"/>
        <v>#NUM!</v>
      </c>
      <c r="CX143" s="59" t="e">
        <f t="shared" si="122"/>
        <v>#NUM!</v>
      </c>
      <c r="CY143" s="59">
        <f ca="1">AVERAGE(OFFSET($CX$3,0,0,'Données projet'!$E$13+1,1))-AVERAGE(OFFSET($H$3,0,0,'Données projet'!$E$13+1,1))</f>
        <v>408.246209980743</v>
      </c>
      <c r="CZ143" s="59">
        <f t="shared" si="150"/>
        <v>394.10236303013903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>
        <f>EXP(-LN(2)/35)*DF142+(1-EXP(-LN(2)/35))/(LN(2)/35)*DB143*DC143*VLOOKUP('Données projet'!$B$13,Paramètres!$A$1:$I$89,3,0)*0.475*44/12</f>
        <v>17.394828476842001</v>
      </c>
      <c r="DG143" s="21">
        <f>EXP(-LN(2)/25)*DG142+(1-EXP(-LN(2)/25))/(LN(2)/25)*Calculateur!DB143*Calculateur!DD143*VLOOKUP('Données projet'!$B$13,Paramètres!$A$1:$I$89,3,0)*0.475*44/12</f>
        <v>10.677368106390723</v>
      </c>
      <c r="DH143" s="21">
        <f>EXP(-LN(2)/2)*DH142+(1-EXP(-LN(2)/2))/(LN(2)/2)*DB143*DE143*VLOOKUP('Données projet'!$B$13,Paramètres!$A$1:$I$89,3,0)*0.475*44/12</f>
        <v>6.3833835141157377E-8</v>
      </c>
      <c r="DI143" s="22">
        <f t="shared" si="123"/>
        <v>28.072196647066558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>
        <f>DO143*VLOOKUP('Données projet'!$B$14,Paramètres!$A$1:$I$89,3,0)*VLOOKUP('Données projet'!$B$14,Paramètres!$A$1:$I$89,5,0)</f>
        <v>0</v>
      </c>
      <c r="DQ143" s="13" t="e">
        <f t="shared" si="151"/>
        <v>#NUM!</v>
      </c>
      <c r="DR143" s="20" t="e">
        <f t="shared" si="124"/>
        <v>#NUM!</v>
      </c>
      <c r="DS143" s="59" t="e">
        <f t="shared" si="125"/>
        <v>#NUM!</v>
      </c>
      <c r="DT143" s="59">
        <f ca="1">AVERAGE(OFFSET($DS$3,0,0,'Données projet'!$E$14+1,1))-AVERAGE(OFFSET($H$3,0,0,'Données projet'!$E$14+1,1))</f>
        <v>371.07993287480366</v>
      </c>
      <c r="DU143" s="59">
        <f t="shared" si="152"/>
        <v>358.67120540290637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>
        <f>EXP(-LN(2)/35)*EA142+(1-EXP(-LN(2)/35))/(LN(2)/35)*DW143*DX143*VLOOKUP('Données projet'!$B$14,Paramètres!$A$1:$I$89,3,0)*0.475*44/12</f>
        <v>12.600701221432022</v>
      </c>
      <c r="EB143" s="21">
        <f>EXP(-LN(2)/25)*EB142+(1-EXP(-LN(2)/25))/(LN(2)/25)*Calculateur!DW143*Calculateur!DY143*VLOOKUP('Données projet'!$B$14,Paramètres!$A$1:$I$89,3,0)*0.475*44/12</f>
        <v>7.7346163843463707</v>
      </c>
      <c r="EC143" s="21">
        <f>EXP(-LN(2)/2)*EC142+(1-EXP(-LN(2)/2))/(LN(2)/2)*DW143*DZ143*VLOOKUP('Données projet'!$B$14,Paramètres!$A$1:$I$89,3,0)*0.475*44/12</f>
        <v>5.6994495661747762E-8</v>
      </c>
      <c r="ED143" s="22">
        <f t="shared" si="126"/>
        <v>20.335317662772887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45">
      <c r="A144" s="10">
        <f t="shared" si="139"/>
        <v>141</v>
      </c>
      <c r="B144" s="73">
        <f>'Scénario référence'!$B$16*5+'Scénario référence'!$B$17*0+'Scénario référence'!$B$18*5</f>
        <v>5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1">
        <f t="shared" si="140"/>
        <v>0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18.333333333333332</v>
      </c>
      <c r="H144" s="67">
        <f t="shared" si="110"/>
        <v>183.33333333333334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9.1440000000000055</v>
      </c>
      <c r="N144" s="13">
        <f>IF('Données projet'!$A$36&gt;35,N143+M144-V143,IF(A144&lt;'Données projet'!$A$36,$K$205^A144,IF(A144='Données projet'!$A$36,'Données projet'!$B$36,N143+M144-V143)))</f>
        <v>487.50800000000095</v>
      </c>
      <c r="O144" s="13">
        <f>N144*VLOOKUP('Données projet'!$B$9,Paramètres!$A$1:$I$89,3,0)*VLOOKUP('Données projet'!$B$9,Paramètres!$A$1:$I$89,5,0)</f>
        <v>441.09723840000083</v>
      </c>
      <c r="P144" s="13">
        <f t="shared" si="141"/>
        <v>100.06048569250036</v>
      </c>
      <c r="Q144" s="20">
        <f t="shared" si="108"/>
        <v>942.51636946110614</v>
      </c>
      <c r="R144" s="59">
        <f t="shared" si="109"/>
        <v>1228.0766824388661</v>
      </c>
      <c r="S144" s="59">
        <f ca="1">AVERAGE(OFFSET($R$3,0,0,'Données projet'!$E$9+1,1))-AVERAGE(OFFSET($H$3,0,0,'Données projet'!$E$9+1,1))</f>
        <v>681.47578137804555</v>
      </c>
      <c r="T144" s="59">
        <f t="shared" si="142"/>
        <v>300.88511065995885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38.953899121886089</v>
      </c>
      <c r="AA144" s="21">
        <f>EXP(-LN(2)/25)*AA143+(1-EXP(-LN(2)/25))/(LN(2)/25)*Calculateur!V144*Calculateur!X144*VLOOKUP('Données projet'!$B$9,Paramètres!$A$1:$I$89,3,0)*0.475*44/12</f>
        <v>19.575736911836646</v>
      </c>
      <c r="AB144" s="21">
        <f>EXP(-LN(2)/2)*AB143+(1-EXP(-LN(2)/2))/(LN(2)/2)*V144*Y144*VLOOKUP('Données projet'!$B$9,Paramètres!$A$1:$I$89,3,0)*0.475*44/12</f>
        <v>1.4103411411206425E-2</v>
      </c>
      <c r="AC144" s="22">
        <f t="shared" si="111"/>
        <v>58.543739445133944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3.4106051316484809E-13</v>
      </c>
      <c r="AJ144" s="13">
        <f>AI144*VLOOKUP('Données projet'!$B$10,Paramètres!$A$1:$I$89,3,0)*VLOOKUP('Données projet'!$B$10,Paramètres!$A$1:$I$89,5,0)</f>
        <v>1.5961632016114892E-13</v>
      </c>
      <c r="AK144" s="13">
        <f t="shared" si="143"/>
        <v>2.2708641912150958E-12</v>
      </c>
      <c r="AL144" s="20">
        <f t="shared" si="112"/>
        <v>4.2330868906469593E-12</v>
      </c>
      <c r="AM144" s="59">
        <f t="shared" si="113"/>
        <v>285.56031297776423</v>
      </c>
      <c r="AN144" s="59">
        <f ca="1">AVERAGE(OFFSET($AM$3,0,0,'Données projet'!$E$10+1,1))-AVERAGE(OFFSET($H$3,0,0,'Données projet'!$E$10+1,1))</f>
        <v>325.45940224919184</v>
      </c>
      <c r="AO144" s="59">
        <f t="shared" si="144"/>
        <v>256.30046621034876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69.626533087890223</v>
      </c>
      <c r="AV144" s="21">
        <f>EXP(-LN(2)/25)*AV143+(1-EXP(-LN(2)/25))/(LN(2)/25)*Calculateur!AQ144*Calculateur!AS144*VLOOKUP('Données projet'!$B$10,Paramètres!$A$1:$I$89,3,0)*0.475*44/12</f>
        <v>17.247403840499956</v>
      </c>
      <c r="AW144" s="21">
        <f>EXP(-LN(2)/2)*AW143+(1-EXP(-LN(2)/2))/(LN(2)/2)*AQ144*AT144*VLOOKUP('Données projet'!$B$10,Paramètres!$A$1:$I$89,3,0)*0.475*44/12</f>
        <v>4.8046720914966828E-4</v>
      </c>
      <c r="AX144" s="21">
        <f t="shared" si="114"/>
        <v>86.874417395599323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7.3375000000000012</v>
      </c>
      <c r="BD144" s="12">
        <f>IF('Données projet'!$A$88&gt;35,BD143+BC144-BL143,IF(A144&lt;'Données projet'!$A$88,$BA$205^A144,IF(A144='Données projet'!$A$88,'Données projet'!$B$88,BD143+BC144-BL143)))</f>
        <v>357.90749999999986</v>
      </c>
      <c r="BE144" s="13">
        <f>BD144*VLOOKUP('Données projet'!$B$11,Paramètres!$A$1:$I$89,3,0)*VLOOKUP('Données projet'!$B$11,Paramètres!$A$1:$I$89,5,0)</f>
        <v>362.91820499999989</v>
      </c>
      <c r="BF144" s="13">
        <f t="shared" si="145"/>
        <v>84.216866829050204</v>
      </c>
      <c r="BG144" s="20">
        <f t="shared" si="115"/>
        <v>778.76025010226238</v>
      </c>
      <c r="BH144" s="59">
        <f t="shared" si="116"/>
        <v>1064.3205630800223</v>
      </c>
      <c r="BI144" s="59">
        <f ca="1">AVERAGE(OFFSET($BH$3,0,0,'Données projet'!$E$11+1,1))-AVERAGE(OFFSET($H$3,0,0,'Données projet'!$E$11+1,1))</f>
        <v>580.02848304986492</v>
      </c>
      <c r="BJ144" s="59">
        <f t="shared" si="146"/>
        <v>281.68891895586728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24.404400889740547</v>
      </c>
      <c r="BQ144" s="21">
        <f>EXP(-LN(2)/25)*BQ143+(1-EXP(-LN(2)/25))/(LN(2)/25)*Calculateur!BL144*Calculateur!BN144*VLOOKUP('Données projet'!$B$11,Paramètres!$A$1:$I$89,3,0)*0.475*44/12</f>
        <v>18.73084413604041</v>
      </c>
      <c r="BR144" s="21">
        <f>EXP(-LN(2)/2)*BR143+(1-EXP(-LN(2)/2))/(LN(2)/2)*BL144*BO144*VLOOKUP('Données projet'!$B$11,Paramètres!$A$1:$I$89,3,0)*0.475*44/12</f>
        <v>0.21222359198178459</v>
      </c>
      <c r="BS144" s="22">
        <f t="shared" si="117"/>
        <v>43.347468617762743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>
        <f>BY144*VLOOKUP('Données projet'!$B$12,Paramètres!$A$1:$I$89,3,0)*VLOOKUP('Données projet'!$B$12,Paramètres!$A$1:$I$89,5,0)</f>
        <v>0</v>
      </c>
      <c r="CA144" s="13" t="e">
        <f t="shared" si="147"/>
        <v>#NUM!</v>
      </c>
      <c r="CB144" s="20" t="e">
        <f t="shared" si="118"/>
        <v>#NUM!</v>
      </c>
      <c r="CC144" s="59" t="e">
        <f t="shared" si="119"/>
        <v>#NUM!</v>
      </c>
      <c r="CD144" s="59">
        <f ca="1">AVERAGE(OFFSET($CC$3,0,0,'Données projet'!$E$12+1,1))-AVERAGE(OFFSET($H$3,0,0,'Données projet'!$E$12+1,1))</f>
        <v>439.15394290667945</v>
      </c>
      <c r="CE144" s="59">
        <f t="shared" si="148"/>
        <v>423.56554025351068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15.071403170501277</v>
      </c>
      <c r="CL144" s="21">
        <f>EXP(-LN(2)/25)*CL143+(1-EXP(-LN(2)/25))/(LN(2)/25)*Calculateur!CG144*Calculateur!CI144*VLOOKUP('Données projet'!$B$12,Paramètres!$A$1:$I$89,3,0)*0.475*44/12</f>
        <v>9.1781977289361603</v>
      </c>
      <c r="CM144" s="21">
        <f>EXP(-LN(2)/2)*CM143+(1-EXP(-LN(2)/2))/(LN(2)/2)*CG144*CJ144*VLOOKUP('Données projet'!$B$12,Paramètres!$A$1:$I$89,3,0)*0.475*44/12</f>
        <v>4.9167457134729408E-8</v>
      </c>
      <c r="CN144" s="22">
        <f t="shared" si="120"/>
        <v>24.249600948604897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>
        <f>CT144*VLOOKUP('Données projet'!$B$13,Paramètres!$A$1:$I$89,3,0)*VLOOKUP('Données projet'!$B$13,Paramètres!$A$1:$I$89,5,0)</f>
        <v>0</v>
      </c>
      <c r="CV144" s="13" t="e">
        <f t="shared" si="149"/>
        <v>#NUM!</v>
      </c>
      <c r="CW144" s="20" t="e">
        <f t="shared" si="121"/>
        <v>#NUM!</v>
      </c>
      <c r="CX144" s="59" t="e">
        <f t="shared" si="122"/>
        <v>#NUM!</v>
      </c>
      <c r="CY144" s="59">
        <f ca="1">AVERAGE(OFFSET($CX$3,0,0,'Données projet'!$E$13+1,1))-AVERAGE(OFFSET($H$3,0,0,'Données projet'!$E$13+1,1))</f>
        <v>408.246209980743</v>
      </c>
      <c r="CZ144" s="59">
        <f t="shared" si="150"/>
        <v>394.10236303013903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>
        <f>EXP(-LN(2)/35)*DF143+(1-EXP(-LN(2)/35))/(LN(2)/35)*DB144*DC144*VLOOKUP('Données projet'!$B$13,Paramètres!$A$1:$I$89,3,0)*0.475*44/12</f>
        <v>17.053726500208871</v>
      </c>
      <c r="DG144" s="21">
        <f>EXP(-LN(2)/25)*DG143+(1-EXP(-LN(2)/25))/(LN(2)/25)*Calculateur!DB144*Calculateur!DD144*VLOOKUP('Données projet'!$B$13,Paramètres!$A$1:$I$89,3,0)*0.475*44/12</f>
        <v>10.385394914023085</v>
      </c>
      <c r="DH144" s="21">
        <f>EXP(-LN(2)/2)*DH143+(1-EXP(-LN(2)/2))/(LN(2)/2)*DB144*DE144*VLOOKUP('Données projet'!$B$13,Paramètres!$A$1:$I$89,3,0)*0.475*44/12</f>
        <v>4.5137337697456518E-8</v>
      </c>
      <c r="DI144" s="22">
        <f t="shared" si="123"/>
        <v>27.439121459369293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>
        <f>DO144*VLOOKUP('Données projet'!$B$14,Paramètres!$A$1:$I$89,3,0)*VLOOKUP('Données projet'!$B$14,Paramètres!$A$1:$I$89,5,0)</f>
        <v>0</v>
      </c>
      <c r="DQ144" s="13" t="e">
        <f t="shared" si="151"/>
        <v>#NUM!</v>
      </c>
      <c r="DR144" s="20" t="e">
        <f t="shared" si="124"/>
        <v>#NUM!</v>
      </c>
      <c r="DS144" s="59" t="e">
        <f t="shared" si="125"/>
        <v>#NUM!</v>
      </c>
      <c r="DT144" s="59">
        <f ca="1">AVERAGE(OFFSET($DS$3,0,0,'Données projet'!$E$14+1,1))-AVERAGE(OFFSET($H$3,0,0,'Données projet'!$E$14+1,1))</f>
        <v>371.07993287480366</v>
      </c>
      <c r="DU144" s="59">
        <f t="shared" si="152"/>
        <v>358.67120540290637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>
        <f>EXP(-LN(2)/35)*EA143+(1-EXP(-LN(2)/35))/(LN(2)/35)*DW144*DX144*VLOOKUP('Données projet'!$B$14,Paramètres!$A$1:$I$89,3,0)*0.475*44/12</f>
        <v>12.353609156148588</v>
      </c>
      <c r="EB144" s="21">
        <f>EXP(-LN(2)/25)*EB143+(1-EXP(-LN(2)/25))/(LN(2)/25)*Calculateur!DW144*Calculateur!DY144*VLOOKUP('Données projet'!$B$14,Paramètres!$A$1:$I$89,3,0)*0.475*44/12</f>
        <v>7.5231128925706212</v>
      </c>
      <c r="EC144" s="21">
        <f>EXP(-LN(2)/2)*EC143+(1-EXP(-LN(2)/2))/(LN(2)/2)*DW144*DZ144*VLOOKUP('Données projet'!$B$14,Paramètres!$A$1:$I$89,3,0)*0.475*44/12</f>
        <v>4.0301194372729106E-8</v>
      </c>
      <c r="ED144" s="22">
        <f t="shared" si="126"/>
        <v>19.876722089020404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45">
      <c r="A145" s="10">
        <f t="shared" si="139"/>
        <v>142</v>
      </c>
      <c r="B145" s="73">
        <f>'Scénario référence'!$B$16*5+'Scénario référence'!$B$17*0+'Scénario référence'!$B$18*5</f>
        <v>5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1">
        <f t="shared" si="140"/>
        <v>0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18.333333333333332</v>
      </c>
      <c r="H145" s="67">
        <f t="shared" si="110"/>
        <v>183.33333333333334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9.1440000000000055</v>
      </c>
      <c r="N145" s="13">
        <f>IF('Données projet'!$A$36&gt;35,N144+M145-V144,IF(A145&lt;'Données projet'!$A$36,$K$205^A145,IF(A145='Données projet'!$A$36,'Données projet'!$B$36,N144+M145-V144)))</f>
        <v>496.65200000000095</v>
      </c>
      <c r="O145" s="13">
        <f>N145*VLOOKUP('Données projet'!$B$9,Paramètres!$A$1:$I$89,3,0)*VLOOKUP('Données projet'!$B$9,Paramètres!$A$1:$I$89,5,0)</f>
        <v>449.37072960000086</v>
      </c>
      <c r="P145" s="13">
        <f t="shared" si="141"/>
        <v>101.71702488172154</v>
      </c>
      <c r="Q145" s="20">
        <f t="shared" si="108"/>
        <v>959.81117238899981</v>
      </c>
      <c r="R145" s="59">
        <f t="shared" si="109"/>
        <v>1245.5063298920588</v>
      </c>
      <c r="S145" s="59">
        <f ca="1">AVERAGE(OFFSET($R$3,0,0,'Données projet'!$E$9+1,1))-AVERAGE(OFFSET($H$3,0,0,'Données projet'!$E$9+1,1))</f>
        <v>681.47578137804555</v>
      </c>
      <c r="T145" s="59">
        <f t="shared" si="142"/>
        <v>300.88511065995885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38.19003691963831</v>
      </c>
      <c r="AA145" s="21">
        <f>EXP(-LN(2)/25)*AA144+(1-EXP(-LN(2)/25))/(LN(2)/25)*Calculateur!V145*Calculateur!X145*VLOOKUP('Données projet'!$B$9,Paramètres!$A$1:$I$89,3,0)*0.475*44/12</f>
        <v>19.040437356539211</v>
      </c>
      <c r="AB145" s="21">
        <f>EXP(-LN(2)/2)*AB144+(1-EXP(-LN(2)/2))/(LN(2)/2)*V145*Y145*VLOOKUP('Données projet'!$B$9,Paramètres!$A$1:$I$89,3,0)*0.475*44/12</f>
        <v>9.9726178467277986E-3</v>
      </c>
      <c r="AC145" s="22">
        <f t="shared" si="111"/>
        <v>57.240446894024245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3.4106051316484809E-13</v>
      </c>
      <c r="AJ145" s="13">
        <f>AI145*VLOOKUP('Données projet'!$B$10,Paramètres!$A$1:$I$89,3,0)*VLOOKUP('Données projet'!$B$10,Paramètres!$A$1:$I$89,5,0)</f>
        <v>1.5961632016114892E-13</v>
      </c>
      <c r="AK145" s="13">
        <f t="shared" si="143"/>
        <v>2.2708641912150958E-12</v>
      </c>
      <c r="AL145" s="20">
        <f t="shared" si="112"/>
        <v>4.2330868906469593E-12</v>
      </c>
      <c r="AM145" s="59">
        <f t="shared" si="113"/>
        <v>285.69515750306329</v>
      </c>
      <c r="AN145" s="59">
        <f ca="1">AVERAGE(OFFSET($AM$3,0,0,'Données projet'!$E$10+1,1))-AVERAGE(OFFSET($H$3,0,0,'Données projet'!$E$10+1,1))</f>
        <v>325.45940224919184</v>
      </c>
      <c r="AO145" s="59">
        <f t="shared" si="144"/>
        <v>256.30046621034876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68.261199242028511</v>
      </c>
      <c r="AV145" s="21">
        <f>EXP(-LN(2)/25)*AV144+(1-EXP(-LN(2)/25))/(LN(2)/25)*Calculateur!AQ145*Calculateur!AS145*VLOOKUP('Données projet'!$B$10,Paramètres!$A$1:$I$89,3,0)*0.475*44/12</f>
        <v>16.775772675479935</v>
      </c>
      <c r="AW145" s="21">
        <f>EXP(-LN(2)/2)*AW144+(1-EXP(-LN(2)/2))/(LN(2)/2)*AQ145*AT145*VLOOKUP('Données projet'!$B$10,Paramètres!$A$1:$I$89,3,0)*0.475*44/12</f>
        <v>3.397416217275057E-4</v>
      </c>
      <c r="AX145" s="21">
        <f t="shared" si="114"/>
        <v>85.037311659130182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7.3375000000000012</v>
      </c>
      <c r="BD145" s="12">
        <f>IF('Données projet'!$A$88&gt;35,BD144+BC145-BL144,IF(A145&lt;'Données projet'!$A$88,$BA$205^A145,IF(A145='Données projet'!$A$88,'Données projet'!$B$88,BD144+BC145-BL144)))</f>
        <v>365.24499999999983</v>
      </c>
      <c r="BE145" s="13">
        <f>BD145*VLOOKUP('Données projet'!$B$11,Paramètres!$A$1:$I$89,3,0)*VLOOKUP('Données projet'!$B$11,Paramètres!$A$1:$I$89,5,0)</f>
        <v>370.35842999999988</v>
      </c>
      <c r="BF145" s="13">
        <f t="shared" si="145"/>
        <v>85.740630179938449</v>
      </c>
      <c r="BG145" s="20">
        <f t="shared" si="115"/>
        <v>794.37252981339236</v>
      </c>
      <c r="BH145" s="59">
        <f t="shared" si="116"/>
        <v>1080.0676873164514</v>
      </c>
      <c r="BI145" s="59">
        <f ca="1">AVERAGE(OFFSET($BH$3,0,0,'Données projet'!$E$11+1,1))-AVERAGE(OFFSET($H$3,0,0,'Données projet'!$E$11+1,1))</f>
        <v>580.02848304986492</v>
      </c>
      <c r="BJ145" s="59">
        <f t="shared" si="146"/>
        <v>281.68891895586728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23.925845473507486</v>
      </c>
      <c r="BQ145" s="21">
        <f>EXP(-LN(2)/25)*BQ144+(1-EXP(-LN(2)/25))/(LN(2)/25)*Calculateur!BL145*Calculateur!BN145*VLOOKUP('Données projet'!$B$11,Paramètres!$A$1:$I$89,3,0)*0.475*44/12</f>
        <v>18.218648218128102</v>
      </c>
      <c r="BR145" s="21">
        <f>EXP(-LN(2)/2)*BR144+(1-EXP(-LN(2)/2))/(LN(2)/2)*BL145*BO145*VLOOKUP('Données projet'!$B$11,Paramètres!$A$1:$I$89,3,0)*0.475*44/12</f>
        <v>0.15006474101808689</v>
      </c>
      <c r="BS145" s="22">
        <f t="shared" si="117"/>
        <v>42.294558432653673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>
        <f>BY145*VLOOKUP('Données projet'!$B$12,Paramètres!$A$1:$I$89,3,0)*VLOOKUP('Données projet'!$B$12,Paramètres!$A$1:$I$89,5,0)</f>
        <v>0</v>
      </c>
      <c r="CA145" s="13" t="e">
        <f t="shared" si="147"/>
        <v>#NUM!</v>
      </c>
      <c r="CB145" s="20" t="e">
        <f t="shared" si="118"/>
        <v>#NUM!</v>
      </c>
      <c r="CC145" s="59" t="e">
        <f t="shared" si="119"/>
        <v>#NUM!</v>
      </c>
      <c r="CD145" s="59">
        <f ca="1">AVERAGE(OFFSET($CC$3,0,0,'Données projet'!$E$12+1,1))-AVERAGE(OFFSET($H$3,0,0,'Données projet'!$E$12+1,1))</f>
        <v>439.15394290667945</v>
      </c>
      <c r="CE145" s="59">
        <f t="shared" si="148"/>
        <v>423.56554025351068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14.775862146975982</v>
      </c>
      <c r="CL145" s="21">
        <f>EXP(-LN(2)/25)*CL144+(1-EXP(-LN(2)/25))/(LN(2)/25)*Calculateur!CG145*Calculateur!CI145*VLOOKUP('Données projet'!$B$12,Paramètres!$A$1:$I$89,3,0)*0.475*44/12</f>
        <v>8.9272194293779599</v>
      </c>
      <c r="CM145" s="21">
        <f>EXP(-LN(2)/2)*CM144+(1-EXP(-LN(2)/2))/(LN(2)/2)*CG145*CJ145*VLOOKUP('Données projet'!$B$12,Paramètres!$A$1:$I$89,3,0)*0.475*44/12</f>
        <v>3.4766642353666062E-8</v>
      </c>
      <c r="CN145" s="22">
        <f t="shared" si="120"/>
        <v>23.703081611120584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>
        <f>CT145*VLOOKUP('Données projet'!$B$13,Paramètres!$A$1:$I$89,3,0)*VLOOKUP('Données projet'!$B$13,Paramètres!$A$1:$I$89,5,0)</f>
        <v>0</v>
      </c>
      <c r="CV145" s="13" t="e">
        <f t="shared" si="149"/>
        <v>#NUM!</v>
      </c>
      <c r="CW145" s="20" t="e">
        <f t="shared" si="121"/>
        <v>#NUM!</v>
      </c>
      <c r="CX145" s="59" t="e">
        <f t="shared" si="122"/>
        <v>#NUM!</v>
      </c>
      <c r="CY145" s="59">
        <f ca="1">AVERAGE(OFFSET($CX$3,0,0,'Données projet'!$E$13+1,1))-AVERAGE(OFFSET($H$3,0,0,'Données projet'!$E$13+1,1))</f>
        <v>408.246209980743</v>
      </c>
      <c r="CZ145" s="59">
        <f t="shared" si="150"/>
        <v>394.10236303013903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>
        <f>EXP(-LN(2)/35)*DF144+(1-EXP(-LN(2)/35))/(LN(2)/35)*DB145*DC145*VLOOKUP('Données projet'!$B$13,Paramètres!$A$1:$I$89,3,0)*0.475*44/12</f>
        <v>16.719313325285853</v>
      </c>
      <c r="DG145" s="21">
        <f>EXP(-LN(2)/25)*DG144+(1-EXP(-LN(2)/25))/(LN(2)/25)*Calculateur!DB145*Calculateur!DD145*VLOOKUP('Données projet'!$B$13,Paramètres!$A$1:$I$89,3,0)*0.475*44/12</f>
        <v>10.10140574395494</v>
      </c>
      <c r="DH145" s="21">
        <f>EXP(-LN(2)/2)*DH144+(1-EXP(-LN(2)/2))/(LN(2)/2)*DB145*DE145*VLOOKUP('Données projet'!$B$13,Paramètres!$A$1:$I$89,3,0)*0.475*44/12</f>
        <v>3.1916917570578688E-8</v>
      </c>
      <c r="DI145" s="22">
        <f t="shared" si="123"/>
        <v>26.820719101157714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>
        <f>DO145*VLOOKUP('Données projet'!$B$14,Paramètres!$A$1:$I$89,3,0)*VLOOKUP('Données projet'!$B$14,Paramètres!$A$1:$I$89,5,0)</f>
        <v>0</v>
      </c>
      <c r="DQ145" s="13" t="e">
        <f t="shared" si="151"/>
        <v>#NUM!</v>
      </c>
      <c r="DR145" s="20" t="e">
        <f t="shared" si="124"/>
        <v>#NUM!</v>
      </c>
      <c r="DS145" s="59" t="e">
        <f t="shared" si="125"/>
        <v>#NUM!</v>
      </c>
      <c r="DT145" s="59">
        <f ca="1">AVERAGE(OFFSET($DS$3,0,0,'Données projet'!$E$14+1,1))-AVERAGE(OFFSET($H$3,0,0,'Données projet'!$E$14+1,1))</f>
        <v>371.07993287480366</v>
      </c>
      <c r="DU145" s="59">
        <f t="shared" si="152"/>
        <v>358.67120540290637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>
        <f>EXP(-LN(2)/35)*EA144+(1-EXP(-LN(2)/35))/(LN(2)/35)*DW145*DX145*VLOOKUP('Données projet'!$B$14,Paramètres!$A$1:$I$89,3,0)*0.475*44/12</f>
        <v>12.111362415554083</v>
      </c>
      <c r="EB145" s="21">
        <f>EXP(-LN(2)/25)*EB144+(1-EXP(-LN(2)/25))/(LN(2)/25)*Calculateur!DW145*Calculateur!DY145*VLOOKUP('Données projet'!$B$14,Paramètres!$A$1:$I$89,3,0)*0.475*44/12</f>
        <v>7.3173929748999651</v>
      </c>
      <c r="EC145" s="21">
        <f>EXP(-LN(2)/2)*EC144+(1-EXP(-LN(2)/2))/(LN(2)/2)*DW145*DZ145*VLOOKUP('Données projet'!$B$14,Paramètres!$A$1:$I$89,3,0)*0.475*44/12</f>
        <v>2.8497247830873881E-8</v>
      </c>
      <c r="ED145" s="22">
        <f t="shared" si="126"/>
        <v>19.428755418951297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45">
      <c r="A146" s="10">
        <f t="shared" si="139"/>
        <v>143</v>
      </c>
      <c r="B146" s="73">
        <f>'Scénario référence'!$B$16*5+'Scénario référence'!$B$17*0+'Scénario référence'!$B$18*5</f>
        <v>5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1">
        <f t="shared" si="140"/>
        <v>0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18.333333333333332</v>
      </c>
      <c r="H146" s="67">
        <f t="shared" si="110"/>
        <v>183.33333333333334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9.1440000000000055</v>
      </c>
      <c r="N146" s="13">
        <f>IF('Données projet'!$A$36&gt;35,N145+M146-V145,IF(A146&lt;'Données projet'!$A$36,$K$205^A146,IF(A146='Données projet'!$A$36,'Données projet'!$B$36,N145+M146-V145)))</f>
        <v>505.79600000000096</v>
      </c>
      <c r="O146" s="13">
        <f>N146*VLOOKUP('Données projet'!$B$9,Paramètres!$A$1:$I$89,3,0)*VLOOKUP('Données projet'!$B$9,Paramètres!$A$1:$I$89,5,0)</f>
        <v>457.64422080000088</v>
      </c>
      <c r="P146" s="13">
        <f t="shared" si="141"/>
        <v>103.37001757568726</v>
      </c>
      <c r="Q146" s="20">
        <f t="shared" si="108"/>
        <v>977.0997985043233</v>
      </c>
      <c r="R146" s="59">
        <f t="shared" si="109"/>
        <v>1262.9274612816348</v>
      </c>
      <c r="S146" s="59">
        <f ca="1">AVERAGE(OFFSET($R$3,0,0,'Données projet'!$E$9+1,1))-AVERAGE(OFFSET($H$3,0,0,'Données projet'!$E$9+1,1))</f>
        <v>681.47578137804555</v>
      </c>
      <c r="T146" s="59">
        <f t="shared" si="142"/>
        <v>300.88511065995885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37.441153589266669</v>
      </c>
      <c r="AA146" s="21">
        <f>EXP(-LN(2)/25)*AA145+(1-EXP(-LN(2)/25))/(LN(2)/25)*Calculateur!V146*Calculateur!X146*VLOOKUP('Données projet'!$B$9,Paramètres!$A$1:$I$89,3,0)*0.475*44/12</f>
        <v>18.519775595731563</v>
      </c>
      <c r="AB146" s="21">
        <f>EXP(-LN(2)/2)*AB145+(1-EXP(-LN(2)/2))/(LN(2)/2)*V146*Y146*VLOOKUP('Données projet'!$B$9,Paramètres!$A$1:$I$89,3,0)*0.475*44/12</f>
        <v>7.0517057056032123E-3</v>
      </c>
      <c r="AC146" s="22">
        <f t="shared" si="111"/>
        <v>55.967980890703842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3.4106051316484809E-13</v>
      </c>
      <c r="AJ146" s="13">
        <f>AI146*VLOOKUP('Données projet'!$B$10,Paramètres!$A$1:$I$89,3,0)*VLOOKUP('Données projet'!$B$10,Paramètres!$A$1:$I$89,5,0)</f>
        <v>1.5961632016114892E-13</v>
      </c>
      <c r="AK146" s="13">
        <f t="shared" si="143"/>
        <v>2.2708641912150958E-12</v>
      </c>
      <c r="AL146" s="20">
        <f t="shared" si="112"/>
        <v>4.2330868906469593E-12</v>
      </c>
      <c r="AM146" s="59">
        <f t="shared" si="113"/>
        <v>285.82766277731565</v>
      </c>
      <c r="AN146" s="59">
        <f ca="1">AVERAGE(OFFSET($AM$3,0,0,'Données projet'!$E$10+1,1))-AVERAGE(OFFSET($H$3,0,0,'Données projet'!$E$10+1,1))</f>
        <v>325.45940224919184</v>
      </c>
      <c r="AO146" s="59">
        <f t="shared" si="144"/>
        <v>256.30046621034876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66.922638760112733</v>
      </c>
      <c r="AV146" s="21">
        <f>EXP(-LN(2)/25)*AV145+(1-EXP(-LN(2)/25))/(LN(2)/25)*Calculateur!AQ146*Calculateur!AS146*VLOOKUP('Données projet'!$B$10,Paramètres!$A$1:$I$89,3,0)*0.475*44/12</f>
        <v>16.317038289469394</v>
      </c>
      <c r="AW146" s="21">
        <f>EXP(-LN(2)/2)*AW145+(1-EXP(-LN(2)/2))/(LN(2)/2)*AQ146*AT146*VLOOKUP('Données projet'!$B$10,Paramètres!$A$1:$I$89,3,0)*0.475*44/12</f>
        <v>2.4023360457483419E-4</v>
      </c>
      <c r="AX146" s="21">
        <f t="shared" si="114"/>
        <v>83.239917283186699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7.3375000000000012</v>
      </c>
      <c r="BD146" s="12">
        <f>IF('Données projet'!$A$88&gt;35,BD145+BC146-BL145,IF(A146&lt;'Données projet'!$A$88,$BA$205^A146,IF(A146='Données projet'!$A$88,'Données projet'!$B$88,BD145+BC146-BL145)))</f>
        <v>372.58249999999981</v>
      </c>
      <c r="BE146" s="13">
        <f>BD146*VLOOKUP('Données projet'!$B$11,Paramètres!$A$1:$I$89,3,0)*VLOOKUP('Données projet'!$B$11,Paramètres!$A$1:$I$89,5,0)</f>
        <v>377.79865499999983</v>
      </c>
      <c r="BF146" s="13">
        <f t="shared" si="145"/>
        <v>87.260834288615982</v>
      </c>
      <c r="BG146" s="20">
        <f t="shared" si="115"/>
        <v>809.97861051100574</v>
      </c>
      <c r="BH146" s="59">
        <f t="shared" si="116"/>
        <v>1095.8062732883172</v>
      </c>
      <c r="BI146" s="59">
        <f ca="1">AVERAGE(OFFSET($BH$3,0,0,'Données projet'!$E$11+1,1))-AVERAGE(OFFSET($H$3,0,0,'Données projet'!$E$11+1,1))</f>
        <v>580.02848304986492</v>
      </c>
      <c r="BJ146" s="59">
        <f t="shared" si="146"/>
        <v>281.68891895586728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23.456674237096774</v>
      </c>
      <c r="BQ146" s="21">
        <f>EXP(-LN(2)/25)*BQ145+(1-EXP(-LN(2)/25))/(LN(2)/25)*Calculateur!BL146*Calculateur!BN146*VLOOKUP('Données projet'!$B$11,Paramètres!$A$1:$I$89,3,0)*0.475*44/12</f>
        <v>17.720458324526319</v>
      </c>
      <c r="BR146" s="21">
        <f>EXP(-LN(2)/2)*BR145+(1-EXP(-LN(2)/2))/(LN(2)/2)*BL146*BO146*VLOOKUP('Données projet'!$B$11,Paramètres!$A$1:$I$89,3,0)*0.475*44/12</f>
        <v>0.10611179599089229</v>
      </c>
      <c r="BS146" s="22">
        <f t="shared" si="117"/>
        <v>41.283244357613988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>
        <f>BY146*VLOOKUP('Données projet'!$B$12,Paramètres!$A$1:$I$89,3,0)*VLOOKUP('Données projet'!$B$12,Paramètres!$A$1:$I$89,5,0)</f>
        <v>0</v>
      </c>
      <c r="CA146" s="13" t="e">
        <f t="shared" si="147"/>
        <v>#NUM!</v>
      </c>
      <c r="CB146" s="20" t="e">
        <f t="shared" si="118"/>
        <v>#NUM!</v>
      </c>
      <c r="CC146" s="59" t="e">
        <f t="shared" si="119"/>
        <v>#NUM!</v>
      </c>
      <c r="CD146" s="59">
        <f ca="1">AVERAGE(OFFSET($CC$3,0,0,'Données projet'!$E$12+1,1))-AVERAGE(OFFSET($H$3,0,0,'Données projet'!$E$12+1,1))</f>
        <v>439.15394290667945</v>
      </c>
      <c r="CE146" s="59">
        <f t="shared" si="148"/>
        <v>423.56554025351068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14.486116502659794</v>
      </c>
      <c r="CL146" s="21">
        <f>EXP(-LN(2)/25)*CL145+(1-EXP(-LN(2)/25))/(LN(2)/25)*Calculateur!CG146*Calculateur!CI146*VLOOKUP('Données projet'!$B$12,Paramètres!$A$1:$I$89,3,0)*0.475*44/12</f>
        <v>8.6831041446195538</v>
      </c>
      <c r="CM146" s="21">
        <f>EXP(-LN(2)/2)*CM145+(1-EXP(-LN(2)/2))/(LN(2)/2)*CG146*CJ146*VLOOKUP('Données projet'!$B$12,Paramètres!$A$1:$I$89,3,0)*0.475*44/12</f>
        <v>2.4583728567364704E-8</v>
      </c>
      <c r="CN146" s="22">
        <f t="shared" si="120"/>
        <v>23.169220671863073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>
        <f>CT146*VLOOKUP('Données projet'!$B$13,Paramètres!$A$1:$I$89,3,0)*VLOOKUP('Données projet'!$B$13,Paramètres!$A$1:$I$89,5,0)</f>
        <v>0</v>
      </c>
      <c r="CV146" s="13" t="e">
        <f t="shared" si="149"/>
        <v>#NUM!</v>
      </c>
      <c r="CW146" s="20" t="e">
        <f t="shared" si="121"/>
        <v>#NUM!</v>
      </c>
      <c r="CX146" s="59" t="e">
        <f t="shared" si="122"/>
        <v>#NUM!</v>
      </c>
      <c r="CY146" s="59">
        <f ca="1">AVERAGE(OFFSET($CX$3,0,0,'Données projet'!$E$13+1,1))-AVERAGE(OFFSET($H$3,0,0,'Données projet'!$E$13+1,1))</f>
        <v>408.246209980743</v>
      </c>
      <c r="CZ146" s="59">
        <f t="shared" si="150"/>
        <v>394.10236303013903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>
        <f>EXP(-LN(2)/35)*DF145+(1-EXP(-LN(2)/35))/(LN(2)/35)*DB146*DC146*VLOOKUP('Données projet'!$B$13,Paramètres!$A$1:$I$89,3,0)*0.475*44/12</f>
        <v>16.391457788751179</v>
      </c>
      <c r="DG146" s="21">
        <f>EXP(-LN(2)/25)*DG145+(1-EXP(-LN(2)/25))/(LN(2)/25)*Calculateur!DB146*Calculateur!DD146*VLOOKUP('Données projet'!$B$13,Paramètres!$A$1:$I$89,3,0)*0.475*44/12</f>
        <v>9.8251822726766509</v>
      </c>
      <c r="DH146" s="21">
        <f>EXP(-LN(2)/2)*DH145+(1-EXP(-LN(2)/2))/(LN(2)/2)*DB146*DE146*VLOOKUP('Données projet'!$B$13,Paramètres!$A$1:$I$89,3,0)*0.475*44/12</f>
        <v>2.2568668848728259E-8</v>
      </c>
      <c r="DI146" s="22">
        <f t="shared" si="123"/>
        <v>26.216640083996502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>
        <f>DO146*VLOOKUP('Données projet'!$B$14,Paramètres!$A$1:$I$89,3,0)*VLOOKUP('Données projet'!$B$14,Paramètres!$A$1:$I$89,5,0)</f>
        <v>0</v>
      </c>
      <c r="DQ146" s="13" t="e">
        <f t="shared" si="151"/>
        <v>#NUM!</v>
      </c>
      <c r="DR146" s="20" t="e">
        <f t="shared" si="124"/>
        <v>#NUM!</v>
      </c>
      <c r="DS146" s="59" t="e">
        <f t="shared" si="125"/>
        <v>#NUM!</v>
      </c>
      <c r="DT146" s="59">
        <f ca="1">AVERAGE(OFFSET($DS$3,0,0,'Données projet'!$E$14+1,1))-AVERAGE(OFFSET($H$3,0,0,'Données projet'!$E$14+1,1))</f>
        <v>371.07993287480366</v>
      </c>
      <c r="DU146" s="59">
        <f t="shared" si="152"/>
        <v>358.67120540290637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>
        <f>EXP(-LN(2)/35)*EA145+(1-EXP(-LN(2)/35))/(LN(2)/35)*DW146*DX146*VLOOKUP('Données projet'!$B$14,Paramètres!$A$1:$I$89,3,0)*0.475*44/12</f>
        <v>11.873865985786715</v>
      </c>
      <c r="EB146" s="21">
        <f>EXP(-LN(2)/25)*EB145+(1-EXP(-LN(2)/25))/(LN(2)/25)*Calculateur!DW146*Calculateur!DY146*VLOOKUP('Données projet'!$B$14,Paramètres!$A$1:$I$89,3,0)*0.475*44/12</f>
        <v>7.1172984791963527</v>
      </c>
      <c r="EC146" s="21">
        <f>EXP(-LN(2)/2)*EC145+(1-EXP(-LN(2)/2))/(LN(2)/2)*DW146*DZ146*VLOOKUP('Données projet'!$B$14,Paramètres!$A$1:$I$89,3,0)*0.475*44/12</f>
        <v>2.0150597186364553E-8</v>
      </c>
      <c r="ED146" s="22">
        <f t="shared" si="126"/>
        <v>18.991164485133666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45">
      <c r="A147" s="10">
        <f t="shared" si="139"/>
        <v>144</v>
      </c>
      <c r="B147" s="73">
        <f>'Scénario référence'!$B$16*5+'Scénario référence'!$B$17*0+'Scénario référence'!$B$18*5</f>
        <v>5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1">
        <f t="shared" si="140"/>
        <v>0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18.333333333333332</v>
      </c>
      <c r="H147" s="67">
        <f t="shared" si="110"/>
        <v>183.33333333333334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>
        <f>VLOOKUP(A147,'Données projet'!$A$35:$I$55,2,0)</f>
        <v>514.94000000000005</v>
      </c>
      <c r="L147" s="12">
        <f>VLOOKUP(A147,'Données projet'!$A$35:$I$55,9,0)</f>
        <v>9.1440000000000055</v>
      </c>
      <c r="M147" s="12">
        <f t="array" ref="M147">INDEX(L:L,MIN(IF(ISNUMBER(L147:L343),ROW(L147:L343),"")))</f>
        <v>9.1440000000000055</v>
      </c>
      <c r="N147" s="13">
        <f>IF('Données projet'!$A$36&gt;35,N146+M147-V146,IF(A147&lt;'Données projet'!$A$36,$K$205^A147,IF(A147='Données projet'!$A$36,'Données projet'!$B$36,N146+M147-V146)))</f>
        <v>514.94000000000096</v>
      </c>
      <c r="O147" s="13">
        <f>N147*VLOOKUP('Données projet'!$B$9,Paramètres!$A$1:$I$89,3,0)*VLOOKUP('Données projet'!$B$9,Paramètres!$A$1:$I$89,5,0)</f>
        <v>465.91771200000085</v>
      </c>
      <c r="P147" s="13">
        <f t="shared" si="141"/>
        <v>105.01953528507198</v>
      </c>
      <c r="Q147" s="20">
        <f t="shared" si="108"/>
        <v>994.38237235483496</v>
      </c>
      <c r="R147" s="59">
        <f t="shared" si="109"/>
        <v>1280.3402417361278</v>
      </c>
      <c r="S147" s="59">
        <f ca="1">AVERAGE(OFFSET($R$3,0,0,'Données projet'!$E$9+1,1))-AVERAGE(OFFSET($H$3,0,0,'Données projet'!$E$9+1,1))</f>
        <v>681.47578137804555</v>
      </c>
      <c r="T147" s="59">
        <f t="shared" si="142"/>
        <v>300.88511065995885</v>
      </c>
      <c r="U147" s="15">
        <f>IF(ISNA(VLOOKUP(A147,'Données projet'!$A$35:$I$55,3,0)),0,VLOOKUP(A147,'Données projet'!$A$35:$I$55,3,0))</f>
        <v>12</v>
      </c>
      <c r="V147" s="15">
        <f>IF(ISNA(VLOOKUP(A147,'Données projet'!$A$35:$I$55,4,0)),0,VLOOKUP(A147,'Données projet'!$A$35:$I$55,4,0))</f>
        <v>61.800000000000068</v>
      </c>
      <c r="W147" s="16">
        <f>IF(ISNA(VLOOKUP(A147,'Données projet'!$A$35:$I$55,5,0)),0%,VLOOKUP(A147,'Données projet'!$A$35:$I$55,5,0)*VLOOKUP('Données projet'!$B$9,Paramètres!$A$1:$I$89,7,0))</f>
        <v>0.215</v>
      </c>
      <c r="X147" s="16">
        <f>IF(ISNA(VLOOKUP(A147,'Données projet'!$A$35:$I$55,6,0)),0%,VLOOKUP(A147,'Données projet'!$A$35:$I$55,6,0)*VLOOKUP('Données projet'!$B$9,Paramètres!$A$1:$I$89,7,0))</f>
        <v>8.6000000000000007E-2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49.997006091476479</v>
      </c>
      <c r="AA147" s="21">
        <f>EXP(-LN(2)/25)*AA146+(1-EXP(-LN(2)/25))/(LN(2)/25)*Calculateur!V147*Calculateur!X147*VLOOKUP('Données projet'!$B$9,Paramètres!$A$1:$I$89,3,0)*0.475*44/12</f>
        <v>23.30844043566745</v>
      </c>
      <c r="AB147" s="21">
        <f>EXP(-LN(2)/2)*AB146+(1-EXP(-LN(2)/2))/(LN(2)/2)*V147*Y147*VLOOKUP('Données projet'!$B$9,Paramètres!$A$1:$I$89,3,0)*0.475*44/12</f>
        <v>4.9863089233638993E-3</v>
      </c>
      <c r="AC147" s="22">
        <f t="shared" si="111"/>
        <v>73.310432836067292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3.4106051316484809E-13</v>
      </c>
      <c r="AJ147" s="13">
        <f>AI147*VLOOKUP('Données projet'!$B$10,Paramètres!$A$1:$I$89,3,0)*VLOOKUP('Données projet'!$B$10,Paramètres!$A$1:$I$89,5,0)</f>
        <v>1.5961632016114892E-13</v>
      </c>
      <c r="AK147" s="13">
        <f t="shared" si="143"/>
        <v>2.2708641912150958E-12</v>
      </c>
      <c r="AL147" s="20">
        <f t="shared" si="112"/>
        <v>4.2330868906469593E-12</v>
      </c>
      <c r="AM147" s="59">
        <f t="shared" si="113"/>
        <v>285.95786938129709</v>
      </c>
      <c r="AN147" s="59">
        <f ca="1">AVERAGE(OFFSET($AM$3,0,0,'Données projet'!$E$10+1,1))-AVERAGE(OFFSET($H$3,0,0,'Données projet'!$E$10+1,1))</f>
        <v>325.45940224919184</v>
      </c>
      <c r="AO147" s="59">
        <f t="shared" si="144"/>
        <v>256.30046621034876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65.61032663280605</v>
      </c>
      <c r="AV147" s="21">
        <f>EXP(-LN(2)/25)*AV146+(1-EXP(-LN(2)/25))/(LN(2)/25)*Calculateur!AQ147*Calculateur!AS147*VLOOKUP('Données projet'!$B$10,Paramètres!$A$1:$I$89,3,0)*0.475*44/12</f>
        <v>15.870848019368104</v>
      </c>
      <c r="AW147" s="21">
        <f>EXP(-LN(2)/2)*AW146+(1-EXP(-LN(2)/2))/(LN(2)/2)*AQ147*AT147*VLOOKUP('Données projet'!$B$10,Paramètres!$A$1:$I$89,3,0)*0.475*44/12</f>
        <v>1.6987081086375288E-4</v>
      </c>
      <c r="AX147" s="21">
        <f t="shared" si="114"/>
        <v>81.481344522985026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>
        <f>VLOOKUP(A147,'Données projet'!$A$87:$I$107,2,0)</f>
        <v>379.92</v>
      </c>
      <c r="BB147" s="12">
        <f>VLOOKUP(A147,'Données projet'!$A$87:$I$107,9,0)</f>
        <v>7.3375000000000012</v>
      </c>
      <c r="BC147" s="12">
        <f t="array" ref="BC147">INDEX(BB:BB,MIN(IF(ISNUMBER(BB147:BB343),ROW(BB147:BB343),"")))</f>
        <v>7.3375000000000012</v>
      </c>
      <c r="BD147" s="12">
        <f>IF('Données projet'!$A$88&gt;35,BD146+BC147-BL146,IF(A147&lt;'Données projet'!$A$88,$BA$205^A147,IF(A147='Données projet'!$A$88,'Données projet'!$B$88,BD146+BC147-BL146)))</f>
        <v>379.91999999999979</v>
      </c>
      <c r="BE147" s="13">
        <f>BD147*VLOOKUP('Données projet'!$B$11,Paramètres!$A$1:$I$89,3,0)*VLOOKUP('Données projet'!$B$11,Paramètres!$A$1:$I$89,5,0)</f>
        <v>385.23887999999982</v>
      </c>
      <c r="BF147" s="13">
        <f t="shared" si="145"/>
        <v>88.777557329023793</v>
      </c>
      <c r="BG147" s="20">
        <f t="shared" si="115"/>
        <v>825.57862834804939</v>
      </c>
      <c r="BH147" s="59">
        <f t="shared" si="116"/>
        <v>1111.5364977293423</v>
      </c>
      <c r="BI147" s="59">
        <f ca="1">AVERAGE(OFFSET($BH$3,0,0,'Données projet'!$E$11+1,1))-AVERAGE(OFFSET($H$3,0,0,'Données projet'!$E$11+1,1))</f>
        <v>580.02848304986492</v>
      </c>
      <c r="BJ147" s="59">
        <f t="shared" si="146"/>
        <v>281.68891895586728</v>
      </c>
      <c r="BK147" s="15">
        <f>IF(ISNA(VLOOKUP(A147,'Données projet'!$A$87:$I$107,3,0)),0,VLOOKUP(A147,'Données projet'!$A$87:$I$107,3,0))</f>
        <v>10</v>
      </c>
      <c r="BL147" s="15">
        <f>IF(ISNA(VLOOKUP(A147,'Données projet'!$A$87:$I$107,4,0)),0,VLOOKUP(A147,'Données projet'!$A$87:$I$107,4,0))</f>
        <v>60.949999999999989</v>
      </c>
      <c r="BM147" s="16">
        <f>IF(ISNA(VLOOKUP(A147,'Données projet'!$A$87:$I$107,5,0)),0%,VLOOKUP(A147,'Données projet'!$A$87:$I$107,5,0)*VLOOKUP('Données projet'!$B$11,Paramètres!$A$1:$I$89,7,0))</f>
        <v>0.15049999999999999</v>
      </c>
      <c r="BN147" s="16">
        <f>IF(ISNA(VLOOKUP(A147,'Données projet'!$A$87:$I$107,6,0)),0%,VLOOKUP(A147,'Données projet'!$A$87:$I$107,6,0)*VLOOKUP('Données projet'!$B$11,Paramètres!$A$1:$I$89,7,0))</f>
        <v>8.6000000000000007E-2</v>
      </c>
      <c r="BO147" s="16">
        <f>IF(ISNA(VLOOKUP(A147,'Données projet'!$A$87:$I$107,7,0)),0%,VLOOKUP(A147,'Données projet'!$A$87:$I$107,7,0))</f>
        <v>0.1</v>
      </c>
      <c r="BP147" s="21">
        <f>EXP(-LN(2)/35)*BP146+(1-EXP(-LN(2)/35))/(LN(2)/35)*BL147*BM147*VLOOKUP('Données projet'!$B$11,Paramètres!$A$1:$I$89,3,0)*0.475*44/12</f>
        <v>33.279121647327884</v>
      </c>
      <c r="BQ147" s="21">
        <f>EXP(-LN(2)/25)*BQ146+(1-EXP(-LN(2)/25))/(LN(2)/25)*Calculateur!BL147*Calculateur!BN147*VLOOKUP('Données projet'!$B$11,Paramètres!$A$1:$I$89,3,0)*0.475*44/12</f>
        <v>23.088424422837178</v>
      </c>
      <c r="BR147" s="21">
        <f>EXP(-LN(2)/2)*BR146+(1-EXP(-LN(2)/2))/(LN(2)/2)*BL147*BO147*VLOOKUP('Données projet'!$B$11,Paramètres!$A$1:$I$89,3,0)*0.475*44/12</f>
        <v>5.9063400666521613</v>
      </c>
      <c r="BS147" s="22">
        <f t="shared" si="117"/>
        <v>62.273886136817225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>
        <f>BY147*VLOOKUP('Données projet'!$B$12,Paramètres!$A$1:$I$89,3,0)*VLOOKUP('Données projet'!$B$12,Paramètres!$A$1:$I$89,5,0)</f>
        <v>0</v>
      </c>
      <c r="CA147" s="13" t="e">
        <f t="shared" si="147"/>
        <v>#NUM!</v>
      </c>
      <c r="CB147" s="20" t="e">
        <f t="shared" si="118"/>
        <v>#NUM!</v>
      </c>
      <c r="CC147" s="59" t="e">
        <f t="shared" si="119"/>
        <v>#NUM!</v>
      </c>
      <c r="CD147" s="59">
        <f ca="1">AVERAGE(OFFSET($CC$3,0,0,'Données projet'!$E$12+1,1))-AVERAGE(OFFSET($H$3,0,0,'Données projet'!$E$12+1,1))</f>
        <v>439.15394290667945</v>
      </c>
      <c r="CE147" s="59">
        <f t="shared" si="148"/>
        <v>423.56554025351068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14.202052593701254</v>
      </c>
      <c r="CL147" s="21">
        <f>EXP(-LN(2)/25)*CL146+(1-EXP(-LN(2)/25))/(LN(2)/25)*Calculateur!CG147*Calculateur!CI147*VLOOKUP('Données projet'!$B$12,Paramètres!$A$1:$I$89,3,0)*0.475*44/12</f>
        <v>8.4456642051603303</v>
      </c>
      <c r="CM147" s="21">
        <f>EXP(-LN(2)/2)*CM146+(1-EXP(-LN(2)/2))/(LN(2)/2)*CG147*CJ147*VLOOKUP('Données projet'!$B$12,Paramètres!$A$1:$I$89,3,0)*0.475*44/12</f>
        <v>1.7383321176833031E-8</v>
      </c>
      <c r="CN147" s="22">
        <f t="shared" si="120"/>
        <v>22.647716816244905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>
        <f>CT147*VLOOKUP('Données projet'!$B$13,Paramètres!$A$1:$I$89,3,0)*VLOOKUP('Données projet'!$B$13,Paramètres!$A$1:$I$89,5,0)</f>
        <v>0</v>
      </c>
      <c r="CV147" s="13" t="e">
        <f t="shared" si="149"/>
        <v>#NUM!</v>
      </c>
      <c r="CW147" s="20" t="e">
        <f t="shared" si="121"/>
        <v>#NUM!</v>
      </c>
      <c r="CX147" s="59" t="e">
        <f t="shared" si="122"/>
        <v>#NUM!</v>
      </c>
      <c r="CY147" s="59">
        <f ca="1">AVERAGE(OFFSET($CX$3,0,0,'Données projet'!$E$13+1,1))-AVERAGE(OFFSET($H$3,0,0,'Données projet'!$E$13+1,1))</f>
        <v>408.246209980743</v>
      </c>
      <c r="CZ147" s="59">
        <f t="shared" si="150"/>
        <v>394.10236303013903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>
        <f>EXP(-LN(2)/35)*DF146+(1-EXP(-LN(2)/35))/(LN(2)/35)*DB147*DC147*VLOOKUP('Données projet'!$B$13,Paramètres!$A$1:$I$89,3,0)*0.475*44/12</f>
        <v>16.070031299315819</v>
      </c>
      <c r="DG147" s="21">
        <f>EXP(-LN(2)/25)*DG146+(1-EXP(-LN(2)/25))/(LN(2)/25)*Calculateur!DB147*Calculateur!DD147*VLOOKUP('Données projet'!$B$13,Paramètres!$A$1:$I$89,3,0)*0.475*44/12</f>
        <v>9.556512146746428</v>
      </c>
      <c r="DH147" s="21">
        <f>EXP(-LN(2)/2)*DH146+(1-EXP(-LN(2)/2))/(LN(2)/2)*DB147*DE147*VLOOKUP('Données projet'!$B$13,Paramètres!$A$1:$I$89,3,0)*0.475*44/12</f>
        <v>1.5958458785289344E-8</v>
      </c>
      <c r="DI147" s="22">
        <f t="shared" si="123"/>
        <v>25.626543462020706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>
        <f>DO147*VLOOKUP('Données projet'!$B$14,Paramètres!$A$1:$I$89,3,0)*VLOOKUP('Données projet'!$B$14,Paramètres!$A$1:$I$89,5,0)</f>
        <v>0</v>
      </c>
      <c r="DQ147" s="13" t="e">
        <f t="shared" si="151"/>
        <v>#NUM!</v>
      </c>
      <c r="DR147" s="20" t="e">
        <f t="shared" si="124"/>
        <v>#NUM!</v>
      </c>
      <c r="DS147" s="59" t="e">
        <f t="shared" si="125"/>
        <v>#NUM!</v>
      </c>
      <c r="DT147" s="59">
        <f ca="1">AVERAGE(OFFSET($DS$3,0,0,'Données projet'!$E$14+1,1))-AVERAGE(OFFSET($H$3,0,0,'Données projet'!$E$14+1,1))</f>
        <v>371.07993287480366</v>
      </c>
      <c r="DU147" s="59">
        <f t="shared" si="152"/>
        <v>358.67120540290637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>
        <f>EXP(-LN(2)/35)*EA146+(1-EXP(-LN(2)/35))/(LN(2)/35)*DW147*DX147*VLOOKUP('Données projet'!$B$14,Paramètres!$A$1:$I$89,3,0)*0.475*44/12</f>
        <v>11.641026716148566</v>
      </c>
      <c r="EB147" s="21">
        <f>EXP(-LN(2)/25)*EB146+(1-EXP(-LN(2)/25))/(LN(2)/25)*Calculateur!DW147*Calculateur!DY147*VLOOKUP('Données projet'!$B$14,Paramètres!$A$1:$I$89,3,0)*0.475*44/12</f>
        <v>6.922675578000268</v>
      </c>
      <c r="EC147" s="21">
        <f>EXP(-LN(2)/2)*EC146+(1-EXP(-LN(2)/2))/(LN(2)/2)*DW147*DZ147*VLOOKUP('Données projet'!$B$14,Paramètres!$A$1:$I$89,3,0)*0.475*44/12</f>
        <v>1.4248623915436941E-8</v>
      </c>
      <c r="ED147" s="22">
        <f t="shared" si="126"/>
        <v>18.563702308397456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45">
      <c r="A148" s="10">
        <f t="shared" si="139"/>
        <v>145</v>
      </c>
      <c r="B148" s="73">
        <f>'Scénario référence'!$B$16*5+'Scénario référence'!$B$17*0+'Scénario référence'!$B$18*5</f>
        <v>5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1">
        <f t="shared" si="140"/>
        <v>0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18.333333333333332</v>
      </c>
      <c r="H148" s="67">
        <f t="shared" si="110"/>
        <v>183.33333333333334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9.3350000000000026</v>
      </c>
      <c r="N148" s="13">
        <f>IF('Données projet'!$A$36&gt;35,N147+M148-V147,IF(A148&lt;'Données projet'!$A$36,$K$205^A148,IF(A148='Données projet'!$A$36,'Données projet'!$B$36,N147+M148-V147)))</f>
        <v>462.47500000000093</v>
      </c>
      <c r="O148" s="13">
        <f>N148*VLOOKUP('Données projet'!$B$9,Paramètres!$A$1:$I$89,3,0)*VLOOKUP('Données projet'!$B$9,Paramètres!$A$1:$I$89,5,0)</f>
        <v>418.44738000000081</v>
      </c>
      <c r="P148" s="13">
        <f t="shared" si="141"/>
        <v>95.506718301246906</v>
      </c>
      <c r="Q148" s="20">
        <f t="shared" si="108"/>
        <v>895.13672120800663</v>
      </c>
      <c r="R148" s="59">
        <f t="shared" si="109"/>
        <v>1181.2225383998002</v>
      </c>
      <c r="S148" s="59">
        <f ca="1">AVERAGE(OFFSET($R$3,0,0,'Données projet'!$E$9+1,1))-AVERAGE(OFFSET($H$3,0,0,'Données projet'!$E$9+1,1))</f>
        <v>681.47578137804555</v>
      </c>
      <c r="T148" s="59">
        <f t="shared" si="142"/>
        <v>300.88511065995885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49.016595297185191</v>
      </c>
      <c r="AA148" s="21">
        <f>EXP(-LN(2)/25)*AA147+(1-EXP(-LN(2)/25))/(LN(2)/25)*Calculateur!V148*Calculateur!X148*VLOOKUP('Données projet'!$B$9,Paramètres!$A$1:$I$89,3,0)*0.475*44/12</f>
        <v>22.671069906216513</v>
      </c>
      <c r="AB148" s="21">
        <f>EXP(-LN(2)/2)*AB147+(1-EXP(-LN(2)/2))/(LN(2)/2)*V148*Y148*VLOOKUP('Données projet'!$B$9,Paramètres!$A$1:$I$89,3,0)*0.475*44/12</f>
        <v>3.5258528528016061E-3</v>
      </c>
      <c r="AC148" s="22">
        <f t="shared" si="111"/>
        <v>71.69119105625451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3.4106051316484809E-13</v>
      </c>
      <c r="AJ148" s="13">
        <f>AI148*VLOOKUP('Données projet'!$B$10,Paramètres!$A$1:$I$89,3,0)*VLOOKUP('Données projet'!$B$10,Paramètres!$A$1:$I$89,5,0)</f>
        <v>1.5961632016114892E-13</v>
      </c>
      <c r="AK148" s="13">
        <f t="shared" si="143"/>
        <v>2.2708641912150958E-12</v>
      </c>
      <c r="AL148" s="20">
        <f t="shared" si="112"/>
        <v>4.2330868906469593E-12</v>
      </c>
      <c r="AM148" s="59">
        <f t="shared" si="113"/>
        <v>286.08581719179779</v>
      </c>
      <c r="AN148" s="59">
        <f ca="1">AVERAGE(OFFSET($AM$3,0,0,'Données projet'!$E$10+1,1))-AVERAGE(OFFSET($H$3,0,0,'Données projet'!$E$10+1,1))</f>
        <v>325.45940224919184</v>
      </c>
      <c r="AO148" s="59">
        <f t="shared" si="144"/>
        <v>256.30046621034876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64.32374814588448</v>
      </c>
      <c r="AV148" s="21">
        <f>EXP(-LN(2)/25)*AV147+(1-EXP(-LN(2)/25))/(LN(2)/25)*Calculateur!AQ148*Calculateur!AS148*VLOOKUP('Données projet'!$B$10,Paramètres!$A$1:$I$89,3,0)*0.475*44/12</f>
        <v>15.43685884566686</v>
      </c>
      <c r="AW148" s="21">
        <f>EXP(-LN(2)/2)*AW147+(1-EXP(-LN(2)/2))/(LN(2)/2)*AQ148*AT148*VLOOKUP('Données projet'!$B$10,Paramètres!$A$1:$I$89,3,0)*0.475*44/12</f>
        <v>1.2011680228741711E-4</v>
      </c>
      <c r="AX148" s="21">
        <f t="shared" si="114"/>
        <v>79.760727108353635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7.5191666666666634</v>
      </c>
      <c r="BD148" s="12">
        <f>IF('Données projet'!$A$88&gt;35,BD147+BC148-BL147,IF(A148&lt;'Données projet'!$A$88,$BA$205^A148,IF(A148='Données projet'!$A$88,'Données projet'!$B$88,BD147+BC148-BL147)))</f>
        <v>326.48916666666645</v>
      </c>
      <c r="BE148" s="13">
        <f>BD148*VLOOKUP('Données projet'!$B$11,Paramètres!$A$1:$I$89,3,0)*VLOOKUP('Données projet'!$B$11,Paramètres!$A$1:$I$89,5,0)</f>
        <v>331.06001499999979</v>
      </c>
      <c r="BF148" s="13">
        <f t="shared" si="145"/>
        <v>77.650034289681813</v>
      </c>
      <c r="BG148" s="20">
        <f t="shared" si="115"/>
        <v>711.83666917952871</v>
      </c>
      <c r="BH148" s="59">
        <f t="shared" si="116"/>
        <v>997.92248637132229</v>
      </c>
      <c r="BI148" s="59">
        <f ca="1">AVERAGE(OFFSET($BH$3,0,0,'Données projet'!$E$11+1,1))-AVERAGE(OFFSET($H$3,0,0,'Données projet'!$E$11+1,1))</f>
        <v>580.02848304986492</v>
      </c>
      <c r="BJ148" s="59">
        <f t="shared" si="146"/>
        <v>281.68891895586728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32.626538370083701</v>
      </c>
      <c r="BQ148" s="21">
        <f>EXP(-LN(2)/25)*BQ147+(1-EXP(-LN(2)/25))/(LN(2)/25)*Calculateur!BL148*Calculateur!BN148*VLOOKUP('Données projet'!$B$11,Paramètres!$A$1:$I$89,3,0)*0.475*44/12</f>
        <v>22.457070242827225</v>
      </c>
      <c r="BR148" s="21">
        <f>EXP(-LN(2)/2)*BR147+(1-EXP(-LN(2)/2))/(LN(2)/2)*BL148*BO148*VLOOKUP('Données projet'!$B$11,Paramètres!$A$1:$I$89,3,0)*0.475*44/12</f>
        <v>4.1764131131235489</v>
      </c>
      <c r="BS148" s="22">
        <f t="shared" si="117"/>
        <v>59.260021726034473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>
        <f>BY148*VLOOKUP('Données projet'!$B$12,Paramètres!$A$1:$I$89,3,0)*VLOOKUP('Données projet'!$B$12,Paramètres!$A$1:$I$89,5,0)</f>
        <v>0</v>
      </c>
      <c r="CA148" s="13" t="e">
        <f t="shared" si="147"/>
        <v>#NUM!</v>
      </c>
      <c r="CB148" s="20" t="e">
        <f t="shared" si="118"/>
        <v>#NUM!</v>
      </c>
      <c r="CC148" s="59" t="e">
        <f t="shared" si="119"/>
        <v>#NUM!</v>
      </c>
      <c r="CD148" s="59">
        <f ca="1">AVERAGE(OFFSET($CC$3,0,0,'Données projet'!$E$12+1,1))-AVERAGE(OFFSET($H$3,0,0,'Données projet'!$E$12+1,1))</f>
        <v>439.15394290667945</v>
      </c>
      <c r="CE148" s="59">
        <f t="shared" si="148"/>
        <v>423.56554025351068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13.923559004735514</v>
      </c>
      <c r="CL148" s="21">
        <f>EXP(-LN(2)/25)*CL147+(1-EXP(-LN(2)/25))/(LN(2)/25)*Calculateur!CG148*Calculateur!CI148*VLOOKUP('Données projet'!$B$12,Paramètres!$A$1:$I$89,3,0)*0.475*44/12</f>
        <v>8.2147170733320429</v>
      </c>
      <c r="CM148" s="21">
        <f>EXP(-LN(2)/2)*CM147+(1-EXP(-LN(2)/2))/(LN(2)/2)*CG148*CJ148*VLOOKUP('Données projet'!$B$12,Paramètres!$A$1:$I$89,3,0)*0.475*44/12</f>
        <v>1.2291864283682352E-8</v>
      </c>
      <c r="CN148" s="22">
        <f t="shared" si="120"/>
        <v>22.138276090359419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>
        <f>CT148*VLOOKUP('Données projet'!$B$13,Paramètres!$A$1:$I$89,3,0)*VLOOKUP('Données projet'!$B$13,Paramètres!$A$1:$I$89,5,0)</f>
        <v>0</v>
      </c>
      <c r="CV148" s="13" t="e">
        <f t="shared" si="149"/>
        <v>#NUM!</v>
      </c>
      <c r="CW148" s="20" t="e">
        <f t="shared" si="121"/>
        <v>#NUM!</v>
      </c>
      <c r="CX148" s="59" t="e">
        <f t="shared" si="122"/>
        <v>#NUM!</v>
      </c>
      <c r="CY148" s="59">
        <f ca="1">AVERAGE(OFFSET($CX$3,0,0,'Données projet'!$E$13+1,1))-AVERAGE(OFFSET($H$3,0,0,'Données projet'!$E$13+1,1))</f>
        <v>408.246209980743</v>
      </c>
      <c r="CZ148" s="59">
        <f t="shared" si="150"/>
        <v>394.10236303013903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>
        <f>EXP(-LN(2)/35)*DF147+(1-EXP(-LN(2)/35))/(LN(2)/35)*DB148*DC148*VLOOKUP('Données projet'!$B$13,Paramètres!$A$1:$I$89,3,0)*0.475*44/12</f>
        <v>15.754907787287486</v>
      </c>
      <c r="DG148" s="21">
        <f>EXP(-LN(2)/25)*DG147+(1-EXP(-LN(2)/25))/(LN(2)/25)*Calculateur!DB148*Calculateur!DD148*VLOOKUP('Données projet'!$B$13,Paramètres!$A$1:$I$89,3,0)*0.475*44/12</f>
        <v>9.2951888195385148</v>
      </c>
      <c r="DH148" s="21">
        <f>EXP(-LN(2)/2)*DH147+(1-EXP(-LN(2)/2))/(LN(2)/2)*DB148*DE148*VLOOKUP('Données projet'!$B$13,Paramètres!$A$1:$I$89,3,0)*0.475*44/12</f>
        <v>1.128433442436413E-8</v>
      </c>
      <c r="DI148" s="22">
        <f t="shared" si="123"/>
        <v>25.050096618110338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>
        <f>DO148*VLOOKUP('Données projet'!$B$14,Paramètres!$A$1:$I$89,3,0)*VLOOKUP('Données projet'!$B$14,Paramètres!$A$1:$I$89,5,0)</f>
        <v>0</v>
      </c>
      <c r="DQ148" s="13" t="e">
        <f t="shared" si="151"/>
        <v>#NUM!</v>
      </c>
      <c r="DR148" s="20" t="e">
        <f t="shared" si="124"/>
        <v>#NUM!</v>
      </c>
      <c r="DS148" s="59" t="e">
        <f t="shared" si="125"/>
        <v>#NUM!</v>
      </c>
      <c r="DT148" s="59">
        <f ca="1">AVERAGE(OFFSET($DS$3,0,0,'Données projet'!$E$14+1,1))-AVERAGE(OFFSET($H$3,0,0,'Données projet'!$E$14+1,1))</f>
        <v>371.07993287480366</v>
      </c>
      <c r="DU148" s="59">
        <f t="shared" si="152"/>
        <v>358.67120540290637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>
        <f>EXP(-LN(2)/35)*EA147+(1-EXP(-LN(2)/35))/(LN(2)/35)*DW148*DX148*VLOOKUP('Données projet'!$B$14,Paramètres!$A$1:$I$89,3,0)*0.475*44/12</f>
        <v>11.41275328257009</v>
      </c>
      <c r="EB148" s="21">
        <f>EXP(-LN(2)/25)*EB147+(1-EXP(-LN(2)/25))/(LN(2)/25)*Calculateur!DW148*Calculateur!DY148*VLOOKUP('Données projet'!$B$14,Paramètres!$A$1:$I$89,3,0)*0.475*44/12</f>
        <v>6.7333746502721636</v>
      </c>
      <c r="EC148" s="21">
        <f>EXP(-LN(2)/2)*EC147+(1-EXP(-LN(2)/2))/(LN(2)/2)*DW148*DZ148*VLOOKUP('Données projet'!$B$14,Paramètres!$A$1:$I$89,3,0)*0.475*44/12</f>
        <v>1.0075298593182277E-8</v>
      </c>
      <c r="ED148" s="22">
        <f t="shared" si="126"/>
        <v>18.146127942917552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45">
      <c r="A149" s="10">
        <f t="shared" si="139"/>
        <v>146</v>
      </c>
      <c r="B149" s="73">
        <f>'Scénario référence'!$B$16*5+'Scénario référence'!$B$17*0+'Scénario référence'!$B$18*5</f>
        <v>5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1">
        <f t="shared" si="140"/>
        <v>0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18.333333333333332</v>
      </c>
      <c r="H149" s="67">
        <f t="shared" si="110"/>
        <v>183.33333333333334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9.3350000000000026</v>
      </c>
      <c r="N149" s="13">
        <f>IF('Données projet'!$A$36&gt;35,N148+M149-V148,IF(A149&lt;'Données projet'!$A$36,$K$205^A149,IF(A149='Données projet'!$A$36,'Données projet'!$B$36,N148+M149-V148)))</f>
        <v>471.81000000000091</v>
      </c>
      <c r="O149" s="13">
        <f>N149*VLOOKUP('Données projet'!$B$9,Paramètres!$A$1:$I$89,3,0)*VLOOKUP('Données projet'!$B$9,Paramètres!$A$1:$I$89,5,0)</f>
        <v>426.89368800000079</v>
      </c>
      <c r="P149" s="13">
        <f t="shared" si="141"/>
        <v>97.208128358788159</v>
      </c>
      <c r="Q149" s="20">
        <f t="shared" si="108"/>
        <v>912.81066349155742</v>
      </c>
      <c r="R149" s="59">
        <f t="shared" si="109"/>
        <v>1199.022208885388</v>
      </c>
      <c r="S149" s="59">
        <f ca="1">AVERAGE(OFFSET($R$3,0,0,'Données projet'!$E$9+1,1))-AVERAGE(OFFSET($H$3,0,0,'Données projet'!$E$9+1,1))</f>
        <v>681.47578137804555</v>
      </c>
      <c r="T149" s="59">
        <f t="shared" si="142"/>
        <v>300.88511065995885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48.055409760578421</v>
      </c>
      <c r="AA149" s="21">
        <f>EXP(-LN(2)/25)*AA148+(1-EXP(-LN(2)/25))/(LN(2)/25)*Calculateur!V149*Calculateur!X149*VLOOKUP('Données projet'!$B$9,Paramètres!$A$1:$I$89,3,0)*0.475*44/12</f>
        <v>22.051128307411272</v>
      </c>
      <c r="AB149" s="21">
        <f>EXP(-LN(2)/2)*AB148+(1-EXP(-LN(2)/2))/(LN(2)/2)*V149*Y149*VLOOKUP('Données projet'!$B$9,Paramètres!$A$1:$I$89,3,0)*0.475*44/12</f>
        <v>2.4931544616819496E-3</v>
      </c>
      <c r="AC149" s="22">
        <f t="shared" si="111"/>
        <v>70.109031222451364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3.4106051316484809E-13</v>
      </c>
      <c r="AJ149" s="13">
        <f>AI149*VLOOKUP('Données projet'!$B$10,Paramètres!$A$1:$I$89,3,0)*VLOOKUP('Données projet'!$B$10,Paramètres!$A$1:$I$89,5,0)</f>
        <v>1.5961632016114892E-13</v>
      </c>
      <c r="AK149" s="13">
        <f t="shared" si="143"/>
        <v>2.2708641912150958E-12</v>
      </c>
      <c r="AL149" s="20">
        <f t="shared" si="112"/>
        <v>4.2330868906469593E-12</v>
      </c>
      <c r="AM149" s="59">
        <f t="shared" si="113"/>
        <v>286.21154539383485</v>
      </c>
      <c r="AN149" s="59">
        <f ca="1">AVERAGE(OFFSET($AM$3,0,0,'Données projet'!$E$10+1,1))-AVERAGE(OFFSET($H$3,0,0,'Données projet'!$E$10+1,1))</f>
        <v>325.45940224919184</v>
      </c>
      <c r="AO149" s="59">
        <f t="shared" si="144"/>
        <v>256.30046621034876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63.062398678356054</v>
      </c>
      <c r="AV149" s="21">
        <f>EXP(-LN(2)/25)*AV148+(1-EXP(-LN(2)/25))/(LN(2)/25)*Calculateur!AQ149*Calculateur!AS149*VLOOKUP('Données projet'!$B$10,Paramètres!$A$1:$I$89,3,0)*0.475*44/12</f>
        <v>15.014737128742974</v>
      </c>
      <c r="AW149" s="21">
        <f>EXP(-LN(2)/2)*AW148+(1-EXP(-LN(2)/2))/(LN(2)/2)*AQ149*AT149*VLOOKUP('Données projet'!$B$10,Paramètres!$A$1:$I$89,3,0)*0.475*44/12</f>
        <v>8.4935405431876452E-5</v>
      </c>
      <c r="AX149" s="21">
        <f t="shared" si="114"/>
        <v>78.077220742504451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7.5191666666666634</v>
      </c>
      <c r="BD149" s="12">
        <f>IF('Données projet'!$A$88&gt;35,BD148+BC149-BL148,IF(A149&lt;'Données projet'!$A$88,$BA$205^A149,IF(A149='Données projet'!$A$88,'Données projet'!$B$88,BD148+BC149-BL148)))</f>
        <v>334.0083333333331</v>
      </c>
      <c r="BE149" s="13">
        <f>BD149*VLOOKUP('Données projet'!$B$11,Paramètres!$A$1:$I$89,3,0)*VLOOKUP('Données projet'!$B$11,Paramètres!$A$1:$I$89,5,0)</f>
        <v>338.6844499999998</v>
      </c>
      <c r="BF149" s="13">
        <f t="shared" si="145"/>
        <v>79.228084167092831</v>
      </c>
      <c r="BG149" s="20">
        <f t="shared" si="115"/>
        <v>727.86433034101958</v>
      </c>
      <c r="BH149" s="59">
        <f t="shared" si="116"/>
        <v>1014.0758757348502</v>
      </c>
      <c r="BI149" s="59">
        <f ca="1">AVERAGE(OFFSET($BH$3,0,0,'Données projet'!$E$11+1,1))-AVERAGE(OFFSET($H$3,0,0,'Données projet'!$E$11+1,1))</f>
        <v>580.02848304986492</v>
      </c>
      <c r="BJ149" s="59">
        <f t="shared" si="146"/>
        <v>281.68891895586728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31.98675185286978</v>
      </c>
      <c r="BQ149" s="21">
        <f>EXP(-LN(2)/25)*BQ148+(1-EXP(-LN(2)/25))/(LN(2)/25)*Calculateur!BL149*Calculateur!BN149*VLOOKUP('Données projet'!$B$11,Paramètres!$A$1:$I$89,3,0)*0.475*44/12</f>
        <v>21.842980476071116</v>
      </c>
      <c r="BR149" s="21">
        <f>EXP(-LN(2)/2)*BR148+(1-EXP(-LN(2)/2))/(LN(2)/2)*BL149*BO149*VLOOKUP('Données projet'!$B$11,Paramètres!$A$1:$I$89,3,0)*0.475*44/12</f>
        <v>2.9531700333260811</v>
      </c>
      <c r="BS149" s="22">
        <f t="shared" si="117"/>
        <v>56.782902362266974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>
        <f>BY149*VLOOKUP('Données projet'!$B$12,Paramètres!$A$1:$I$89,3,0)*VLOOKUP('Données projet'!$B$12,Paramètres!$A$1:$I$89,5,0)</f>
        <v>0</v>
      </c>
      <c r="CA149" s="13" t="e">
        <f t="shared" si="147"/>
        <v>#NUM!</v>
      </c>
      <c r="CB149" s="20" t="e">
        <f t="shared" si="118"/>
        <v>#NUM!</v>
      </c>
      <c r="CC149" s="59" t="e">
        <f t="shared" si="119"/>
        <v>#NUM!</v>
      </c>
      <c r="CD149" s="59">
        <f ca="1">AVERAGE(OFFSET($CC$3,0,0,'Données projet'!$E$12+1,1))-AVERAGE(OFFSET($H$3,0,0,'Données projet'!$E$12+1,1))</f>
        <v>439.15394290667945</v>
      </c>
      <c r="CE149" s="59">
        <f t="shared" si="148"/>
        <v>423.56554025351068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13.650526505185075</v>
      </c>
      <c r="CL149" s="21">
        <f>EXP(-LN(2)/25)*CL148+(1-EXP(-LN(2)/25))/(LN(2)/25)*Calculateur!CG149*Calculateur!CI149*VLOOKUP('Données projet'!$B$12,Paramètres!$A$1:$I$89,3,0)*0.475*44/12</f>
        <v>7.990085202968582</v>
      </c>
      <c r="CM149" s="21">
        <f>EXP(-LN(2)/2)*CM148+(1-EXP(-LN(2)/2))/(LN(2)/2)*CG149*CJ149*VLOOKUP('Données projet'!$B$12,Paramètres!$A$1:$I$89,3,0)*0.475*44/12</f>
        <v>8.6916605884165154E-9</v>
      </c>
      <c r="CN149" s="22">
        <f t="shared" si="120"/>
        <v>21.640611716845317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>
        <f>CT149*VLOOKUP('Données projet'!$B$13,Paramètres!$A$1:$I$89,3,0)*VLOOKUP('Données projet'!$B$13,Paramètres!$A$1:$I$89,5,0)</f>
        <v>0</v>
      </c>
      <c r="CV149" s="13" t="e">
        <f t="shared" si="149"/>
        <v>#NUM!</v>
      </c>
      <c r="CW149" s="20" t="e">
        <f t="shared" si="121"/>
        <v>#NUM!</v>
      </c>
      <c r="CX149" s="59" t="e">
        <f t="shared" si="122"/>
        <v>#NUM!</v>
      </c>
      <c r="CY149" s="59">
        <f ca="1">AVERAGE(OFFSET($CX$3,0,0,'Données projet'!$E$13+1,1))-AVERAGE(OFFSET($H$3,0,0,'Données projet'!$E$13+1,1))</f>
        <v>408.246209980743</v>
      </c>
      <c r="CZ149" s="59">
        <f t="shared" si="150"/>
        <v>394.10236303013903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>
        <f>EXP(-LN(2)/35)*DF148+(1-EXP(-LN(2)/35))/(LN(2)/35)*DB149*DC149*VLOOKUP('Données projet'!$B$13,Paramètres!$A$1:$I$89,3,0)*0.475*44/12</f>
        <v>15.445963655123665</v>
      </c>
      <c r="DG149" s="21">
        <f>EXP(-LN(2)/25)*DG148+(1-EXP(-LN(2)/25))/(LN(2)/25)*Calculateur!DB149*Calculateur!DD149*VLOOKUP('Données projet'!$B$13,Paramètres!$A$1:$I$89,3,0)*0.475*44/12</f>
        <v>9.0410113924554985</v>
      </c>
      <c r="DH149" s="21">
        <f>EXP(-LN(2)/2)*DH148+(1-EXP(-LN(2)/2))/(LN(2)/2)*DB149*DE149*VLOOKUP('Données projet'!$B$13,Paramètres!$A$1:$I$89,3,0)*0.475*44/12</f>
        <v>7.9792293926446721E-9</v>
      </c>
      <c r="DI149" s="22">
        <f t="shared" si="123"/>
        <v>24.486975055558393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>
        <f>DO149*VLOOKUP('Données projet'!$B$14,Paramètres!$A$1:$I$89,3,0)*VLOOKUP('Données projet'!$B$14,Paramètres!$A$1:$I$89,5,0)</f>
        <v>0</v>
      </c>
      <c r="DQ149" s="13" t="e">
        <f t="shared" si="151"/>
        <v>#NUM!</v>
      </c>
      <c r="DR149" s="20" t="e">
        <f t="shared" si="124"/>
        <v>#NUM!</v>
      </c>
      <c r="DS149" s="59" t="e">
        <f t="shared" si="125"/>
        <v>#NUM!</v>
      </c>
      <c r="DT149" s="59">
        <f ca="1">AVERAGE(OFFSET($DS$3,0,0,'Données projet'!$E$14+1,1))-AVERAGE(OFFSET($H$3,0,0,'Données projet'!$E$14+1,1))</f>
        <v>371.07993287480366</v>
      </c>
      <c r="DU149" s="59">
        <f t="shared" si="152"/>
        <v>358.67120540290637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>
        <f>EXP(-LN(2)/35)*EA148+(1-EXP(-LN(2)/35))/(LN(2)/35)*DW149*DX149*VLOOKUP('Données projet'!$B$14,Paramètres!$A$1:$I$89,3,0)*0.475*44/12</f>
        <v>11.188956151791043</v>
      </c>
      <c r="EB149" s="21">
        <f>EXP(-LN(2)/25)*EB148+(1-EXP(-LN(2)/25))/(LN(2)/25)*Calculateur!DW149*Calculateur!DY149*VLOOKUP('Données projet'!$B$14,Paramètres!$A$1:$I$89,3,0)*0.475*44/12</f>
        <v>6.5492501663676874</v>
      </c>
      <c r="EC149" s="21">
        <f>EXP(-LN(2)/2)*EC148+(1-EXP(-LN(2)/2))/(LN(2)/2)*DW149*DZ149*VLOOKUP('Données projet'!$B$14,Paramètres!$A$1:$I$89,3,0)*0.475*44/12</f>
        <v>7.1243119577184703E-9</v>
      </c>
      <c r="ED149" s="22">
        <f t="shared" si="126"/>
        <v>17.738206325283045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45">
      <c r="A150" s="10">
        <f t="shared" si="139"/>
        <v>147</v>
      </c>
      <c r="B150" s="73">
        <f>'Scénario référence'!$B$16*5+'Scénario référence'!$B$17*0+'Scénario référence'!$B$18*5</f>
        <v>5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1">
        <f t="shared" si="140"/>
        <v>0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18.333333333333332</v>
      </c>
      <c r="H150" s="67">
        <f t="shared" si="110"/>
        <v>183.33333333333334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9.3350000000000026</v>
      </c>
      <c r="N150" s="13">
        <f>IF('Données projet'!$A$36&gt;35,N149+M150-V149,IF(A150&lt;'Données projet'!$A$36,$K$205^A150,IF(A150='Données projet'!$A$36,'Données projet'!$B$36,N149+M150-V149)))</f>
        <v>481.14500000000089</v>
      </c>
      <c r="O150" s="13">
        <f>N150*VLOOKUP('Données projet'!$B$9,Paramètres!$A$1:$I$89,3,0)*VLOOKUP('Données projet'!$B$9,Paramètres!$A$1:$I$89,5,0)</f>
        <v>435.33999600000078</v>
      </c>
      <c r="P150" s="13">
        <f t="shared" si="141"/>
        <v>98.905624251508897</v>
      </c>
      <c r="Q150" s="20">
        <f t="shared" si="108"/>
        <v>930.4777886047126</v>
      </c>
      <c r="R150" s="59">
        <f t="shared" si="109"/>
        <v>1216.812881097361</v>
      </c>
      <c r="S150" s="59">
        <f ca="1">AVERAGE(OFFSET($R$3,0,0,'Données projet'!$E$9+1,1))-AVERAGE(OFFSET($H$3,0,0,'Données projet'!$E$9+1,1))</f>
        <v>681.47578137804555</v>
      </c>
      <c r="T150" s="59">
        <f t="shared" si="142"/>
        <v>300.88511065995885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47.113072486079218</v>
      </c>
      <c r="AA150" s="21">
        <f>EXP(-LN(2)/25)*AA149+(1-EXP(-LN(2)/25))/(LN(2)/25)*Calculateur!V150*Calculateur!X150*VLOOKUP('Données projet'!$B$9,Paramètres!$A$1:$I$89,3,0)*0.475*44/12</f>
        <v>21.448139044226672</v>
      </c>
      <c r="AB150" s="21">
        <f>EXP(-LN(2)/2)*AB149+(1-EXP(-LN(2)/2))/(LN(2)/2)*V150*Y150*VLOOKUP('Données projet'!$B$9,Paramètres!$A$1:$I$89,3,0)*0.475*44/12</f>
        <v>1.7629264264008031E-3</v>
      </c>
      <c r="AC150" s="22">
        <f t="shared" si="111"/>
        <v>68.562974456732277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3.4106051316484809E-13</v>
      </c>
      <c r="AJ150" s="13">
        <f>AI150*VLOOKUP('Données projet'!$B$10,Paramètres!$A$1:$I$89,3,0)*VLOOKUP('Données projet'!$B$10,Paramètres!$A$1:$I$89,5,0)</f>
        <v>1.5961632016114892E-13</v>
      </c>
      <c r="AK150" s="13">
        <f t="shared" si="143"/>
        <v>2.2708641912150958E-12</v>
      </c>
      <c r="AL150" s="20">
        <f t="shared" si="112"/>
        <v>4.2330868906469593E-12</v>
      </c>
      <c r="AM150" s="59">
        <f t="shared" si="113"/>
        <v>286.33509249265262</v>
      </c>
      <c r="AN150" s="59">
        <f ca="1">AVERAGE(OFFSET($AM$3,0,0,'Données projet'!$E$10+1,1))-AVERAGE(OFFSET($H$3,0,0,'Données projet'!$E$10+1,1))</f>
        <v>325.45940224919184</v>
      </c>
      <c r="AO150" s="59">
        <f t="shared" si="144"/>
        <v>256.30046621034876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61.825783504538656</v>
      </c>
      <c r="AV150" s="21">
        <f>EXP(-LN(2)/25)*AV149+(1-EXP(-LN(2)/25))/(LN(2)/25)*Calculateur!AQ150*Calculateur!AS150*VLOOKUP('Données projet'!$B$10,Paramètres!$A$1:$I$89,3,0)*0.475*44/12</f>
        <v>14.604158352366788</v>
      </c>
      <c r="AW150" s="21">
        <f>EXP(-LN(2)/2)*AW149+(1-EXP(-LN(2)/2))/(LN(2)/2)*AQ150*AT150*VLOOKUP('Données projet'!$B$10,Paramètres!$A$1:$I$89,3,0)*0.475*44/12</f>
        <v>6.0058401143708569E-5</v>
      </c>
      <c r="AX150" s="21">
        <f t="shared" si="114"/>
        <v>76.43000191530659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7.5191666666666634</v>
      </c>
      <c r="BD150" s="12">
        <f>IF('Données projet'!$A$88&gt;35,BD149+BC150-BL149,IF(A150&lt;'Données projet'!$A$88,$BA$205^A150,IF(A150='Données projet'!$A$88,'Données projet'!$B$88,BD149+BC150-BL149)))</f>
        <v>341.52749999999975</v>
      </c>
      <c r="BE150" s="13">
        <f>BD150*VLOOKUP('Données projet'!$B$11,Paramètres!$A$1:$I$89,3,0)*VLOOKUP('Données projet'!$B$11,Paramètres!$A$1:$I$89,5,0)</f>
        <v>346.3088849999998</v>
      </c>
      <c r="BF150" s="13">
        <f t="shared" si="145"/>
        <v>80.802003987912002</v>
      </c>
      <c r="BG150" s="20">
        <f t="shared" si="115"/>
        <v>743.88479832061319</v>
      </c>
      <c r="BH150" s="59">
        <f t="shared" si="116"/>
        <v>1030.2198908132616</v>
      </c>
      <c r="BI150" s="59">
        <f ca="1">AVERAGE(OFFSET($BH$3,0,0,'Données projet'!$E$11+1,1))-AVERAGE(OFFSET($H$3,0,0,'Données projet'!$E$11+1,1))</f>
        <v>580.02848304986492</v>
      </c>
      <c r="BJ150" s="59">
        <f t="shared" si="146"/>
        <v>281.68891895586728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31.359511159027182</v>
      </c>
      <c r="BQ150" s="21">
        <f>EXP(-LN(2)/25)*BQ149+(1-EXP(-LN(2)/25))/(LN(2)/25)*Calculateur!BL150*Calculateur!BN150*VLOOKUP('Données projet'!$B$11,Paramètres!$A$1:$I$89,3,0)*0.475*44/12</f>
        <v>21.245683026280531</v>
      </c>
      <c r="BR150" s="21">
        <f>EXP(-LN(2)/2)*BR149+(1-EXP(-LN(2)/2))/(LN(2)/2)*BL150*BO150*VLOOKUP('Données projet'!$B$11,Paramètres!$A$1:$I$89,3,0)*0.475*44/12</f>
        <v>2.0882065565617745</v>
      </c>
      <c r="BS150" s="22">
        <f t="shared" si="117"/>
        <v>54.693400741869482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>
        <f>BY150*VLOOKUP('Données projet'!$B$12,Paramètres!$A$1:$I$89,3,0)*VLOOKUP('Données projet'!$B$12,Paramètres!$A$1:$I$89,5,0)</f>
        <v>0</v>
      </c>
      <c r="CA150" s="13" t="e">
        <f t="shared" si="147"/>
        <v>#NUM!</v>
      </c>
      <c r="CB150" s="20" t="e">
        <f t="shared" si="118"/>
        <v>#NUM!</v>
      </c>
      <c r="CC150" s="59" t="e">
        <f t="shared" si="119"/>
        <v>#NUM!</v>
      </c>
      <c r="CD150" s="59">
        <f ca="1">AVERAGE(OFFSET($CC$3,0,0,'Données projet'!$E$12+1,1))-AVERAGE(OFFSET($H$3,0,0,'Données projet'!$E$12+1,1))</f>
        <v>439.15394290667945</v>
      </c>
      <c r="CE150" s="59">
        <f t="shared" si="148"/>
        <v>423.56554025351068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13.38284800641744</v>
      </c>
      <c r="CL150" s="21">
        <f>EXP(-LN(2)/25)*CL149+(1-EXP(-LN(2)/25))/(LN(2)/25)*Calculateur!CG150*Calculateur!CI150*VLOOKUP('Données projet'!$B$12,Paramètres!$A$1:$I$89,3,0)*0.475*44/12</f>
        <v>7.771595902913087</v>
      </c>
      <c r="CM150" s="21">
        <f>EXP(-LN(2)/2)*CM149+(1-EXP(-LN(2)/2))/(LN(2)/2)*CG150*CJ150*VLOOKUP('Données projet'!$B$12,Paramètres!$A$1:$I$89,3,0)*0.475*44/12</f>
        <v>6.1459321418411759E-9</v>
      </c>
      <c r="CN150" s="22">
        <f t="shared" si="120"/>
        <v>21.15444391547646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>
        <f>CT150*VLOOKUP('Données projet'!$B$13,Paramètres!$A$1:$I$89,3,0)*VLOOKUP('Données projet'!$B$13,Paramètres!$A$1:$I$89,5,0)</f>
        <v>0</v>
      </c>
      <c r="CV150" s="13" t="e">
        <f t="shared" si="149"/>
        <v>#NUM!</v>
      </c>
      <c r="CW150" s="20" t="e">
        <f t="shared" si="121"/>
        <v>#NUM!</v>
      </c>
      <c r="CX150" s="59" t="e">
        <f t="shared" si="122"/>
        <v>#NUM!</v>
      </c>
      <c r="CY150" s="59">
        <f ca="1">AVERAGE(OFFSET($CX$3,0,0,'Données projet'!$E$13+1,1))-AVERAGE(OFFSET($H$3,0,0,'Données projet'!$E$13+1,1))</f>
        <v>408.246209980743</v>
      </c>
      <c r="CZ150" s="59">
        <f t="shared" si="150"/>
        <v>394.10236303013903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>
        <f>EXP(-LN(2)/35)*DF149+(1-EXP(-LN(2)/35))/(LN(2)/35)*DB150*DC150*VLOOKUP('Données projet'!$B$13,Paramètres!$A$1:$I$89,3,0)*0.475*44/12</f>
        <v>15.143077728954262</v>
      </c>
      <c r="DG150" s="21">
        <f>EXP(-LN(2)/25)*DG149+(1-EXP(-LN(2)/25))/(LN(2)/25)*Calculateur!DB150*Calculateur!DD150*VLOOKUP('Données projet'!$B$13,Paramètres!$A$1:$I$89,3,0)*0.475*44/12</f>
        <v>8.7937844604826765</v>
      </c>
      <c r="DH150" s="21">
        <f>EXP(-LN(2)/2)*DH149+(1-EXP(-LN(2)/2))/(LN(2)/2)*DB150*DE150*VLOOKUP('Données projet'!$B$13,Paramètres!$A$1:$I$89,3,0)*0.475*44/12</f>
        <v>5.6421672121820648E-9</v>
      </c>
      <c r="DI150" s="22">
        <f t="shared" si="123"/>
        <v>23.936862195079105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>
        <f>DO150*VLOOKUP('Données projet'!$B$14,Paramètres!$A$1:$I$89,3,0)*VLOOKUP('Données projet'!$B$14,Paramètres!$A$1:$I$89,5,0)</f>
        <v>0</v>
      </c>
      <c r="DQ150" s="13" t="e">
        <f t="shared" si="151"/>
        <v>#NUM!</v>
      </c>
      <c r="DR150" s="20" t="e">
        <f t="shared" si="124"/>
        <v>#NUM!</v>
      </c>
      <c r="DS150" s="59" t="e">
        <f t="shared" si="125"/>
        <v>#NUM!</v>
      </c>
      <c r="DT150" s="59">
        <f ca="1">AVERAGE(OFFSET($DS$3,0,0,'Données projet'!$E$14+1,1))-AVERAGE(OFFSET($H$3,0,0,'Données projet'!$E$14+1,1))</f>
        <v>371.07993287480366</v>
      </c>
      <c r="DU150" s="59">
        <f t="shared" si="152"/>
        <v>358.67120540290637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>
        <f>EXP(-LN(2)/35)*EA149+(1-EXP(-LN(2)/35))/(LN(2)/35)*DW150*DX150*VLOOKUP('Données projet'!$B$14,Paramètres!$A$1:$I$89,3,0)*0.475*44/12</f>
        <v>10.969547546243801</v>
      </c>
      <c r="EB150" s="21">
        <f>EXP(-LN(2)/25)*EB149+(1-EXP(-LN(2)/25))/(LN(2)/25)*Calculateur!DW150*Calculateur!DY150*VLOOKUP('Données projet'!$B$14,Paramètres!$A$1:$I$89,3,0)*0.475*44/12</f>
        <v>6.3701605761582654</v>
      </c>
      <c r="EC150" s="21">
        <f>EXP(-LN(2)/2)*EC149+(1-EXP(-LN(2)/2))/(LN(2)/2)*DW150*DZ150*VLOOKUP('Données projet'!$B$14,Paramètres!$A$1:$I$89,3,0)*0.475*44/12</f>
        <v>5.0376492965911383E-9</v>
      </c>
      <c r="ED150" s="22">
        <f t="shared" si="126"/>
        <v>17.339708127439714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45">
      <c r="A151" s="10">
        <f t="shared" si="139"/>
        <v>148</v>
      </c>
      <c r="B151" s="73">
        <f>'Scénario référence'!$B$16*5+'Scénario référence'!$B$17*0+'Scénario référence'!$B$18*5</f>
        <v>5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1">
        <f t="shared" si="140"/>
        <v>0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18.333333333333332</v>
      </c>
      <c r="H151" s="67">
        <f t="shared" si="110"/>
        <v>183.33333333333334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9.3350000000000026</v>
      </c>
      <c r="N151" s="13">
        <f>IF('Données projet'!$A$36&gt;35,N150+M151-V150,IF(A151&lt;'Données projet'!$A$36,$K$205^A151,IF(A151='Données projet'!$A$36,'Données projet'!$B$36,N150+M151-V150)))</f>
        <v>490.48000000000087</v>
      </c>
      <c r="O151" s="13">
        <f>N151*VLOOKUP('Données projet'!$B$9,Paramètres!$A$1:$I$89,3,0)*VLOOKUP('Données projet'!$B$9,Paramètres!$A$1:$I$89,5,0)</f>
        <v>443.78630400000077</v>
      </c>
      <c r="P151" s="13">
        <f t="shared" si="141"/>
        <v>100.59929067522565</v>
      </c>
      <c r="Q151" s="20">
        <f t="shared" si="108"/>
        <v>948.13824405935259</v>
      </c>
      <c r="R151" s="59">
        <f t="shared" si="109"/>
        <v>1234.5947403848643</v>
      </c>
      <c r="S151" s="59">
        <f ca="1">AVERAGE(OFFSET($R$3,0,0,'Données projet'!$E$9+1,1))-AVERAGE(OFFSET($H$3,0,0,'Données projet'!$E$9+1,1))</f>
        <v>681.47578137804555</v>
      </c>
      <c r="T151" s="59">
        <f t="shared" si="142"/>
        <v>300.88511065995885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46.189213870763965</v>
      </c>
      <c r="AA151" s="21">
        <f>EXP(-LN(2)/25)*AA150+(1-EXP(-LN(2)/25))/(LN(2)/25)*Calculateur!V151*Calculateur!X151*VLOOKUP('Données projet'!$B$9,Paramètres!$A$1:$I$89,3,0)*0.475*44/12</f>
        <v>20.861638554153682</v>
      </c>
      <c r="AB151" s="21">
        <f>EXP(-LN(2)/2)*AB150+(1-EXP(-LN(2)/2))/(LN(2)/2)*V151*Y151*VLOOKUP('Données projet'!$B$9,Paramètres!$A$1:$I$89,3,0)*0.475*44/12</f>
        <v>1.2465772308409748E-3</v>
      </c>
      <c r="AC151" s="22">
        <f t="shared" si="111"/>
        <v>67.052099002148495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3.4106051316484809E-13</v>
      </c>
      <c r="AJ151" s="13">
        <f>AI151*VLOOKUP('Données projet'!$B$10,Paramètres!$A$1:$I$89,3,0)*VLOOKUP('Données projet'!$B$10,Paramètres!$A$1:$I$89,5,0)</f>
        <v>1.5961632016114892E-13</v>
      </c>
      <c r="AK151" s="13">
        <f t="shared" si="143"/>
        <v>2.2708641912150958E-12</v>
      </c>
      <c r="AL151" s="20">
        <f t="shared" si="112"/>
        <v>4.2330868906469593E-12</v>
      </c>
      <c r="AM151" s="59">
        <f t="shared" si="113"/>
        <v>286.4564963255159</v>
      </c>
      <c r="AN151" s="59">
        <f ca="1">AVERAGE(OFFSET($AM$3,0,0,'Données projet'!$E$10+1,1))-AVERAGE(OFFSET($H$3,0,0,'Données projet'!$E$10+1,1))</f>
        <v>325.45940224919184</v>
      </c>
      <c r="AO151" s="59">
        <f t="shared" si="144"/>
        <v>256.30046621034876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60.613417600019034</v>
      </c>
      <c r="AV151" s="21">
        <f>EXP(-LN(2)/25)*AV150+(1-EXP(-LN(2)/25))/(LN(2)/25)*Calculateur!AQ151*Calculateur!AS151*VLOOKUP('Données projet'!$B$10,Paramètres!$A$1:$I$89,3,0)*0.475*44/12</f>
        <v>14.204806874222008</v>
      </c>
      <c r="AW151" s="21">
        <f>EXP(-LN(2)/2)*AW150+(1-EXP(-LN(2)/2))/(LN(2)/2)*AQ151*AT151*VLOOKUP('Données projet'!$B$10,Paramètres!$A$1:$I$89,3,0)*0.475*44/12</f>
        <v>4.2467702715938233E-5</v>
      </c>
      <c r="AX151" s="21">
        <f t="shared" si="114"/>
        <v>74.818266941943762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7.5191666666666634</v>
      </c>
      <c r="BD151" s="12">
        <f>IF('Données projet'!$A$88&gt;35,BD150+BC151-BL150,IF(A151&lt;'Données projet'!$A$88,$BA$205^A151,IF(A151='Données projet'!$A$88,'Données projet'!$B$88,BD150+BC151-BL150)))</f>
        <v>349.0466666666664</v>
      </c>
      <c r="BE151" s="13">
        <f>BD151*VLOOKUP('Données projet'!$B$11,Paramètres!$A$1:$I$89,3,0)*VLOOKUP('Données projet'!$B$11,Paramètres!$A$1:$I$89,5,0)</f>
        <v>353.93331999999975</v>
      </c>
      <c r="BF151" s="13">
        <f t="shared" si="145"/>
        <v>82.371895151305182</v>
      </c>
      <c r="BG151" s="20">
        <f t="shared" si="115"/>
        <v>759.89824972185613</v>
      </c>
      <c r="BH151" s="59">
        <f t="shared" si="116"/>
        <v>1046.3547460473678</v>
      </c>
      <c r="BI151" s="59">
        <f ca="1">AVERAGE(OFFSET($BH$3,0,0,'Données projet'!$E$11+1,1))-AVERAGE(OFFSET($H$3,0,0,'Données projet'!$E$11+1,1))</f>
        <v>580.02848304986492</v>
      </c>
      <c r="BJ151" s="59">
        <f t="shared" si="146"/>
        <v>281.68891895586728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30.744570272611792</v>
      </c>
      <c r="BQ151" s="21">
        <f>EXP(-LN(2)/25)*BQ150+(1-EXP(-LN(2)/25))/(LN(2)/25)*Calculateur!BL151*Calculateur!BN151*VLOOKUP('Données projet'!$B$11,Paramètres!$A$1:$I$89,3,0)*0.475*44/12</f>
        <v>20.664718706664978</v>
      </c>
      <c r="BR151" s="21">
        <f>EXP(-LN(2)/2)*BR150+(1-EXP(-LN(2)/2))/(LN(2)/2)*BL151*BO151*VLOOKUP('Données projet'!$B$11,Paramètres!$A$1:$I$89,3,0)*0.475*44/12</f>
        <v>1.4765850166630405</v>
      </c>
      <c r="BS151" s="22">
        <f t="shared" si="117"/>
        <v>52.885873995939804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>
        <f>BY151*VLOOKUP('Données projet'!$B$12,Paramètres!$A$1:$I$89,3,0)*VLOOKUP('Données projet'!$B$12,Paramètres!$A$1:$I$89,5,0)</f>
        <v>0</v>
      </c>
      <c r="CA151" s="13" t="e">
        <f t="shared" si="147"/>
        <v>#NUM!</v>
      </c>
      <c r="CB151" s="20" t="e">
        <f t="shared" si="118"/>
        <v>#NUM!</v>
      </c>
      <c r="CC151" s="59" t="e">
        <f t="shared" si="119"/>
        <v>#NUM!</v>
      </c>
      <c r="CD151" s="59">
        <f ca="1">AVERAGE(OFFSET($CC$3,0,0,'Données projet'!$E$12+1,1))-AVERAGE(OFFSET($H$3,0,0,'Données projet'!$E$12+1,1))</f>
        <v>439.15394290667945</v>
      </c>
      <c r="CE151" s="59">
        <f t="shared" si="148"/>
        <v>423.56554025351068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13.120418519742875</v>
      </c>
      <c r="CL151" s="21">
        <f>EXP(-LN(2)/25)*CL150+(1-EXP(-LN(2)/25))/(LN(2)/25)*Calculateur!CG151*Calculateur!CI151*VLOOKUP('Données projet'!$B$12,Paramètres!$A$1:$I$89,3,0)*0.475*44/12</f>
        <v>7.5590812042574624</v>
      </c>
      <c r="CM151" s="21">
        <f>EXP(-LN(2)/2)*CM150+(1-EXP(-LN(2)/2))/(LN(2)/2)*CG151*CJ151*VLOOKUP('Données projet'!$B$12,Paramètres!$A$1:$I$89,3,0)*0.475*44/12</f>
        <v>4.3458302942082577E-9</v>
      </c>
      <c r="CN151" s="22">
        <f t="shared" si="120"/>
        <v>20.679499728346165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>
        <f>CT151*VLOOKUP('Données projet'!$B$13,Paramètres!$A$1:$I$89,3,0)*VLOOKUP('Données projet'!$B$13,Paramètres!$A$1:$I$89,5,0)</f>
        <v>0</v>
      </c>
      <c r="CV151" s="13" t="e">
        <f t="shared" si="149"/>
        <v>#NUM!</v>
      </c>
      <c r="CW151" s="20" t="e">
        <f t="shared" si="121"/>
        <v>#NUM!</v>
      </c>
      <c r="CX151" s="59" t="e">
        <f t="shared" si="122"/>
        <v>#NUM!</v>
      </c>
      <c r="CY151" s="59">
        <f ca="1">AVERAGE(OFFSET($CX$3,0,0,'Données projet'!$E$13+1,1))-AVERAGE(OFFSET($H$3,0,0,'Données projet'!$E$13+1,1))</f>
        <v>408.246209980743</v>
      </c>
      <c r="CZ151" s="59">
        <f t="shared" si="150"/>
        <v>394.10236303013903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>
        <f>EXP(-LN(2)/35)*DF150+(1-EXP(-LN(2)/35))/(LN(2)/35)*DB151*DC151*VLOOKUP('Données projet'!$B$13,Paramètres!$A$1:$I$89,3,0)*0.475*44/12</f>
        <v>14.846131211054868</v>
      </c>
      <c r="DG151" s="21">
        <f>EXP(-LN(2)/25)*DG150+(1-EXP(-LN(2)/25))/(LN(2)/25)*Calculateur!DB151*Calculateur!DD151*VLOOKUP('Données projet'!$B$13,Paramètres!$A$1:$I$89,3,0)*0.475*44/12</f>
        <v>8.5533179619657513</v>
      </c>
      <c r="DH151" s="21">
        <f>EXP(-LN(2)/2)*DH150+(1-EXP(-LN(2)/2))/(LN(2)/2)*DB151*DE151*VLOOKUP('Données projet'!$B$13,Paramètres!$A$1:$I$89,3,0)*0.475*44/12</f>
        <v>3.9896146963223361E-9</v>
      </c>
      <c r="DI151" s="22">
        <f t="shared" si="123"/>
        <v>23.399449177010236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>
        <f>DO151*VLOOKUP('Données projet'!$B$14,Paramètres!$A$1:$I$89,3,0)*VLOOKUP('Données projet'!$B$14,Paramètres!$A$1:$I$89,5,0)</f>
        <v>0</v>
      </c>
      <c r="DQ151" s="13" t="e">
        <f t="shared" si="151"/>
        <v>#NUM!</v>
      </c>
      <c r="DR151" s="20" t="e">
        <f t="shared" si="124"/>
        <v>#NUM!</v>
      </c>
      <c r="DS151" s="59" t="e">
        <f t="shared" si="125"/>
        <v>#NUM!</v>
      </c>
      <c r="DT151" s="59">
        <f ca="1">AVERAGE(OFFSET($DS$3,0,0,'Données projet'!$E$14+1,1))-AVERAGE(OFFSET($H$3,0,0,'Données projet'!$E$14+1,1))</f>
        <v>371.07993287480366</v>
      </c>
      <c r="DU151" s="59">
        <f t="shared" si="152"/>
        <v>358.67120540290637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>
        <f>EXP(-LN(2)/35)*EA150+(1-EXP(-LN(2)/35))/(LN(2)/35)*DW151*DX151*VLOOKUP('Données projet'!$B$14,Paramètres!$A$1:$I$89,3,0)*0.475*44/12</f>
        <v>10.754441409625304</v>
      </c>
      <c r="EB151" s="21">
        <f>EXP(-LN(2)/25)*EB150+(1-EXP(-LN(2)/25))/(LN(2)/25)*Calculateur!DW151*Calculateur!DY151*VLOOKUP('Données projet'!$B$14,Paramètres!$A$1:$I$89,3,0)*0.475*44/12</f>
        <v>6.1959682002110323</v>
      </c>
      <c r="EC151" s="21">
        <f>EXP(-LN(2)/2)*EC150+(1-EXP(-LN(2)/2))/(LN(2)/2)*DW151*DZ151*VLOOKUP('Données projet'!$B$14,Paramètres!$A$1:$I$89,3,0)*0.475*44/12</f>
        <v>3.5621559788592351E-9</v>
      </c>
      <c r="ED151" s="22">
        <f t="shared" si="126"/>
        <v>16.950409613398492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45">
      <c r="A152" s="10">
        <f t="shared" si="139"/>
        <v>149</v>
      </c>
      <c r="B152" s="73">
        <f>'Scénario référence'!$B$16*5+'Scénario référence'!$B$17*0+'Scénario référence'!$B$18*5</f>
        <v>5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1">
        <f t="shared" si="140"/>
        <v>0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18.333333333333332</v>
      </c>
      <c r="H152" s="67">
        <f t="shared" si="110"/>
        <v>183.33333333333334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9.3350000000000026</v>
      </c>
      <c r="N152" s="13">
        <f>IF('Données projet'!$A$36&gt;35,N151+M152-V151,IF(A152&lt;'Données projet'!$A$36,$K$205^A152,IF(A152='Données projet'!$A$36,'Données projet'!$B$36,N151+M152-V151)))</f>
        <v>499.81500000000085</v>
      </c>
      <c r="O152" s="13">
        <f>N152*VLOOKUP('Données projet'!$B$9,Paramètres!$A$1:$I$89,3,0)*VLOOKUP('Données projet'!$B$9,Paramètres!$A$1:$I$89,5,0)</f>
        <v>452.2326120000007</v>
      </c>
      <c r="P152" s="13">
        <f t="shared" si="141"/>
        <v>102.28920891735658</v>
      </c>
      <c r="Q152" s="20">
        <f t="shared" si="108"/>
        <v>965.79217143106382</v>
      </c>
      <c r="R152" s="59">
        <f t="shared" si="109"/>
        <v>1252.367965504357</v>
      </c>
      <c r="S152" s="59">
        <f ca="1">AVERAGE(OFFSET($R$3,0,0,'Données projet'!$E$9+1,1))-AVERAGE(OFFSET($H$3,0,0,'Données projet'!$E$9+1,1))</f>
        <v>681.47578137804555</v>
      </c>
      <c r="T152" s="59">
        <f t="shared" si="142"/>
        <v>300.88511065995885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45.283471559396929</v>
      </c>
      <c r="AA152" s="21">
        <f>EXP(-LN(2)/25)*AA151+(1-EXP(-LN(2)/25))/(LN(2)/25)*Calculateur!V152*Calculateur!X152*VLOOKUP('Données projet'!$B$9,Paramètres!$A$1:$I$89,3,0)*0.475*44/12</f>
        <v>20.291175950824456</v>
      </c>
      <c r="AB152" s="21">
        <f>EXP(-LN(2)/2)*AB151+(1-EXP(-LN(2)/2))/(LN(2)/2)*V152*Y152*VLOOKUP('Données projet'!$B$9,Paramètres!$A$1:$I$89,3,0)*0.475*44/12</f>
        <v>8.8146321320040153E-4</v>
      </c>
      <c r="AC152" s="22">
        <f t="shared" si="111"/>
        <v>65.575528973434587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3.4106051316484809E-13</v>
      </c>
      <c r="AJ152" s="13">
        <f>AI152*VLOOKUP('Données projet'!$B$10,Paramètres!$A$1:$I$89,3,0)*VLOOKUP('Données projet'!$B$10,Paramètres!$A$1:$I$89,5,0)</f>
        <v>1.5961632016114892E-13</v>
      </c>
      <c r="AK152" s="13">
        <f t="shared" si="143"/>
        <v>2.2708641912150958E-12</v>
      </c>
      <c r="AL152" s="20">
        <f t="shared" si="112"/>
        <v>4.2330868906469593E-12</v>
      </c>
      <c r="AM152" s="59">
        <f t="shared" si="113"/>
        <v>286.57579407329729</v>
      </c>
      <c r="AN152" s="59">
        <f ca="1">AVERAGE(OFFSET($AM$3,0,0,'Données projet'!$E$10+1,1))-AVERAGE(OFFSET($H$3,0,0,'Données projet'!$E$10+1,1))</f>
        <v>325.45940224919184</v>
      </c>
      <c r="AO152" s="59">
        <f t="shared" si="144"/>
        <v>256.30046621034876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59.424825451416858</v>
      </c>
      <c r="AV152" s="21">
        <f>EXP(-LN(2)/25)*AV151+(1-EXP(-LN(2)/25))/(LN(2)/25)*Calculateur!AQ152*Calculateur!AS152*VLOOKUP('Données projet'!$B$10,Paramètres!$A$1:$I$89,3,0)*0.475*44/12</f>
        <v>13.816375683248079</v>
      </c>
      <c r="AW152" s="21">
        <f>EXP(-LN(2)/2)*AW151+(1-EXP(-LN(2)/2))/(LN(2)/2)*AQ152*AT152*VLOOKUP('Données projet'!$B$10,Paramètres!$A$1:$I$89,3,0)*0.475*44/12</f>
        <v>3.0029200571854288E-5</v>
      </c>
      <c r="AX152" s="21">
        <f t="shared" si="114"/>
        <v>73.241231163865507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7.5191666666666634</v>
      </c>
      <c r="BD152" s="12">
        <f>IF('Données projet'!$A$88&gt;35,BD151+BC152-BL151,IF(A152&lt;'Données projet'!$A$88,$BA$205^A152,IF(A152='Données projet'!$A$88,'Données projet'!$B$88,BD151+BC152-BL151)))</f>
        <v>356.56583333333305</v>
      </c>
      <c r="BE152" s="13">
        <f>BD152*VLOOKUP('Données projet'!$B$11,Paramètres!$A$1:$I$89,3,0)*VLOOKUP('Données projet'!$B$11,Paramètres!$A$1:$I$89,5,0)</f>
        <v>361.5577549999997</v>
      </c>
      <c r="BF152" s="13">
        <f t="shared" si="145"/>
        <v>83.937854438215282</v>
      </c>
      <c r="BG152" s="20">
        <f t="shared" si="115"/>
        <v>775.904853104891</v>
      </c>
      <c r="BH152" s="59">
        <f t="shared" si="116"/>
        <v>1062.480647178184</v>
      </c>
      <c r="BI152" s="59">
        <f ca="1">AVERAGE(OFFSET($BH$3,0,0,'Données projet'!$E$11+1,1))-AVERAGE(OFFSET($H$3,0,0,'Données projet'!$E$11+1,1))</f>
        <v>580.02848304986492</v>
      </c>
      <c r="BJ152" s="59">
        <f t="shared" si="146"/>
        <v>281.68891895586728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30.141688001902104</v>
      </c>
      <c r="BQ152" s="21">
        <f>EXP(-LN(2)/25)*BQ151+(1-EXP(-LN(2)/25))/(LN(2)/25)*Calculateur!BL152*Calculateur!BN152*VLOOKUP('Données projet'!$B$11,Paramètres!$A$1:$I$89,3,0)*0.475*44/12</f>
        <v>20.099640886920898</v>
      </c>
      <c r="BR152" s="21">
        <f>EXP(-LN(2)/2)*BR151+(1-EXP(-LN(2)/2))/(LN(2)/2)*BL152*BO152*VLOOKUP('Données projet'!$B$11,Paramètres!$A$1:$I$89,3,0)*0.475*44/12</f>
        <v>1.0441032782808872</v>
      </c>
      <c r="BS152" s="22">
        <f t="shared" si="117"/>
        <v>51.285432167103892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>
        <f>BY152*VLOOKUP('Données projet'!$B$12,Paramètres!$A$1:$I$89,3,0)*VLOOKUP('Données projet'!$B$12,Paramètres!$A$1:$I$89,5,0)</f>
        <v>0</v>
      </c>
      <c r="CA152" s="13" t="e">
        <f t="shared" si="147"/>
        <v>#NUM!</v>
      </c>
      <c r="CB152" s="20" t="e">
        <f t="shared" si="118"/>
        <v>#NUM!</v>
      </c>
      <c r="CC152" s="59" t="e">
        <f t="shared" si="119"/>
        <v>#NUM!</v>
      </c>
      <c r="CD152" s="59">
        <f ca="1">AVERAGE(OFFSET($CC$3,0,0,'Données projet'!$E$12+1,1))-AVERAGE(OFFSET($H$3,0,0,'Données projet'!$E$12+1,1))</f>
        <v>439.15394290667945</v>
      </c>
      <c r="CE152" s="59">
        <f t="shared" si="148"/>
        <v>423.56554025351068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12.863135115235817</v>
      </c>
      <c r="CL152" s="21">
        <f>EXP(-LN(2)/25)*CL151+(1-EXP(-LN(2)/25))/(LN(2)/25)*Calculateur!CG152*Calculateur!CI152*VLOOKUP('Données projet'!$B$12,Paramètres!$A$1:$I$89,3,0)*0.475*44/12</f>
        <v>7.352377731212238</v>
      </c>
      <c r="CM152" s="21">
        <f>EXP(-LN(2)/2)*CM151+(1-EXP(-LN(2)/2))/(LN(2)/2)*CG152*CJ152*VLOOKUP('Données projet'!$B$12,Paramètres!$A$1:$I$89,3,0)*0.475*44/12</f>
        <v>3.072966070920588E-9</v>
      </c>
      <c r="CN152" s="22">
        <f t="shared" si="120"/>
        <v>20.215512849521023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>
        <f>CT152*VLOOKUP('Données projet'!$B$13,Paramètres!$A$1:$I$89,3,0)*VLOOKUP('Données projet'!$B$13,Paramètres!$A$1:$I$89,5,0)</f>
        <v>0</v>
      </c>
      <c r="CV152" s="13" t="e">
        <f t="shared" si="149"/>
        <v>#NUM!</v>
      </c>
      <c r="CW152" s="20" t="e">
        <f t="shared" si="121"/>
        <v>#NUM!</v>
      </c>
      <c r="CX152" s="59" t="e">
        <f t="shared" si="122"/>
        <v>#NUM!</v>
      </c>
      <c r="CY152" s="59">
        <f ca="1">AVERAGE(OFFSET($CX$3,0,0,'Données projet'!$E$13+1,1))-AVERAGE(OFFSET($H$3,0,0,'Données projet'!$E$13+1,1))</f>
        <v>408.246209980743</v>
      </c>
      <c r="CZ152" s="59">
        <f t="shared" si="150"/>
        <v>394.10236303013903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>
        <f>EXP(-LN(2)/35)*DF151+(1-EXP(-LN(2)/35))/(LN(2)/35)*DB152*DC152*VLOOKUP('Données projet'!$B$13,Paramètres!$A$1:$I$89,3,0)*0.475*44/12</f>
        <v>14.555007633251989</v>
      </c>
      <c r="DG152" s="21">
        <f>EXP(-LN(2)/25)*DG151+(1-EXP(-LN(2)/25))/(LN(2)/25)*Calculateur!DB152*Calculateur!DD152*VLOOKUP('Données projet'!$B$13,Paramètres!$A$1:$I$89,3,0)*0.475*44/12</f>
        <v>8.3194270324963551</v>
      </c>
      <c r="DH152" s="21">
        <f>EXP(-LN(2)/2)*DH151+(1-EXP(-LN(2)/2))/(LN(2)/2)*DB152*DE152*VLOOKUP('Données projet'!$B$13,Paramètres!$A$1:$I$89,3,0)*0.475*44/12</f>
        <v>2.8210836060910324E-9</v>
      </c>
      <c r="DI152" s="22">
        <f t="shared" si="123"/>
        <v>22.874434668569428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>
        <f>DO152*VLOOKUP('Données projet'!$B$14,Paramètres!$A$1:$I$89,3,0)*VLOOKUP('Données projet'!$B$14,Paramètres!$A$1:$I$89,5,0)</f>
        <v>0</v>
      </c>
      <c r="DQ152" s="13" t="e">
        <f t="shared" si="151"/>
        <v>#NUM!</v>
      </c>
      <c r="DR152" s="20" t="e">
        <f t="shared" si="124"/>
        <v>#NUM!</v>
      </c>
      <c r="DS152" s="59" t="e">
        <f t="shared" si="125"/>
        <v>#NUM!</v>
      </c>
      <c r="DT152" s="59">
        <f ca="1">AVERAGE(OFFSET($DS$3,0,0,'Données projet'!$E$14+1,1))-AVERAGE(OFFSET($H$3,0,0,'Données projet'!$E$14+1,1))</f>
        <v>371.07993287480366</v>
      </c>
      <c r="DU152" s="59">
        <f t="shared" si="152"/>
        <v>358.67120540290637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>
        <f>EXP(-LN(2)/35)*EA151+(1-EXP(-LN(2)/35))/(LN(2)/35)*DW152*DX152*VLOOKUP('Données projet'!$B$14,Paramètres!$A$1:$I$89,3,0)*0.475*44/12</f>
        <v>10.543553373144109</v>
      </c>
      <c r="EB152" s="21">
        <f>EXP(-LN(2)/25)*EB151+(1-EXP(-LN(2)/25))/(LN(2)/25)*Calculateur!DW152*Calculateur!DY152*VLOOKUP('Données projet'!$B$14,Paramètres!$A$1:$I$89,3,0)*0.475*44/12</f>
        <v>6.0265391239444552</v>
      </c>
      <c r="EC152" s="21">
        <f>EXP(-LN(2)/2)*EC151+(1-EXP(-LN(2)/2))/(LN(2)/2)*DW152*DZ152*VLOOKUP('Données projet'!$B$14,Paramètres!$A$1:$I$89,3,0)*0.475*44/12</f>
        <v>2.5188246482955691E-9</v>
      </c>
      <c r="ED152" s="22">
        <f t="shared" si="126"/>
        <v>16.570092499607387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45">
      <c r="A153" s="10">
        <f>A152+1</f>
        <v>150</v>
      </c>
      <c r="B153" s="73">
        <f>'Scénario référence'!$B$16*5+'Scénario référence'!$B$17*0+'Scénario référence'!$B$18*5</f>
        <v>5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1">
        <f t="shared" si="140"/>
        <v>0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18.333333333333332</v>
      </c>
      <c r="H153" s="67">
        <f t="shared" si="110"/>
        <v>183.33333333333334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9.3350000000000026</v>
      </c>
      <c r="N153" s="13">
        <f>IF('Données projet'!$A$36&gt;35,N152+M153-V152,IF(A153&lt;'Données projet'!$A$36,$K$205^A153,IF(A153='Données projet'!$A$36,'Données projet'!$B$36,N152+M153-V152)))</f>
        <v>509.15000000000083</v>
      </c>
      <c r="O153" s="13">
        <f>N153*VLOOKUP('Données projet'!$B$9,Paramètres!$A$1:$I$89,3,0)*VLOOKUP('Données projet'!$B$9,Paramètres!$A$1:$I$89,5,0)</f>
        <v>460.67892000000074</v>
      </c>
      <c r="P153" s="13">
        <f t="shared" si="141"/>
        <v>103.97545705513664</v>
      </c>
      <c r="Q153" s="20">
        <f t="shared" si="108"/>
        <v>983.43970670436431</v>
      </c>
      <c r="R153" s="59">
        <f t="shared" si="109"/>
        <v>1270.1327289762246</v>
      </c>
      <c r="S153" s="59">
        <f ca="1">AVERAGE(OFFSET($R$3,0,0,'Données projet'!$E$9+1,1))-AVERAGE(OFFSET($H$3,0,0,'Données projet'!$E$9+1,1))</f>
        <v>681.47578137804555</v>
      </c>
      <c r="T153" s="59">
        <f t="shared" si="142"/>
        <v>300.88511065995885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44.395490302307536</v>
      </c>
      <c r="AA153" s="21">
        <f>EXP(-LN(2)/25)*AA152+(1-EXP(-LN(2)/25))/(LN(2)/25)*Calculateur!V153*Calculateur!X153*VLOOKUP('Données projet'!$B$9,Paramètres!$A$1:$I$89,3,0)*0.475*44/12</f>
        <v>19.736312677382596</v>
      </c>
      <c r="AB153" s="21">
        <f>EXP(-LN(2)/2)*AB152+(1-EXP(-LN(2)/2))/(LN(2)/2)*V153*Y153*VLOOKUP('Données projet'!$B$9,Paramètres!$A$1:$I$89,3,0)*0.475*44/12</f>
        <v>6.2328861542048741E-4</v>
      </c>
      <c r="AC153" s="22">
        <f t="shared" si="111"/>
        <v>64.132426268305551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3.4106051316484809E-13</v>
      </c>
      <c r="AJ153" s="13">
        <f>AI153*VLOOKUP('Données projet'!$B$10,Paramètres!$A$1:$I$89,3,0)*VLOOKUP('Données projet'!$B$10,Paramètres!$A$1:$I$89,5,0)</f>
        <v>1.5961632016114892E-13</v>
      </c>
      <c r="AK153" s="13">
        <f t="shared" si="143"/>
        <v>2.2708641912150958E-12</v>
      </c>
      <c r="AL153" s="20">
        <f t="shared" si="112"/>
        <v>4.2330868906469593E-12</v>
      </c>
      <c r="AM153" s="59">
        <f t="shared" si="113"/>
        <v>286.69302227186455</v>
      </c>
      <c r="AN153" s="59">
        <f ca="1">AVERAGE(OFFSET($AM$3,0,0,'Données projet'!$E$10+1,1))-AVERAGE(OFFSET($H$3,0,0,'Données projet'!$E$10+1,1))</f>
        <v>325.45940224919184</v>
      </c>
      <c r="AO153" s="59">
        <f t="shared" si="144"/>
        <v>256.30046621034876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58.259540869879146</v>
      </c>
      <c r="AV153" s="21">
        <f>EXP(-LN(2)/25)*AV152+(1-EXP(-LN(2)/25))/(LN(2)/25)*Calculateur!AQ153*Calculateur!AS153*VLOOKUP('Données projet'!$B$10,Paramètres!$A$1:$I$89,3,0)*0.475*44/12</f>
        <v>13.438566163618042</v>
      </c>
      <c r="AW153" s="21">
        <f>EXP(-LN(2)/2)*AW152+(1-EXP(-LN(2)/2))/(LN(2)/2)*AQ153*AT153*VLOOKUP('Données projet'!$B$10,Paramètres!$A$1:$I$89,3,0)*0.475*44/12</f>
        <v>2.123385135796912E-5</v>
      </c>
      <c r="AX153" s="21">
        <f t="shared" si="114"/>
        <v>71.698128267348551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7.5191666666666634</v>
      </c>
      <c r="BD153" s="12">
        <f>IF('Données projet'!$A$88&gt;35,BD152+BC153-BL152,IF(A153&lt;'Données projet'!$A$88,$BA$205^A153,IF(A153='Données projet'!$A$88,'Données projet'!$B$88,BD152+BC153-BL152)))</f>
        <v>364.0849999999997</v>
      </c>
      <c r="BE153" s="13">
        <f>BD153*VLOOKUP('Données projet'!$B$11,Paramètres!$A$1:$I$89,3,0)*VLOOKUP('Données projet'!$B$11,Paramètres!$A$1:$I$89,5,0)</f>
        <v>369.18218999999971</v>
      </c>
      <c r="BF153" s="13">
        <f t="shared" si="145"/>
        <v>85.499974314579831</v>
      </c>
      <c r="BG153" s="20">
        <f t="shared" si="115"/>
        <v>791.90476951455923</v>
      </c>
      <c r="BH153" s="59">
        <f t="shared" si="116"/>
        <v>1078.5977917864195</v>
      </c>
      <c r="BI153" s="59">
        <f ca="1">AVERAGE(OFFSET($BH$3,0,0,'Données projet'!$E$11+1,1))-AVERAGE(OFFSET($H$3,0,0,'Données projet'!$E$11+1,1))</f>
        <v>580.02848304986492</v>
      </c>
      <c r="BJ153" s="59">
        <f t="shared" si="146"/>
        <v>281.68891895586728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29.550627884799155</v>
      </c>
      <c r="BQ153" s="21">
        <f>EXP(-LN(2)/25)*BQ152+(1-EXP(-LN(2)/25))/(LN(2)/25)*Calculateur!BL153*Calculateur!BN153*VLOOKUP('Données projet'!$B$11,Paramètres!$A$1:$I$89,3,0)*0.475*44/12</f>
        <v>19.550015149873872</v>
      </c>
      <c r="BR153" s="21">
        <f>EXP(-LN(2)/2)*BR152+(1-EXP(-LN(2)/2))/(LN(2)/2)*BL153*BO153*VLOOKUP('Données projet'!$B$11,Paramètres!$A$1:$I$89,3,0)*0.475*44/12</f>
        <v>0.73829250833152027</v>
      </c>
      <c r="BS153" s="22">
        <f t="shared" si="117"/>
        <v>49.838935543004546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>
        <f>BY153*VLOOKUP('Données projet'!$B$12,Paramètres!$A$1:$I$89,3,0)*VLOOKUP('Données projet'!$B$12,Paramètres!$A$1:$I$89,5,0)</f>
        <v>0</v>
      </c>
      <c r="CA153" s="13" t="e">
        <f t="shared" si="147"/>
        <v>#NUM!</v>
      </c>
      <c r="CB153" s="20" t="e">
        <f t="shared" si="118"/>
        <v>#NUM!</v>
      </c>
      <c r="CC153" s="59" t="e">
        <f t="shared" si="119"/>
        <v>#NUM!</v>
      </c>
      <c r="CD153" s="59">
        <f ca="1">AVERAGE(OFFSET($CC$3,0,0,'Données projet'!$E$12+1,1))-AVERAGE(OFFSET($H$3,0,0,'Données projet'!$E$12+1,1))</f>
        <v>439.15394290667945</v>
      </c>
      <c r="CE153" s="59">
        <f t="shared" si="148"/>
        <v>423.56554025351068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12.610896881363761</v>
      </c>
      <c r="CL153" s="21">
        <f>EXP(-LN(2)/25)*CL152+(1-EXP(-LN(2)/25))/(LN(2)/25)*Calculateur!CG153*Calculateur!CI153*VLOOKUP('Données projet'!$B$12,Paramètres!$A$1:$I$89,3,0)*0.475*44/12</f>
        <v>7.1513265755074986</v>
      </c>
      <c r="CM153" s="21">
        <f>EXP(-LN(2)/2)*CM152+(1-EXP(-LN(2)/2))/(LN(2)/2)*CG153*CJ153*VLOOKUP('Données projet'!$B$12,Paramètres!$A$1:$I$89,3,0)*0.475*44/12</f>
        <v>2.1729151471041289E-9</v>
      </c>
      <c r="CN153" s="22">
        <f t="shared" si="120"/>
        <v>19.762223459044176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>
        <f>CT153*VLOOKUP('Données projet'!$B$13,Paramètres!$A$1:$I$89,3,0)*VLOOKUP('Données projet'!$B$13,Paramètres!$A$1:$I$89,5,0)</f>
        <v>0</v>
      </c>
      <c r="CV153" s="13" t="e">
        <f t="shared" si="149"/>
        <v>#NUM!</v>
      </c>
      <c r="CW153" s="20" t="e">
        <f t="shared" si="121"/>
        <v>#NUM!</v>
      </c>
      <c r="CX153" s="59" t="e">
        <f t="shared" si="122"/>
        <v>#NUM!</v>
      </c>
      <c r="CY153" s="59">
        <f ca="1">AVERAGE(OFFSET($CX$3,0,0,'Données projet'!$E$13+1,1))-AVERAGE(OFFSET($H$3,0,0,'Données projet'!$E$13+1,1))</f>
        <v>408.246209980743</v>
      </c>
      <c r="CZ153" s="59">
        <f t="shared" si="150"/>
        <v>394.10236303013903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>
        <f>EXP(-LN(2)/35)*DF152+(1-EXP(-LN(2)/35))/(LN(2)/35)*DB153*DC153*VLOOKUP('Données projet'!$B$13,Paramètres!$A$1:$I$89,3,0)*0.475*44/12</f>
        <v>14.269592811241976</v>
      </c>
      <c r="DG153" s="21">
        <f>EXP(-LN(2)/25)*DG152+(1-EXP(-LN(2)/25))/(LN(2)/25)*Calculateur!DB153*Calculateur!DD153*VLOOKUP('Données projet'!$B$13,Paramètres!$A$1:$I$89,3,0)*0.475*44/12</f>
        <v>8.0919318627930892</v>
      </c>
      <c r="DH153" s="21">
        <f>EXP(-LN(2)/2)*DH152+(1-EXP(-LN(2)/2))/(LN(2)/2)*DB153*DE153*VLOOKUP('Données projet'!$B$13,Paramètres!$A$1:$I$89,3,0)*0.475*44/12</f>
        <v>1.994807348161168E-9</v>
      </c>
      <c r="DI153" s="22">
        <f t="shared" si="123"/>
        <v>22.361524676029873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>
        <f>DO153*VLOOKUP('Données projet'!$B$14,Paramètres!$A$1:$I$89,3,0)*VLOOKUP('Données projet'!$B$14,Paramètres!$A$1:$I$89,5,0)</f>
        <v>0</v>
      </c>
      <c r="DQ153" s="13" t="e">
        <f t="shared" si="151"/>
        <v>#NUM!</v>
      </c>
      <c r="DR153" s="20" t="e">
        <f t="shared" si="124"/>
        <v>#NUM!</v>
      </c>
      <c r="DS153" s="59" t="e">
        <f t="shared" si="125"/>
        <v>#NUM!</v>
      </c>
      <c r="DT153" s="59">
        <f ca="1">AVERAGE(OFFSET($DS$3,0,0,'Données projet'!$E$14+1,1))-AVERAGE(OFFSET($H$3,0,0,'Données projet'!$E$14+1,1))</f>
        <v>371.07993287480366</v>
      </c>
      <c r="DU153" s="59">
        <f t="shared" si="152"/>
        <v>358.67120540290637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>
        <f>EXP(-LN(2)/35)*EA152+(1-EXP(-LN(2)/35))/(LN(2)/35)*DW153*DX153*VLOOKUP('Données projet'!$B$14,Paramètres!$A$1:$I$89,3,0)*0.475*44/12</f>
        <v>10.336800722429308</v>
      </c>
      <c r="EB153" s="21">
        <f>EXP(-LN(2)/25)*EB152+(1-EXP(-LN(2)/25))/(LN(2)/25)*Calculateur!DW153*Calculateur!DY153*VLOOKUP('Données projet'!$B$14,Paramètres!$A$1:$I$89,3,0)*0.475*44/12</f>
        <v>5.8617430946782756</v>
      </c>
      <c r="EC153" s="21">
        <f>EXP(-LN(2)/2)*EC152+(1-EXP(-LN(2)/2))/(LN(2)/2)*DW153*DZ153*VLOOKUP('Données projet'!$B$14,Paramètres!$A$1:$I$89,3,0)*0.475*44/12</f>
        <v>1.7810779894296176E-9</v>
      </c>
      <c r="ED153" s="22">
        <f t="shared" si="126"/>
        <v>16.198543818888663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45">
      <c r="A154" s="10">
        <f t="shared" ref="A154:A202" si="161">A153+1</f>
        <v>151</v>
      </c>
      <c r="B154" s="73">
        <f>'Scénario référence'!$B$16*5+'Scénario référence'!$B$17*0+'Scénario référence'!$B$18*5</f>
        <v>5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1">
        <f t="shared" si="140"/>
        <v>0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18.333333333333332</v>
      </c>
      <c r="H154" s="67">
        <f t="shared" si="110"/>
        <v>183.33333333333334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9.3350000000000026</v>
      </c>
      <c r="N154" s="13">
        <f>IF('Données projet'!$A$36&gt;35,N153+M154-V153,IF(A154&lt;'Données projet'!$A$36,$K$205^A154,IF(A154='Données projet'!$A$36,'Données projet'!$B$36,N153+M154-V153)))</f>
        <v>518.48500000000081</v>
      </c>
      <c r="O154" s="13">
        <f>N154*VLOOKUP('Données projet'!$B$9,Paramètres!$A$1:$I$89,3,0)*VLOOKUP('Données projet'!$B$9,Paramètres!$A$1:$I$89,5,0)</f>
        <v>469.12522800000067</v>
      </c>
      <c r="P154" s="13">
        <f t="shared" si="141"/>
        <v>105.65811013888603</v>
      </c>
      <c r="Q154" s="20">
        <f t="shared" ref="Q154:Q203" si="162">(O154+P154)*0.475*44/12</f>
        <v>1001.0809805918944</v>
      </c>
      <c r="R154" s="59">
        <f t="shared" si="109"/>
        <v>1287.8891974151597</v>
      </c>
      <c r="S154" s="59">
        <f ca="1">AVERAGE(OFFSET($R$3,0,0,'Données projet'!$E$9+1,1))-AVERAGE(OFFSET($H$3,0,0,'Données projet'!$E$9+1,1))</f>
        <v>681.47578137804555</v>
      </c>
      <c r="T154" s="59">
        <f t="shared" si="142"/>
        <v>300.88511065995885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43.524921816054579</v>
      </c>
      <c r="AA154" s="21">
        <f>EXP(-LN(2)/25)*AA153+(1-EXP(-LN(2)/25))/(LN(2)/25)*Calculateur!V154*Calculateur!X154*VLOOKUP('Données projet'!$B$9,Paramètres!$A$1:$I$89,3,0)*0.475*44/12</f>
        <v>19.196622169331992</v>
      </c>
      <c r="AB154" s="21">
        <f>EXP(-LN(2)/2)*AB153+(1-EXP(-LN(2)/2))/(LN(2)/2)*V154*Y154*VLOOKUP('Données projet'!$B$9,Paramètres!$A$1:$I$89,3,0)*0.475*44/12</f>
        <v>4.4073160660020077E-4</v>
      </c>
      <c r="AC154" s="22">
        <f t="shared" ref="AC154:AC203" si="163">SUM(Z154:AB154)</f>
        <v>62.721984716993177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3.4106051316484809E-13</v>
      </c>
      <c r="AJ154" s="13">
        <f>AI154*VLOOKUP('Données projet'!$B$10,Paramètres!$A$1:$I$89,3,0)*VLOOKUP('Données projet'!$B$10,Paramètres!$A$1:$I$89,5,0)</f>
        <v>1.5961632016114892E-13</v>
      </c>
      <c r="AK154" s="13">
        <f t="shared" ref="AK154:AK203" si="164">EXP(-1.0587+0.8836*LN(AJ154)+0.284)</f>
        <v>2.2708641912150958E-12</v>
      </c>
      <c r="AL154" s="20">
        <f t="shared" ref="AL154:AL203" si="165">(AJ154+AK154)*0.475*44/12</f>
        <v>4.2330868906469593E-12</v>
      </c>
      <c r="AM154" s="59">
        <f t="shared" si="113"/>
        <v>286.80821682326956</v>
      </c>
      <c r="AN154" s="59">
        <f ca="1">AVERAGE(OFFSET($AM$3,0,0,'Données projet'!$E$10+1,1))-AVERAGE(OFFSET($H$3,0,0,'Données projet'!$E$10+1,1))</f>
        <v>325.45940224919184</v>
      </c>
      <c r="AO154" s="59">
        <f t="shared" si="144"/>
        <v>256.30046621034876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57.117106808231974</v>
      </c>
      <c r="AV154" s="21">
        <f>EXP(-LN(2)/25)*AV153+(1-EXP(-LN(2)/25))/(LN(2)/25)*Calculateur!AQ154*Calculateur!AS154*VLOOKUP('Données projet'!$B$10,Paramètres!$A$1:$I$89,3,0)*0.475*44/12</f>
        <v>13.071087865170426</v>
      </c>
      <c r="AW154" s="21">
        <f>EXP(-LN(2)/2)*AW153+(1-EXP(-LN(2)/2))/(LN(2)/2)*AQ154*AT154*VLOOKUP('Données projet'!$B$10,Paramètres!$A$1:$I$89,3,0)*0.475*44/12</f>
        <v>1.5014600285927146E-5</v>
      </c>
      <c r="AX154" s="21">
        <f t="shared" ref="AX154:AX203" si="166">SUM(AU154:AW154)</f>
        <v>70.188209688002672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7.5191666666666634</v>
      </c>
      <c r="BD154" s="12">
        <f>IF('Données projet'!$A$88&gt;35,BD153+BC154-BL153,IF(A154&lt;'Données projet'!$A$88,$BA$205^A154,IF(A154='Données projet'!$A$88,'Données projet'!$B$88,BD153+BC154-BL153)))</f>
        <v>371.60416666666634</v>
      </c>
      <c r="BE154" s="13">
        <f>BD154*VLOOKUP('Données projet'!$B$11,Paramètres!$A$1:$I$89,3,0)*VLOOKUP('Données projet'!$B$11,Paramètres!$A$1:$I$89,5,0)</f>
        <v>376.80662499999971</v>
      </c>
      <c r="BF154" s="13">
        <f t="shared" ref="BF154:BF203" si="167">EXP(-1.0587+0.8836*LN(BE154)+0.284)</f>
        <v>87.058343208792692</v>
      </c>
      <c r="BG154" s="20">
        <f t="shared" ref="BG154:BG203" si="168">(BE154+BF154)*0.475*44/12</f>
        <v>807.89815296364668</v>
      </c>
      <c r="BH154" s="59">
        <f t="shared" si="116"/>
        <v>1094.7063697869121</v>
      </c>
      <c r="BI154" s="59">
        <f ca="1">AVERAGE(OFFSET($BH$3,0,0,'Données projet'!$E$11+1,1))-AVERAGE(OFFSET($H$3,0,0,'Données projet'!$E$11+1,1))</f>
        <v>580.02848304986492</v>
      </c>
      <c r="BJ154" s="59">
        <f t="shared" si="146"/>
        <v>281.68891895586728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28.97115809608152</v>
      </c>
      <c r="BQ154" s="21">
        <f>EXP(-LN(2)/25)*BQ153+(1-EXP(-LN(2)/25))/(LN(2)/25)*Calculateur!BL154*Calculateur!BN154*VLOOKUP('Données projet'!$B$11,Paramètres!$A$1:$I$89,3,0)*0.475*44/12</f>
        <v>19.015418957509954</v>
      </c>
      <c r="BR154" s="21">
        <f>EXP(-LN(2)/2)*BR153+(1-EXP(-LN(2)/2))/(LN(2)/2)*BL154*BO154*VLOOKUP('Données projet'!$B$11,Paramètres!$A$1:$I$89,3,0)*0.475*44/12</f>
        <v>0.52205163914044361</v>
      </c>
      <c r="BS154" s="22">
        <f t="shared" ref="BS154:BS203" si="169">SUM(BP154:BR154)</f>
        <v>48.508628692731918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>
        <f>BY154*VLOOKUP('Données projet'!$B$12,Paramètres!$A$1:$I$89,3,0)*VLOOKUP('Données projet'!$B$12,Paramètres!$A$1:$I$89,5,0)</f>
        <v>0</v>
      </c>
      <c r="CA154" s="13" t="e">
        <f t="shared" ref="CA154:CA203" si="170">EXP(-1.0587+0.8836*LN(BZ154)+0.284)</f>
        <v>#NUM!</v>
      </c>
      <c r="CB154" s="20" t="e">
        <f t="shared" ref="CB154:CB203" si="171">(BZ154+CA154)*0.475*44/12</f>
        <v>#NUM!</v>
      </c>
      <c r="CC154" s="59" t="e">
        <f t="shared" si="119"/>
        <v>#NUM!</v>
      </c>
      <c r="CD154" s="59">
        <f ca="1">AVERAGE(OFFSET($CC$3,0,0,'Données projet'!$E$12+1,1))-AVERAGE(OFFSET($H$3,0,0,'Données projet'!$E$12+1,1))</f>
        <v>439.15394290667945</v>
      </c>
      <c r="CE154" s="59">
        <f t="shared" si="148"/>
        <v>423.56554025351068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12.363604885407804</v>
      </c>
      <c r="CL154" s="21">
        <f>EXP(-LN(2)/25)*CL153+(1-EXP(-LN(2)/25))/(LN(2)/25)*Calculateur!CG154*Calculateur!CI154*VLOOKUP('Données projet'!$B$12,Paramètres!$A$1:$I$89,3,0)*0.475*44/12</f>
        <v>6.9557731742283258</v>
      </c>
      <c r="CM154" s="21">
        <f>EXP(-LN(2)/2)*CM153+(1-EXP(-LN(2)/2))/(LN(2)/2)*CG154*CJ154*VLOOKUP('Données projet'!$B$12,Paramètres!$A$1:$I$89,3,0)*0.475*44/12</f>
        <v>1.536483035460294E-9</v>
      </c>
      <c r="CN154" s="22">
        <f t="shared" ref="CN154:CN203" si="172">SUM(CK154:CM154)</f>
        <v>19.319378061172614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>
        <f>CT154*VLOOKUP('Données projet'!$B$13,Paramètres!$A$1:$I$89,3,0)*VLOOKUP('Données projet'!$B$13,Paramètres!$A$1:$I$89,5,0)</f>
        <v>0</v>
      </c>
      <c r="CV154" s="13" t="e">
        <f t="shared" ref="CV154:CV203" si="173">EXP(-1.0587+0.8836*LN(CU154)+0.284)</f>
        <v>#NUM!</v>
      </c>
      <c r="CW154" s="20" t="e">
        <f t="shared" ref="CW154:CW203" si="174">(CU154+CV154)*0.475*44/12</f>
        <v>#NUM!</v>
      </c>
      <c r="CX154" s="59" t="e">
        <f t="shared" si="122"/>
        <v>#NUM!</v>
      </c>
      <c r="CY154" s="59">
        <f ca="1">AVERAGE(OFFSET($CX$3,0,0,'Données projet'!$E$13+1,1))-AVERAGE(OFFSET($H$3,0,0,'Données projet'!$E$13+1,1))</f>
        <v>408.246209980743</v>
      </c>
      <c r="CZ154" s="59">
        <f t="shared" si="150"/>
        <v>394.10236303013903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>
        <f>EXP(-LN(2)/35)*DF153+(1-EXP(-LN(2)/35))/(LN(2)/35)*DB154*DC154*VLOOKUP('Données projet'!$B$13,Paramètres!$A$1:$I$89,3,0)*0.475*44/12</f>
        <v>13.989774799805728</v>
      </c>
      <c r="DG154" s="21">
        <f>EXP(-LN(2)/25)*DG153+(1-EXP(-LN(2)/25))/(LN(2)/25)*Calculateur!DB154*Calculateur!DD154*VLOOKUP('Données projet'!$B$13,Paramètres!$A$1:$I$89,3,0)*0.475*44/12</f>
        <v>7.8706575604688096</v>
      </c>
      <c r="DH154" s="21">
        <f>EXP(-LN(2)/2)*DH153+(1-EXP(-LN(2)/2))/(LN(2)/2)*DB154*DE154*VLOOKUP('Données projet'!$B$13,Paramètres!$A$1:$I$89,3,0)*0.475*44/12</f>
        <v>1.4105418030455162E-9</v>
      </c>
      <c r="DI154" s="22">
        <f t="shared" ref="DI154:DI203" si="175">SUM(DF154:DH154)</f>
        <v>21.860432361685078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>
        <f>DO154*VLOOKUP('Données projet'!$B$14,Paramètres!$A$1:$I$89,3,0)*VLOOKUP('Données projet'!$B$14,Paramètres!$A$1:$I$89,5,0)</f>
        <v>0</v>
      </c>
      <c r="DQ154" s="13" t="e">
        <f t="shared" ref="DQ154:DQ203" si="176">EXP(-1.0587+0.8836*LN(DP154)+0.284)</f>
        <v>#NUM!</v>
      </c>
      <c r="DR154" s="20" t="e">
        <f t="shared" ref="DR154:DR203" si="177">(DP154+DQ154)*0.475*44/12</f>
        <v>#NUM!</v>
      </c>
      <c r="DS154" s="59" t="e">
        <f t="shared" si="125"/>
        <v>#NUM!</v>
      </c>
      <c r="DT154" s="59">
        <f ca="1">AVERAGE(OFFSET($DS$3,0,0,'Données projet'!$E$14+1,1))-AVERAGE(OFFSET($H$3,0,0,'Données projet'!$E$14+1,1))</f>
        <v>371.07993287480366</v>
      </c>
      <c r="DU154" s="59">
        <f t="shared" si="152"/>
        <v>358.67120540290637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>
        <f>EXP(-LN(2)/35)*EA153+(1-EXP(-LN(2)/35))/(LN(2)/35)*DW154*DX154*VLOOKUP('Données projet'!$B$14,Paramètres!$A$1:$I$89,3,0)*0.475*44/12</f>
        <v>10.13410236508836</v>
      </c>
      <c r="EB154" s="21">
        <f>EXP(-LN(2)/25)*EB153+(1-EXP(-LN(2)/25))/(LN(2)/25)*Calculateur!DW154*Calculateur!DY154*VLOOKUP('Données projet'!$B$14,Paramètres!$A$1:$I$89,3,0)*0.475*44/12</f>
        <v>5.7014534214986261</v>
      </c>
      <c r="EC154" s="21">
        <f>EXP(-LN(2)/2)*EC153+(1-EXP(-LN(2)/2))/(LN(2)/2)*DW154*DZ154*VLOOKUP('Données projet'!$B$14,Paramètres!$A$1:$I$89,3,0)*0.475*44/12</f>
        <v>1.2594123241477846E-9</v>
      </c>
      <c r="ED154" s="22">
        <f t="shared" ref="ED154:ED203" si="178">SUM(EA154:EC154)</f>
        <v>15.835555787846399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45">
      <c r="A155" s="10">
        <f t="shared" si="161"/>
        <v>152</v>
      </c>
      <c r="B155" s="73">
        <f>'Scénario référence'!$B$16*5+'Scénario référence'!$B$17*0+'Scénario référence'!$B$18*5</f>
        <v>5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1">
        <f t="shared" si="140"/>
        <v>0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18.333333333333332</v>
      </c>
      <c r="H155" s="67">
        <f t="shared" si="110"/>
        <v>183.33333333333334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9.3350000000000026</v>
      </c>
      <c r="N155" s="13">
        <f>IF('Données projet'!$A$36&gt;35,N154+M155-V154,IF(A155&lt;'Données projet'!$A$36,$K$205^A155,IF(A155='Données projet'!$A$36,'Données projet'!$B$36,N154+M155-V154)))</f>
        <v>527.82000000000085</v>
      </c>
      <c r="O155" s="13">
        <f>N155*VLOOKUP('Données projet'!$B$9,Paramètres!$A$1:$I$89,3,0)*VLOOKUP('Données projet'!$B$9,Paramètres!$A$1:$I$89,5,0)</f>
        <v>477.57153600000072</v>
      </c>
      <c r="P155" s="13">
        <f t="shared" si="141"/>
        <v>107.3372403617045</v>
      </c>
      <c r="Q155" s="20">
        <f t="shared" si="162"/>
        <v>1018.71611882997</v>
      </c>
      <c r="R155" s="59">
        <f t="shared" si="109"/>
        <v>1305.63753183671</v>
      </c>
      <c r="S155" s="59">
        <f ca="1">AVERAGE(OFFSET($R$3,0,0,'Données projet'!$E$9+1,1))-AVERAGE(OFFSET($H$3,0,0,'Données projet'!$E$9+1,1))</f>
        <v>681.47578137804555</v>
      </c>
      <c r="T155" s="59">
        <f t="shared" si="142"/>
        <v>300.88511065995885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42.6714246468227</v>
      </c>
      <c r="AA155" s="21">
        <f>EXP(-LN(2)/25)*AA154+(1-EXP(-LN(2)/25))/(LN(2)/25)*Calculateur!V155*Calculateur!X155*VLOOKUP('Données projet'!$B$9,Paramètres!$A$1:$I$89,3,0)*0.475*44/12</f>
        <v>18.671689526605125</v>
      </c>
      <c r="AB155" s="21">
        <f>EXP(-LN(2)/2)*AB154+(1-EXP(-LN(2)/2))/(LN(2)/2)*V155*Y155*VLOOKUP('Données projet'!$B$9,Paramètres!$A$1:$I$89,3,0)*0.475*44/12</f>
        <v>3.1164430771024371E-4</v>
      </c>
      <c r="AC155" s="22">
        <f t="shared" si="163"/>
        <v>61.343425817735529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3.4106051316484809E-13</v>
      </c>
      <c r="AJ155" s="13">
        <f>AI155*VLOOKUP('Données projet'!$B$10,Paramètres!$A$1:$I$89,3,0)*VLOOKUP('Données projet'!$B$10,Paramètres!$A$1:$I$89,5,0)</f>
        <v>1.5961632016114892E-13</v>
      </c>
      <c r="AK155" s="13">
        <f t="shared" si="164"/>
        <v>2.2708641912150958E-12</v>
      </c>
      <c r="AL155" s="20">
        <f t="shared" si="165"/>
        <v>4.2330868906469593E-12</v>
      </c>
      <c r="AM155" s="59">
        <f t="shared" si="113"/>
        <v>286.9214130067441</v>
      </c>
      <c r="AN155" s="59">
        <f ca="1">AVERAGE(OFFSET($AM$3,0,0,'Données projet'!$E$10+1,1))-AVERAGE(OFFSET($H$3,0,0,'Données projet'!$E$10+1,1))</f>
        <v>325.45940224919184</v>
      </c>
      <c r="AO155" s="59">
        <f t="shared" si="144"/>
        <v>256.30046621034876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55.997075181717733</v>
      </c>
      <c r="AV155" s="21">
        <f>EXP(-LN(2)/25)*AV154+(1-EXP(-LN(2)/25))/(LN(2)/25)*Calculateur!AQ155*Calculateur!AS155*VLOOKUP('Données projet'!$B$10,Paramètres!$A$1:$I$89,3,0)*0.475*44/12</f>
        <v>12.713658280118704</v>
      </c>
      <c r="AW155" s="21">
        <f>EXP(-LN(2)/2)*AW154+(1-EXP(-LN(2)/2))/(LN(2)/2)*AQ155*AT155*VLOOKUP('Données projet'!$B$10,Paramètres!$A$1:$I$89,3,0)*0.475*44/12</f>
        <v>1.0616925678984562E-5</v>
      </c>
      <c r="AX155" s="21">
        <f t="shared" si="166"/>
        <v>68.710744078762119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7.5191666666666634</v>
      </c>
      <c r="BD155" s="12">
        <f>IF('Données projet'!$A$88&gt;35,BD154+BC155-BL154,IF(A155&lt;'Données projet'!$A$88,$BA$205^A155,IF(A155='Données projet'!$A$88,'Données projet'!$B$88,BD154+BC155-BL154)))</f>
        <v>379.12333333333299</v>
      </c>
      <c r="BE155" s="13">
        <f>BD155*VLOOKUP('Données projet'!$B$11,Paramètres!$A$1:$I$89,3,0)*VLOOKUP('Données projet'!$B$11,Paramètres!$A$1:$I$89,5,0)</f>
        <v>384.43105999999966</v>
      </c>
      <c r="BF155" s="13">
        <f t="shared" si="167"/>
        <v>88.613045766074748</v>
      </c>
      <c r="BG155" s="20">
        <f t="shared" si="168"/>
        <v>823.88515087591293</v>
      </c>
      <c r="BH155" s="59">
        <f t="shared" si="116"/>
        <v>1110.8065638826529</v>
      </c>
      <c r="BI155" s="59">
        <f ca="1">AVERAGE(OFFSET($BH$3,0,0,'Données projet'!$E$11+1,1))-AVERAGE(OFFSET($H$3,0,0,'Données projet'!$E$11+1,1))</f>
        <v>580.02848304986492</v>
      </c>
      <c r="BJ155" s="59">
        <f t="shared" si="146"/>
        <v>281.68891895586728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28.403051356478969</v>
      </c>
      <c r="BQ155" s="21">
        <f>EXP(-LN(2)/25)*BQ154+(1-EXP(-LN(2)/25))/(LN(2)/25)*Calculateur!BL155*Calculateur!BN155*VLOOKUP('Données projet'!$B$11,Paramètres!$A$1:$I$89,3,0)*0.475*44/12</f>
        <v>18.495441326139421</v>
      </c>
      <c r="BR155" s="21">
        <f>EXP(-LN(2)/2)*BR154+(1-EXP(-LN(2)/2))/(LN(2)/2)*BL155*BO155*VLOOKUP('Données projet'!$B$11,Paramètres!$A$1:$I$89,3,0)*0.475*44/12</f>
        <v>0.36914625416576013</v>
      </c>
      <c r="BS155" s="22">
        <f t="shared" si="169"/>
        <v>47.267638936784152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>
        <f>BY155*VLOOKUP('Données projet'!$B$12,Paramètres!$A$1:$I$89,3,0)*VLOOKUP('Données projet'!$B$12,Paramètres!$A$1:$I$89,5,0)</f>
        <v>0</v>
      </c>
      <c r="CA155" s="13" t="e">
        <f t="shared" si="170"/>
        <v>#NUM!</v>
      </c>
      <c r="CB155" s="20" t="e">
        <f t="shared" si="171"/>
        <v>#NUM!</v>
      </c>
      <c r="CC155" s="59" t="e">
        <f t="shared" si="119"/>
        <v>#NUM!</v>
      </c>
      <c r="CD155" s="59">
        <f ca="1">AVERAGE(OFFSET($CC$3,0,0,'Données projet'!$E$12+1,1))-AVERAGE(OFFSET($H$3,0,0,'Données projet'!$E$12+1,1))</f>
        <v>439.15394290667945</v>
      </c>
      <c r="CE155" s="59">
        <f t="shared" si="148"/>
        <v>423.56554025351068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12.12116213465932</v>
      </c>
      <c r="CL155" s="21">
        <f>EXP(-LN(2)/25)*CL154+(1-EXP(-LN(2)/25))/(LN(2)/25)*Calculateur!CG155*Calculateur!CI155*VLOOKUP('Données projet'!$B$12,Paramètres!$A$1:$I$89,3,0)*0.475*44/12</f>
        <v>6.7655671909908381</v>
      </c>
      <c r="CM155" s="21">
        <f>EXP(-LN(2)/2)*CM154+(1-EXP(-LN(2)/2))/(LN(2)/2)*CG155*CJ155*VLOOKUP('Données projet'!$B$12,Paramètres!$A$1:$I$89,3,0)*0.475*44/12</f>
        <v>1.0864575735520644E-9</v>
      </c>
      <c r="CN155" s="22">
        <f t="shared" si="172"/>
        <v>18.886729326736617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>
        <f>CT155*VLOOKUP('Données projet'!$B$13,Paramètres!$A$1:$I$89,3,0)*VLOOKUP('Données projet'!$B$13,Paramètres!$A$1:$I$89,5,0)</f>
        <v>0</v>
      </c>
      <c r="CV155" s="13" t="e">
        <f t="shared" si="173"/>
        <v>#NUM!</v>
      </c>
      <c r="CW155" s="20" t="e">
        <f t="shared" si="174"/>
        <v>#NUM!</v>
      </c>
      <c r="CX155" s="59" t="e">
        <f t="shared" si="122"/>
        <v>#NUM!</v>
      </c>
      <c r="CY155" s="59">
        <f ca="1">AVERAGE(OFFSET($CX$3,0,0,'Données projet'!$E$13+1,1))-AVERAGE(OFFSET($H$3,0,0,'Données projet'!$E$13+1,1))</f>
        <v>408.246209980743</v>
      </c>
      <c r="CZ155" s="59">
        <f t="shared" si="150"/>
        <v>394.10236303013903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>
        <f>EXP(-LN(2)/35)*DF154+(1-EXP(-LN(2)/35))/(LN(2)/35)*DB155*DC155*VLOOKUP('Données projet'!$B$13,Paramètres!$A$1:$I$89,3,0)*0.475*44/12</f>
        <v>13.715443848901609</v>
      </c>
      <c r="DG155" s="21">
        <f>EXP(-LN(2)/25)*DG154+(1-EXP(-LN(2)/25))/(LN(2)/25)*Calculateur!DB155*Calculateur!DD155*VLOOKUP('Données projet'!$B$13,Paramètres!$A$1:$I$89,3,0)*0.475*44/12</f>
        <v>7.6554340155778977</v>
      </c>
      <c r="DH155" s="21">
        <f>EXP(-LN(2)/2)*DH154+(1-EXP(-LN(2)/2))/(LN(2)/2)*DB155*DE155*VLOOKUP('Données projet'!$B$13,Paramètres!$A$1:$I$89,3,0)*0.475*44/12</f>
        <v>9.9740367408058402E-10</v>
      </c>
      <c r="DI155" s="22">
        <f t="shared" si="175"/>
        <v>21.37087786547691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>
        <f>DO155*VLOOKUP('Données projet'!$B$14,Paramètres!$A$1:$I$89,3,0)*VLOOKUP('Données projet'!$B$14,Paramètres!$A$1:$I$89,5,0)</f>
        <v>0</v>
      </c>
      <c r="DQ155" s="13" t="e">
        <f t="shared" si="176"/>
        <v>#NUM!</v>
      </c>
      <c r="DR155" s="20" t="e">
        <f t="shared" si="177"/>
        <v>#NUM!</v>
      </c>
      <c r="DS155" s="59" t="e">
        <f t="shared" si="125"/>
        <v>#NUM!</v>
      </c>
      <c r="DT155" s="59">
        <f ca="1">AVERAGE(OFFSET($DS$3,0,0,'Données projet'!$E$14+1,1))-AVERAGE(OFFSET($H$3,0,0,'Données projet'!$E$14+1,1))</f>
        <v>371.07993287480366</v>
      </c>
      <c r="DU155" s="59">
        <f t="shared" si="152"/>
        <v>358.67120540290637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>
        <f>EXP(-LN(2)/35)*EA154+(1-EXP(-LN(2)/35))/(LN(2)/35)*DW155*DX155*VLOOKUP('Données projet'!$B$14,Paramètres!$A$1:$I$89,3,0)*0.475*44/12</f>
        <v>9.9353787989010787</v>
      </c>
      <c r="EB155" s="21">
        <f>EXP(-LN(2)/25)*EB154+(1-EXP(-LN(2)/25))/(LN(2)/25)*Calculateur!DW155*Calculateur!DY155*VLOOKUP('Données projet'!$B$14,Paramètres!$A$1:$I$89,3,0)*0.475*44/12</f>
        <v>5.5455468778613417</v>
      </c>
      <c r="EC155" s="21">
        <f>EXP(-LN(2)/2)*EC154+(1-EXP(-LN(2)/2))/(LN(2)/2)*DW155*DZ155*VLOOKUP('Données projet'!$B$14,Paramètres!$A$1:$I$89,3,0)*0.475*44/12</f>
        <v>8.9053899471480878E-10</v>
      </c>
      <c r="ED155" s="22">
        <f t="shared" si="178"/>
        <v>15.48092567765296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45">
      <c r="A156" s="10">
        <f t="shared" si="161"/>
        <v>153</v>
      </c>
      <c r="B156" s="73">
        <f>'Scénario référence'!$B$16*5+'Scénario référence'!$B$17*0+'Scénario référence'!$B$18*5</f>
        <v>5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1">
        <f t="shared" si="140"/>
        <v>0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18.333333333333332</v>
      </c>
      <c r="H156" s="67">
        <f t="shared" si="110"/>
        <v>183.33333333333334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9.3350000000000026</v>
      </c>
      <c r="N156" s="13">
        <f>IF('Données projet'!$A$36&gt;35,N155+M156-V155,IF(A156&lt;'Données projet'!$A$36,$K$205^A156,IF(A156='Données projet'!$A$36,'Données projet'!$B$36,N155+M156-V155)))</f>
        <v>537.15500000000088</v>
      </c>
      <c r="O156" s="13">
        <f>N156*VLOOKUP('Données projet'!$B$9,Paramètres!$A$1:$I$89,3,0)*VLOOKUP('Données projet'!$B$9,Paramètres!$A$1:$I$89,5,0)</f>
        <v>486.01784400000076</v>
      </c>
      <c r="P156" s="13">
        <f t="shared" si="141"/>
        <v>109.01291721682281</v>
      </c>
      <c r="Q156" s="20">
        <f t="shared" si="162"/>
        <v>1036.3452424526342</v>
      </c>
      <c r="R156" s="59">
        <f t="shared" si="109"/>
        <v>1323.3778879421343</v>
      </c>
      <c r="S156" s="59">
        <f ca="1">AVERAGE(OFFSET($R$3,0,0,'Données projet'!$E$9+1,1))-AVERAGE(OFFSET($H$3,0,0,'Données projet'!$E$9+1,1))</f>
        <v>681.47578137804555</v>
      </c>
      <c r="T156" s="59">
        <f t="shared" si="142"/>
        <v>300.88511065995885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41.834664036497585</v>
      </c>
      <c r="AA156" s="21">
        <f>EXP(-LN(2)/25)*AA155+(1-EXP(-LN(2)/25))/(LN(2)/25)*Calculateur!V156*Calculateur!X156*VLOOKUP('Données projet'!$B$9,Paramètres!$A$1:$I$89,3,0)*0.475*44/12</f>
        <v>18.161111194598629</v>
      </c>
      <c r="AB156" s="21">
        <f>EXP(-LN(2)/2)*AB155+(1-EXP(-LN(2)/2))/(LN(2)/2)*V156*Y156*VLOOKUP('Données projet'!$B$9,Paramètres!$A$1:$I$89,3,0)*0.475*44/12</f>
        <v>2.2036580330010038E-4</v>
      </c>
      <c r="AC156" s="22">
        <f t="shared" si="163"/>
        <v>59.995995596899519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3.4106051316484809E-13</v>
      </c>
      <c r="AJ156" s="13">
        <f>AI156*VLOOKUP('Données projet'!$B$10,Paramètres!$A$1:$I$89,3,0)*VLOOKUP('Données projet'!$B$10,Paramètres!$A$1:$I$89,5,0)</f>
        <v>1.5961632016114892E-13</v>
      </c>
      <c r="AK156" s="13">
        <f t="shared" si="164"/>
        <v>2.2708641912150958E-12</v>
      </c>
      <c r="AL156" s="20">
        <f t="shared" si="165"/>
        <v>4.2330868906469593E-12</v>
      </c>
      <c r="AM156" s="59">
        <f t="shared" si="113"/>
        <v>287.0326454895042</v>
      </c>
      <c r="AN156" s="59">
        <f ca="1">AVERAGE(OFFSET($AM$3,0,0,'Données projet'!$E$10+1,1))-AVERAGE(OFFSET($H$3,0,0,'Données projet'!$E$10+1,1))</f>
        <v>325.45940224919184</v>
      </c>
      <c r="AO156" s="59">
        <f t="shared" si="144"/>
        <v>256.30046621034876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54.899006692247596</v>
      </c>
      <c r="AV156" s="21">
        <f>EXP(-LN(2)/25)*AV155+(1-EXP(-LN(2)/25))/(LN(2)/25)*Calculateur!AQ156*Calculateur!AS156*VLOOKUP('Données projet'!$B$10,Paramètres!$A$1:$I$89,3,0)*0.475*44/12</f>
        <v>12.366002625866626</v>
      </c>
      <c r="AW156" s="21">
        <f>EXP(-LN(2)/2)*AW155+(1-EXP(-LN(2)/2))/(LN(2)/2)*AQ156*AT156*VLOOKUP('Données projet'!$B$10,Paramètres!$A$1:$I$89,3,0)*0.475*44/12</f>
        <v>7.5073001429635745E-6</v>
      </c>
      <c r="AX156" s="21">
        <f t="shared" si="166"/>
        <v>67.265016825414364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7.5191666666666634</v>
      </c>
      <c r="BD156" s="12">
        <f>IF('Données projet'!$A$88&gt;35,BD155+BC156-BL155,IF(A156&lt;'Données projet'!$A$88,$BA$205^A156,IF(A156='Données projet'!$A$88,'Données projet'!$B$88,BD155+BC156-BL155)))</f>
        <v>386.64249999999964</v>
      </c>
      <c r="BE156" s="13">
        <f>BD156*VLOOKUP('Données projet'!$B$11,Paramètres!$A$1:$I$89,3,0)*VLOOKUP('Données projet'!$B$11,Paramètres!$A$1:$I$89,5,0)</f>
        <v>392.05549499999967</v>
      </c>
      <c r="BF156" s="13">
        <f t="shared" si="167"/>
        <v>90.164163082094575</v>
      </c>
      <c r="BG156" s="20">
        <f t="shared" si="168"/>
        <v>839.8659044929808</v>
      </c>
      <c r="BH156" s="59">
        <f t="shared" si="116"/>
        <v>1126.8985499824807</v>
      </c>
      <c r="BI156" s="59">
        <f ca="1">AVERAGE(OFFSET($BH$3,0,0,'Données projet'!$E$11+1,1))-AVERAGE(OFFSET($H$3,0,0,'Données projet'!$E$11+1,1))</f>
        <v>580.02848304986492</v>
      </c>
      <c r="BJ156" s="59">
        <f t="shared" si="146"/>
        <v>281.68891895586728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27.846084843529127</v>
      </c>
      <c r="BQ156" s="21">
        <f>EXP(-LN(2)/25)*BQ155+(1-EXP(-LN(2)/25))/(LN(2)/25)*Calculateur!BL156*Calculateur!BN156*VLOOKUP('Données projet'!$B$11,Paramètres!$A$1:$I$89,3,0)*0.475*44/12</f>
        <v>17.989682510443149</v>
      </c>
      <c r="BR156" s="21">
        <f>EXP(-LN(2)/2)*BR155+(1-EXP(-LN(2)/2))/(LN(2)/2)*BL156*BO156*VLOOKUP('Données projet'!$B$11,Paramètres!$A$1:$I$89,3,0)*0.475*44/12</f>
        <v>0.26102581957022181</v>
      </c>
      <c r="BS156" s="22">
        <f t="shared" si="169"/>
        <v>46.096793173542494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>
        <f>BY156*VLOOKUP('Données projet'!$B$12,Paramètres!$A$1:$I$89,3,0)*VLOOKUP('Données projet'!$B$12,Paramètres!$A$1:$I$89,5,0)</f>
        <v>0</v>
      </c>
      <c r="CA156" s="13" t="e">
        <f t="shared" si="170"/>
        <v>#NUM!</v>
      </c>
      <c r="CB156" s="20" t="e">
        <f t="shared" si="171"/>
        <v>#NUM!</v>
      </c>
      <c r="CC156" s="59" t="e">
        <f t="shared" si="119"/>
        <v>#NUM!</v>
      </c>
      <c r="CD156" s="59">
        <f ca="1">AVERAGE(OFFSET($CC$3,0,0,'Données projet'!$E$12+1,1))-AVERAGE(OFFSET($H$3,0,0,'Données projet'!$E$12+1,1))</f>
        <v>439.15394290667945</v>
      </c>
      <c r="CE156" s="59">
        <f t="shared" si="148"/>
        <v>423.56554025351068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11.883473538377537</v>
      </c>
      <c r="CL156" s="21">
        <f>EXP(-LN(2)/25)*CL155+(1-EXP(-LN(2)/25))/(LN(2)/25)*Calculateur!CG156*Calculateur!CI156*VLOOKUP('Données projet'!$B$12,Paramètres!$A$1:$I$89,3,0)*0.475*44/12</f>
        <v>6.5805624003674783</v>
      </c>
      <c r="CM156" s="21">
        <f>EXP(-LN(2)/2)*CM155+(1-EXP(-LN(2)/2))/(LN(2)/2)*CG156*CJ156*VLOOKUP('Données projet'!$B$12,Paramètres!$A$1:$I$89,3,0)*0.475*44/12</f>
        <v>7.6824151773014699E-10</v>
      </c>
      <c r="CN156" s="22">
        <f t="shared" si="172"/>
        <v>18.464035939513256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>
        <f>CT156*VLOOKUP('Données projet'!$B$13,Paramètres!$A$1:$I$89,3,0)*VLOOKUP('Données projet'!$B$13,Paramètres!$A$1:$I$89,5,0)</f>
        <v>0</v>
      </c>
      <c r="CV156" s="13" t="e">
        <f t="shared" si="173"/>
        <v>#NUM!</v>
      </c>
      <c r="CW156" s="20" t="e">
        <f t="shared" si="174"/>
        <v>#NUM!</v>
      </c>
      <c r="CX156" s="59" t="e">
        <f t="shared" si="122"/>
        <v>#NUM!</v>
      </c>
      <c r="CY156" s="59">
        <f ca="1">AVERAGE(OFFSET($CX$3,0,0,'Données projet'!$E$13+1,1))-AVERAGE(OFFSET($H$3,0,0,'Données projet'!$E$13+1,1))</f>
        <v>408.246209980743</v>
      </c>
      <c r="CZ156" s="59">
        <f t="shared" si="150"/>
        <v>394.10236303013903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>
        <f>EXP(-LN(2)/35)*DF155+(1-EXP(-LN(2)/35))/(LN(2)/35)*DB156*DC156*VLOOKUP('Données projet'!$B$13,Paramètres!$A$1:$I$89,3,0)*0.475*44/12</f>
        <v>13.446492360619363</v>
      </c>
      <c r="DG156" s="21">
        <f>EXP(-LN(2)/25)*DG155+(1-EXP(-LN(2)/25))/(LN(2)/25)*Calculateur!DB156*Calculateur!DD156*VLOOKUP('Données projet'!$B$13,Paramètres!$A$1:$I$89,3,0)*0.475*44/12</f>
        <v>7.4460957698401415</v>
      </c>
      <c r="DH156" s="21">
        <f>EXP(-LN(2)/2)*DH155+(1-EXP(-LN(2)/2))/(LN(2)/2)*DB156*DE156*VLOOKUP('Données projet'!$B$13,Paramètres!$A$1:$I$89,3,0)*0.475*44/12</f>
        <v>7.052709015227581E-10</v>
      </c>
      <c r="DI156" s="22">
        <f t="shared" si="175"/>
        <v>20.892588131164775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>
        <f>DO156*VLOOKUP('Données projet'!$B$14,Paramètres!$A$1:$I$89,3,0)*VLOOKUP('Données projet'!$B$14,Paramètres!$A$1:$I$89,5,0)</f>
        <v>0</v>
      </c>
      <c r="DQ156" s="13" t="e">
        <f t="shared" si="176"/>
        <v>#NUM!</v>
      </c>
      <c r="DR156" s="20" t="e">
        <f t="shared" si="177"/>
        <v>#NUM!</v>
      </c>
      <c r="DS156" s="59" t="e">
        <f t="shared" si="125"/>
        <v>#NUM!</v>
      </c>
      <c r="DT156" s="59">
        <f ca="1">AVERAGE(OFFSET($DS$3,0,0,'Données projet'!$E$14+1,1))-AVERAGE(OFFSET($H$3,0,0,'Données projet'!$E$14+1,1))</f>
        <v>371.07993287480366</v>
      </c>
      <c r="DU156" s="59">
        <f t="shared" si="152"/>
        <v>358.67120540290637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>
        <f>EXP(-LN(2)/35)*EA155+(1-EXP(-LN(2)/35))/(LN(2)/35)*DW156*DX156*VLOOKUP('Données projet'!$B$14,Paramètres!$A$1:$I$89,3,0)*0.475*44/12</f>
        <v>9.7405520806373218</v>
      </c>
      <c r="EB156" s="21">
        <f>EXP(-LN(2)/25)*EB155+(1-EXP(-LN(2)/25))/(LN(2)/25)*Calculateur!DW156*Calculateur!DY156*VLOOKUP('Données projet'!$B$14,Paramètres!$A$1:$I$89,3,0)*0.475*44/12</f>
        <v>5.3939036068585873</v>
      </c>
      <c r="EC156" s="21">
        <f>EXP(-LN(2)/2)*EC155+(1-EXP(-LN(2)/2))/(LN(2)/2)*DW156*DZ156*VLOOKUP('Données projet'!$B$14,Paramètres!$A$1:$I$89,3,0)*0.475*44/12</f>
        <v>6.2970616207389229E-10</v>
      </c>
      <c r="ED156" s="22">
        <f t="shared" si="178"/>
        <v>15.134455688125614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45">
      <c r="A157" s="10">
        <f t="shared" si="161"/>
        <v>154</v>
      </c>
      <c r="B157" s="73">
        <f>'Scénario référence'!$B$16*5+'Scénario référence'!$B$17*0+'Scénario référence'!$B$18*5</f>
        <v>5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1">
        <f t="shared" si="140"/>
        <v>0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18.333333333333332</v>
      </c>
      <c r="H157" s="67">
        <f t="shared" si="110"/>
        <v>183.33333333333334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>
        <f>VLOOKUP(A157,'Données projet'!$A$35:$I$55,2,0)</f>
        <v>546.49</v>
      </c>
      <c r="L157" s="12">
        <f>VLOOKUP(A157,'Données projet'!$A$35:$I$55,9,0)</f>
        <v>9.3350000000000026</v>
      </c>
      <c r="M157" s="12">
        <f t="array" ref="M157">INDEX(L:L,MIN(IF(ISNUMBER(L157:L353),ROW(L157:L353),"")))</f>
        <v>9.3350000000000026</v>
      </c>
      <c r="N157" s="13">
        <f>IF('Données projet'!$A$36&gt;35,N156+M157-V156,IF(A157&lt;'Données projet'!$A$36,$K$205^A157,IF(A157='Données projet'!$A$36,'Données projet'!$B$36,N156+M157-V156)))</f>
        <v>546.49000000000092</v>
      </c>
      <c r="O157" s="13">
        <f>N157*VLOOKUP('Données projet'!$B$9,Paramètres!$A$1:$I$89,3,0)*VLOOKUP('Données projet'!$B$9,Paramètres!$A$1:$I$89,5,0)</f>
        <v>494.46415200000081</v>
      </c>
      <c r="P157" s="13">
        <f t="shared" si="141"/>
        <v>110.68520764370523</v>
      </c>
      <c r="Q157" s="20">
        <f t="shared" si="162"/>
        <v>1053.9684680461214</v>
      </c>
      <c r="R157" s="59">
        <f t="shared" si="109"/>
        <v>1341.1104163834841</v>
      </c>
      <c r="S157" s="59">
        <f ca="1">AVERAGE(OFFSET($R$3,0,0,'Données projet'!$E$9+1,1))-AVERAGE(OFFSET($H$3,0,0,'Données projet'!$E$9+1,1))</f>
        <v>681.47578137804555</v>
      </c>
      <c r="T157" s="59">
        <f t="shared" si="142"/>
        <v>300.88511065995885</v>
      </c>
      <c r="U157" s="15">
        <f>IF(ISNA(VLOOKUP(A157,'Données projet'!$A$35:$I$55,3,0)),0,VLOOKUP(A157,'Données projet'!$A$35:$I$55,3,0))</f>
        <v>13</v>
      </c>
      <c r="V157" s="15">
        <f>IF(ISNA(VLOOKUP(A157,'Données projet'!$A$35:$I$55,4,0)),0,VLOOKUP(A157,'Données projet'!$A$35:$I$55,4,0))</f>
        <v>61.050000000000011</v>
      </c>
      <c r="W157" s="16">
        <f>IF(ISNA(VLOOKUP(A157,'Données projet'!$A$35:$I$55,5,0)),0%,VLOOKUP(A157,'Données projet'!$A$35:$I$55,5,0)*VLOOKUP('Données projet'!$B$9,Paramètres!$A$1:$I$89,7,0))</f>
        <v>0.215</v>
      </c>
      <c r="X157" s="16">
        <f>IF(ISNA(VLOOKUP(A157,'Données projet'!$A$35:$I$55,6,0)),0%,VLOOKUP(A157,'Données projet'!$A$35:$I$55,6,0)*VLOOKUP('Données projet'!$B$9,Paramètres!$A$1:$I$89,7,0))</f>
        <v>8.6000000000000007E-2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54.143075455710473</v>
      </c>
      <c r="AA157" s="21">
        <f>EXP(-LN(2)/25)*AA156+(1-EXP(-LN(2)/25))/(LN(2)/25)*Calculateur!V157*Calculateur!X157*VLOOKUP('Données projet'!$B$9,Paramètres!$A$1:$I$89,3,0)*0.475*44/12</f>
        <v>22.895322941669175</v>
      </c>
      <c r="AB157" s="21">
        <f>EXP(-LN(2)/2)*AB156+(1-EXP(-LN(2)/2))/(LN(2)/2)*V157*Y157*VLOOKUP('Données projet'!$B$9,Paramètres!$A$1:$I$89,3,0)*0.475*44/12</f>
        <v>1.5582215385512185E-4</v>
      </c>
      <c r="AC157" s="22">
        <f t="shared" si="163"/>
        <v>77.038554219533509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3.4106051316484809E-13</v>
      </c>
      <c r="AJ157" s="13">
        <f>AI157*VLOOKUP('Données projet'!$B$10,Paramètres!$A$1:$I$89,3,0)*VLOOKUP('Données projet'!$B$10,Paramètres!$A$1:$I$89,5,0)</f>
        <v>1.5961632016114892E-13</v>
      </c>
      <c r="AK157" s="13">
        <f t="shared" si="164"/>
        <v>2.2708641912150958E-12</v>
      </c>
      <c r="AL157" s="20">
        <f t="shared" si="165"/>
        <v>4.2330868906469593E-12</v>
      </c>
      <c r="AM157" s="59">
        <f t="shared" si="113"/>
        <v>287.14194833736696</v>
      </c>
      <c r="AN157" s="59">
        <f ca="1">AVERAGE(OFFSET($AM$3,0,0,'Données projet'!$E$10+1,1))-AVERAGE(OFFSET($H$3,0,0,'Données projet'!$E$10+1,1))</f>
        <v>325.45940224919184</v>
      </c>
      <c r="AO157" s="59">
        <f t="shared" si="144"/>
        <v>256.30046621034876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53.822470656100329</v>
      </c>
      <c r="AV157" s="21">
        <f>EXP(-LN(2)/25)*AV156+(1-EXP(-LN(2)/25))/(LN(2)/25)*Calculateur!AQ157*Calculateur!AS157*VLOOKUP('Données projet'!$B$10,Paramètres!$A$1:$I$89,3,0)*0.475*44/12</f>
        <v>12.027853633762488</v>
      </c>
      <c r="AW157" s="21">
        <f>EXP(-LN(2)/2)*AW156+(1-EXP(-LN(2)/2))/(LN(2)/2)*AQ157*AT157*VLOOKUP('Données projet'!$B$10,Paramètres!$A$1:$I$89,3,0)*0.475*44/12</f>
        <v>5.3084628394922816E-6</v>
      </c>
      <c r="AX157" s="21">
        <f t="shared" si="166"/>
        <v>65.850329598325658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7.5191666666666634</v>
      </c>
      <c r="BD157" s="12">
        <f>IF('Données projet'!$A$88&gt;35,BD156+BC157-BL156,IF(A157&lt;'Données projet'!$A$88,$BA$205^A157,IF(A157='Données projet'!$A$88,'Données projet'!$B$88,BD156+BC157-BL156)))</f>
        <v>394.16166666666629</v>
      </c>
      <c r="BE157" s="13">
        <f>BD157*VLOOKUP('Données projet'!$B$11,Paramètres!$A$1:$I$89,3,0)*VLOOKUP('Données projet'!$B$11,Paramètres!$A$1:$I$89,5,0)</f>
        <v>399.67992999999967</v>
      </c>
      <c r="BF157" s="13">
        <f t="shared" si="167"/>
        <v>91.711772917902209</v>
      </c>
      <c r="BG157" s="20">
        <f t="shared" si="168"/>
        <v>855.84054924867905</v>
      </c>
      <c r="BH157" s="59">
        <f t="shared" si="116"/>
        <v>1142.9824975860417</v>
      </c>
      <c r="BI157" s="59">
        <f ca="1">AVERAGE(OFFSET($BH$3,0,0,'Données projet'!$E$11+1,1))-AVERAGE(OFFSET($H$3,0,0,'Données projet'!$E$11+1,1))</f>
        <v>580.02848304986492</v>
      </c>
      <c r="BJ157" s="59">
        <f t="shared" si="146"/>
        <v>281.68891895586728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27.300040104182202</v>
      </c>
      <c r="BQ157" s="21">
        <f>EXP(-LN(2)/25)*BQ156+(1-EXP(-LN(2)/25))/(LN(2)/25)*Calculateur!BL157*Calculateur!BN157*VLOOKUP('Données projet'!$B$11,Paramètres!$A$1:$I$89,3,0)*0.475*44/12</f>
        <v>17.497753696158796</v>
      </c>
      <c r="BR157" s="21">
        <f>EXP(-LN(2)/2)*BR156+(1-EXP(-LN(2)/2))/(LN(2)/2)*BL157*BO157*VLOOKUP('Données projet'!$B$11,Paramètres!$A$1:$I$89,3,0)*0.475*44/12</f>
        <v>0.18457312708288007</v>
      </c>
      <c r="BS157" s="22">
        <f t="shared" si="169"/>
        <v>44.982366927423875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>
        <f>BY157*VLOOKUP('Données projet'!$B$12,Paramètres!$A$1:$I$89,3,0)*VLOOKUP('Données projet'!$B$12,Paramètres!$A$1:$I$89,5,0)</f>
        <v>0</v>
      </c>
      <c r="CA157" s="13" t="e">
        <f t="shared" si="170"/>
        <v>#NUM!</v>
      </c>
      <c r="CB157" s="20" t="e">
        <f t="shared" si="171"/>
        <v>#NUM!</v>
      </c>
      <c r="CC157" s="59" t="e">
        <f t="shared" si="119"/>
        <v>#NUM!</v>
      </c>
      <c r="CD157" s="59">
        <f ca="1">AVERAGE(OFFSET($CC$3,0,0,'Données projet'!$E$12+1,1))-AVERAGE(OFFSET($H$3,0,0,'Données projet'!$E$12+1,1))</f>
        <v>439.15394290667945</v>
      </c>
      <c r="CE157" s="59">
        <f t="shared" si="148"/>
        <v>423.56554025351068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11.650445870493112</v>
      </c>
      <c r="CL157" s="21">
        <f>EXP(-LN(2)/25)*CL156+(1-EXP(-LN(2)/25))/(LN(2)/25)*Calculateur!CG157*Calculateur!CI157*VLOOKUP('Données projet'!$B$12,Paramètres!$A$1:$I$89,3,0)*0.475*44/12</f>
        <v>6.4006165754726929</v>
      </c>
      <c r="CM157" s="21">
        <f>EXP(-LN(2)/2)*CM156+(1-EXP(-LN(2)/2))/(LN(2)/2)*CG157*CJ157*VLOOKUP('Données projet'!$B$12,Paramètres!$A$1:$I$89,3,0)*0.475*44/12</f>
        <v>5.4322878677603221E-10</v>
      </c>
      <c r="CN157" s="22">
        <f t="shared" si="172"/>
        <v>18.051062446509032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>
        <f>CT157*VLOOKUP('Données projet'!$B$13,Paramètres!$A$1:$I$89,3,0)*VLOOKUP('Données projet'!$B$13,Paramètres!$A$1:$I$89,5,0)</f>
        <v>0</v>
      </c>
      <c r="CV157" s="13" t="e">
        <f t="shared" si="173"/>
        <v>#NUM!</v>
      </c>
      <c r="CW157" s="20" t="e">
        <f t="shared" si="174"/>
        <v>#NUM!</v>
      </c>
      <c r="CX157" s="59" t="e">
        <f t="shared" si="122"/>
        <v>#NUM!</v>
      </c>
      <c r="CY157" s="59">
        <f ca="1">AVERAGE(OFFSET($CX$3,0,0,'Données projet'!$E$13+1,1))-AVERAGE(OFFSET($H$3,0,0,'Données projet'!$E$13+1,1))</f>
        <v>408.246209980743</v>
      </c>
      <c r="CZ157" s="59">
        <f t="shared" si="150"/>
        <v>394.10236303013903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>
        <f>EXP(-LN(2)/35)*DF156+(1-EXP(-LN(2)/35))/(LN(2)/35)*DB157*DC157*VLOOKUP('Données projet'!$B$13,Paramètres!$A$1:$I$89,3,0)*0.475*44/12</f>
        <v>13.182814846978122</v>
      </c>
      <c r="DG157" s="21">
        <f>EXP(-LN(2)/25)*DG156+(1-EXP(-LN(2)/25))/(LN(2)/25)*Calculateur!DB157*Calculateur!DD157*VLOOKUP('Données projet'!$B$13,Paramètres!$A$1:$I$89,3,0)*0.475*44/12</f>
        <v>7.2424818894407048</v>
      </c>
      <c r="DH157" s="21">
        <f>EXP(-LN(2)/2)*DH156+(1-EXP(-LN(2)/2))/(LN(2)/2)*DB157*DE157*VLOOKUP('Données projet'!$B$13,Paramètres!$A$1:$I$89,3,0)*0.475*44/12</f>
        <v>4.9870183704029201E-10</v>
      </c>
      <c r="DI157" s="22">
        <f t="shared" si="175"/>
        <v>20.425296736917527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>
        <f>DO157*VLOOKUP('Données projet'!$B$14,Paramètres!$A$1:$I$89,3,0)*VLOOKUP('Données projet'!$B$14,Paramètres!$A$1:$I$89,5,0)</f>
        <v>0</v>
      </c>
      <c r="DQ157" s="13" t="e">
        <f t="shared" si="176"/>
        <v>#NUM!</v>
      </c>
      <c r="DR157" s="20" t="e">
        <f t="shared" si="177"/>
        <v>#NUM!</v>
      </c>
      <c r="DS157" s="59" t="e">
        <f t="shared" si="125"/>
        <v>#NUM!</v>
      </c>
      <c r="DT157" s="59">
        <f ca="1">AVERAGE(OFFSET($DS$3,0,0,'Données projet'!$E$14+1,1))-AVERAGE(OFFSET($H$3,0,0,'Données projet'!$E$14+1,1))</f>
        <v>371.07993287480366</v>
      </c>
      <c r="DU157" s="59">
        <f t="shared" si="152"/>
        <v>358.67120540290637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>
        <f>EXP(-LN(2)/35)*EA156+(1-EXP(-LN(2)/35))/(LN(2)/35)*DW157*DX157*VLOOKUP('Données projet'!$B$14,Paramètres!$A$1:$I$89,3,0)*0.475*44/12</f>
        <v>9.5495457954861536</v>
      </c>
      <c r="EB157" s="21">
        <f>EXP(-LN(2)/25)*EB156+(1-EXP(-LN(2)/25))/(LN(2)/25)*Calculateur!DW157*Calculateur!DY157*VLOOKUP('Données projet'!$B$14,Paramètres!$A$1:$I$89,3,0)*0.475*44/12</f>
        <v>5.2464070290759768</v>
      </c>
      <c r="EC157" s="21">
        <f>EXP(-LN(2)/2)*EC156+(1-EXP(-LN(2)/2))/(LN(2)/2)*DW157*DZ157*VLOOKUP('Données projet'!$B$14,Paramètres!$A$1:$I$89,3,0)*0.475*44/12</f>
        <v>4.4526949735740439E-10</v>
      </c>
      <c r="ED157" s="22">
        <f t="shared" si="178"/>
        <v>14.795952825007399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45">
      <c r="A158" s="10">
        <f t="shared" si="161"/>
        <v>155</v>
      </c>
      <c r="B158" s="73">
        <f>'Scénario référence'!$B$16*5+'Scénario référence'!$B$17*0+'Scénario référence'!$B$18*5</f>
        <v>5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1">
        <f t="shared" si="140"/>
        <v>0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18.333333333333332</v>
      </c>
      <c r="H158" s="67">
        <f t="shared" si="110"/>
        <v>183.33333333333334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9.4880000000000049</v>
      </c>
      <c r="N158" s="13">
        <f>IF('Données projet'!$A$36&gt;35,N157+M158-V157,IF(A158&lt;'Données projet'!$A$36,$K$205^A158,IF(A158='Données projet'!$A$36,'Données projet'!$B$36,N157+M158-V157)))</f>
        <v>494.92800000000096</v>
      </c>
      <c r="O158" s="13">
        <f>N158*VLOOKUP('Données projet'!$B$9,Paramètres!$A$1:$I$89,3,0)*VLOOKUP('Données projet'!$B$9,Paramètres!$A$1:$I$89,5,0)</f>
        <v>447.81085440000084</v>
      </c>
      <c r="P158" s="13">
        <f t="shared" si="141"/>
        <v>101.40497625718913</v>
      </c>
      <c r="Q158" s="20">
        <f t="shared" si="162"/>
        <v>956.55090506127237</v>
      </c>
      <c r="R158" s="59">
        <f t="shared" si="109"/>
        <v>1243.800260086452</v>
      </c>
      <c r="S158" s="59">
        <f ca="1">AVERAGE(OFFSET($R$3,0,0,'Données projet'!$E$9+1,1))-AVERAGE(OFFSET($H$3,0,0,'Données projet'!$E$9+1,1))</f>
        <v>681.47578137804555</v>
      </c>
      <c r="T158" s="59">
        <f t="shared" si="142"/>
        <v>300.88511065995885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53.081362770039171</v>
      </c>
      <c r="AA158" s="21">
        <f>EXP(-LN(2)/25)*AA157+(1-EXP(-LN(2)/25))/(LN(2)/25)*Calculateur!V158*Calculateur!X158*VLOOKUP('Données projet'!$B$9,Paramètres!$A$1:$I$89,3,0)*0.475*44/12</f>
        <v>22.269249131816526</v>
      </c>
      <c r="AB158" s="21">
        <f>EXP(-LN(2)/2)*AB157+(1-EXP(-LN(2)/2))/(LN(2)/2)*V158*Y158*VLOOKUP('Données projet'!$B$9,Paramètres!$A$1:$I$89,3,0)*0.475*44/12</f>
        <v>1.1018290165005019E-4</v>
      </c>
      <c r="AC158" s="22">
        <f t="shared" si="163"/>
        <v>75.350722084757351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3.4106051316484809E-13</v>
      </c>
      <c r="AJ158" s="13">
        <f>AI158*VLOOKUP('Données projet'!$B$10,Paramètres!$A$1:$I$89,3,0)*VLOOKUP('Données projet'!$B$10,Paramètres!$A$1:$I$89,5,0)</f>
        <v>1.5961632016114892E-13</v>
      </c>
      <c r="AK158" s="13">
        <f t="shared" si="164"/>
        <v>2.2708641912150958E-12</v>
      </c>
      <c r="AL158" s="20">
        <f t="shared" si="165"/>
        <v>4.2330868906469593E-12</v>
      </c>
      <c r="AM158" s="59">
        <f t="shared" si="113"/>
        <v>287.24935502518389</v>
      </c>
      <c r="AN158" s="59">
        <f ca="1">AVERAGE(OFFSET($AM$3,0,0,'Données projet'!$E$10+1,1))-AVERAGE(OFFSET($H$3,0,0,'Données projet'!$E$10+1,1))</f>
        <v>325.45940224919184</v>
      </c>
      <c r="AO158" s="59">
        <f t="shared" si="144"/>
        <v>256.30046621034876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52.767044834999759</v>
      </c>
      <c r="AV158" s="21">
        <f>EXP(-LN(2)/25)*AV157+(1-EXP(-LN(2)/25))/(LN(2)/25)*Calculateur!AQ158*Calculateur!AS158*VLOOKUP('Données projet'!$B$10,Paramètres!$A$1:$I$89,3,0)*0.475*44/12</f>
        <v>11.69895134362992</v>
      </c>
      <c r="AW158" s="21">
        <f>EXP(-LN(2)/2)*AW157+(1-EXP(-LN(2)/2))/(LN(2)/2)*AQ158*AT158*VLOOKUP('Données projet'!$B$10,Paramètres!$A$1:$I$89,3,0)*0.475*44/12</f>
        <v>3.7536500714817877E-6</v>
      </c>
      <c r="AX158" s="21">
        <f t="shared" si="166"/>
        <v>64.465999932279757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7.5191666666666634</v>
      </c>
      <c r="BD158" s="12">
        <f>IF('Données projet'!$A$88&gt;35,BD157+BC158-BL157,IF(A158&lt;'Données projet'!$A$88,$BA$205^A158,IF(A158='Données projet'!$A$88,'Données projet'!$B$88,BD157+BC158-BL157)))</f>
        <v>401.68083333333294</v>
      </c>
      <c r="BE158" s="13">
        <f>BD158*VLOOKUP('Données projet'!$B$11,Paramètres!$A$1:$I$89,3,0)*VLOOKUP('Données projet'!$B$11,Paramètres!$A$1:$I$89,5,0)</f>
        <v>407.30436499999962</v>
      </c>
      <c r="BF158" s="13">
        <f t="shared" si="167"/>
        <v>93.255949897998832</v>
      </c>
      <c r="BG158" s="20">
        <f t="shared" si="168"/>
        <v>871.80921511401391</v>
      </c>
      <c r="BH158" s="59">
        <f t="shared" si="116"/>
        <v>1159.0585701391935</v>
      </c>
      <c r="BI158" s="59">
        <f ca="1">AVERAGE(OFFSET($BH$3,0,0,'Données projet'!$E$11+1,1))-AVERAGE(OFFSET($H$3,0,0,'Données projet'!$E$11+1,1))</f>
        <v>580.02848304986492</v>
      </c>
      <c r="BJ158" s="59">
        <f t="shared" si="146"/>
        <v>281.68891895586728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26.764702969119465</v>
      </c>
      <c r="BQ158" s="21">
        <f>EXP(-LN(2)/25)*BQ157+(1-EXP(-LN(2)/25))/(LN(2)/25)*Calculateur!BL158*Calculateur!BN158*VLOOKUP('Données projet'!$B$11,Paramètres!$A$1:$I$89,3,0)*0.475*44/12</f>
        <v>17.019276701170458</v>
      </c>
      <c r="BR158" s="21">
        <f>EXP(-LN(2)/2)*BR157+(1-EXP(-LN(2)/2))/(LN(2)/2)*BL158*BO158*VLOOKUP('Données projet'!$B$11,Paramètres!$A$1:$I$89,3,0)*0.475*44/12</f>
        <v>0.1305129097851109</v>
      </c>
      <c r="BS158" s="22">
        <f t="shared" si="169"/>
        <v>43.914492580075034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>
        <f>BY158*VLOOKUP('Données projet'!$B$12,Paramètres!$A$1:$I$89,3,0)*VLOOKUP('Données projet'!$B$12,Paramètres!$A$1:$I$89,5,0)</f>
        <v>0</v>
      </c>
      <c r="CA158" s="13" t="e">
        <f t="shared" si="170"/>
        <v>#NUM!</v>
      </c>
      <c r="CB158" s="20" t="e">
        <f t="shared" si="171"/>
        <v>#NUM!</v>
      </c>
      <c r="CC158" s="59" t="e">
        <f t="shared" si="119"/>
        <v>#NUM!</v>
      </c>
      <c r="CD158" s="59">
        <f ca="1">AVERAGE(OFFSET($CC$3,0,0,'Données projet'!$E$12+1,1))-AVERAGE(OFFSET($H$3,0,0,'Données projet'!$E$12+1,1))</f>
        <v>439.15394290667945</v>
      </c>
      <c r="CE158" s="59">
        <f t="shared" si="148"/>
        <v>423.56554025351068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11.421987733043057</v>
      </c>
      <c r="CL158" s="21">
        <f>EXP(-LN(2)/25)*CL157+(1-EXP(-LN(2)/25))/(LN(2)/25)*Calculateur!CG158*Calculateur!CI158*VLOOKUP('Données projet'!$B$12,Paramètres!$A$1:$I$89,3,0)*0.475*44/12</f>
        <v>6.2255913786225952</v>
      </c>
      <c r="CM158" s="21">
        <f>EXP(-LN(2)/2)*CM157+(1-EXP(-LN(2)/2))/(LN(2)/2)*CG158*CJ158*VLOOKUP('Données projet'!$B$12,Paramètres!$A$1:$I$89,3,0)*0.475*44/12</f>
        <v>3.841207588650735E-10</v>
      </c>
      <c r="CN158" s="22">
        <f t="shared" si="172"/>
        <v>17.647579112049772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>
        <f>CT158*VLOOKUP('Données projet'!$B$13,Paramètres!$A$1:$I$89,3,0)*VLOOKUP('Données projet'!$B$13,Paramètres!$A$1:$I$89,5,0)</f>
        <v>0</v>
      </c>
      <c r="CV158" s="13" t="e">
        <f t="shared" si="173"/>
        <v>#NUM!</v>
      </c>
      <c r="CW158" s="20" t="e">
        <f t="shared" si="174"/>
        <v>#NUM!</v>
      </c>
      <c r="CX158" s="59" t="e">
        <f t="shared" si="122"/>
        <v>#NUM!</v>
      </c>
      <c r="CY158" s="59">
        <f ca="1">AVERAGE(OFFSET($CX$3,0,0,'Données projet'!$E$13+1,1))-AVERAGE(OFFSET($H$3,0,0,'Données projet'!$E$13+1,1))</f>
        <v>408.246209980743</v>
      </c>
      <c r="CZ158" s="59">
        <f t="shared" si="150"/>
        <v>394.10236303013903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>
        <f>EXP(-LN(2)/35)*DF157+(1-EXP(-LN(2)/35))/(LN(2)/35)*DB158*DC158*VLOOKUP('Données projet'!$B$13,Paramètres!$A$1:$I$89,3,0)*0.475*44/12</f>
        <v>12.924307888551983</v>
      </c>
      <c r="DG158" s="21">
        <f>EXP(-LN(2)/25)*DG157+(1-EXP(-LN(2)/25))/(LN(2)/25)*Calculateur!DB158*Calculateur!DD158*VLOOKUP('Données projet'!$B$13,Paramètres!$A$1:$I$89,3,0)*0.475*44/12</f>
        <v>7.0444358413083794</v>
      </c>
      <c r="DH158" s="21">
        <f>EXP(-LN(2)/2)*DH157+(1-EXP(-LN(2)/2))/(LN(2)/2)*DB158*DE158*VLOOKUP('Données projet'!$B$13,Paramètres!$A$1:$I$89,3,0)*0.475*44/12</f>
        <v>3.5263545076137905E-10</v>
      </c>
      <c r="DI158" s="22">
        <f t="shared" si="175"/>
        <v>19.968743730212999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>
        <f>DO158*VLOOKUP('Données projet'!$B$14,Paramètres!$A$1:$I$89,3,0)*VLOOKUP('Données projet'!$B$14,Paramètres!$A$1:$I$89,5,0)</f>
        <v>0</v>
      </c>
      <c r="DQ158" s="13" t="e">
        <f t="shared" si="176"/>
        <v>#NUM!</v>
      </c>
      <c r="DR158" s="20" t="e">
        <f t="shared" si="177"/>
        <v>#NUM!</v>
      </c>
      <c r="DS158" s="59" t="e">
        <f t="shared" si="125"/>
        <v>#NUM!</v>
      </c>
      <c r="DT158" s="59">
        <f ca="1">AVERAGE(OFFSET($DS$3,0,0,'Données projet'!$E$14+1,1))-AVERAGE(OFFSET($H$3,0,0,'Données projet'!$E$14+1,1))</f>
        <v>371.07993287480366</v>
      </c>
      <c r="DU158" s="59">
        <f t="shared" si="152"/>
        <v>358.67120540290637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>
        <f>EXP(-LN(2)/35)*EA157+(1-EXP(-LN(2)/35))/(LN(2)/35)*DW158*DX158*VLOOKUP('Données projet'!$B$14,Paramètres!$A$1:$I$89,3,0)*0.475*44/12</f>
        <v>9.3622850270844697</v>
      </c>
      <c r="EB158" s="21">
        <f>EXP(-LN(2)/25)*EB157+(1-EXP(-LN(2)/25))/(LN(2)/25)*Calculateur!DW158*Calculateur!DY158*VLOOKUP('Données projet'!$B$14,Paramètres!$A$1:$I$89,3,0)*0.475*44/12</f>
        <v>5.1029437529693391</v>
      </c>
      <c r="EC158" s="21">
        <f>EXP(-LN(2)/2)*EC157+(1-EXP(-LN(2)/2))/(LN(2)/2)*DW158*DZ158*VLOOKUP('Données projet'!$B$14,Paramètres!$A$1:$I$89,3,0)*0.475*44/12</f>
        <v>3.1485308103694614E-10</v>
      </c>
      <c r="ED158" s="22">
        <f t="shared" si="178"/>
        <v>14.465228780368664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45">
      <c r="A159" s="10">
        <f t="shared" si="161"/>
        <v>156</v>
      </c>
      <c r="B159" s="73">
        <f>'Scénario référence'!$B$16*5+'Scénario référence'!$B$17*0+'Scénario référence'!$B$18*5</f>
        <v>5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1">
        <f t="shared" si="140"/>
        <v>0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18.333333333333332</v>
      </c>
      <c r="H159" s="67">
        <f t="shared" si="110"/>
        <v>183.33333333333334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9.4880000000000049</v>
      </c>
      <c r="N159" s="13">
        <f>IF('Données projet'!$A$36&gt;35,N158+M159-V158,IF(A159&lt;'Données projet'!$A$36,$K$205^A159,IF(A159='Données projet'!$A$36,'Données projet'!$B$36,N158+M159-V158)))</f>
        <v>504.41600000000096</v>
      </c>
      <c r="O159" s="13">
        <f>N159*VLOOKUP('Données projet'!$B$9,Paramètres!$A$1:$I$89,3,0)*VLOOKUP('Données projet'!$B$9,Paramètres!$A$1:$I$89,5,0)</f>
        <v>456.39559680000082</v>
      </c>
      <c r="P159" s="13">
        <f t="shared" si="141"/>
        <v>103.12077454694855</v>
      </c>
      <c r="Q159" s="20">
        <f t="shared" si="162"/>
        <v>974.49101342927031</v>
      </c>
      <c r="R159" s="59">
        <f t="shared" si="109"/>
        <v>1261.8459118763585</v>
      </c>
      <c r="S159" s="59">
        <f ca="1">AVERAGE(OFFSET($R$3,0,0,'Données projet'!$E$9+1,1))-AVERAGE(OFFSET($H$3,0,0,'Données projet'!$E$9+1,1))</f>
        <v>681.47578137804555</v>
      </c>
      <c r="T159" s="59">
        <f t="shared" si="142"/>
        <v>300.88511065995885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52.040469622553083</v>
      </c>
      <c r="AA159" s="21">
        <f>EXP(-LN(2)/25)*AA158+(1-EXP(-LN(2)/25))/(LN(2)/25)*Calculateur!V159*Calculateur!X159*VLOOKUP('Données projet'!$B$9,Paramètres!$A$1:$I$89,3,0)*0.475*44/12</f>
        <v>21.660295343218088</v>
      </c>
      <c r="AB159" s="21">
        <f>EXP(-LN(2)/2)*AB158+(1-EXP(-LN(2)/2))/(LN(2)/2)*V159*Y159*VLOOKUP('Données projet'!$B$9,Paramètres!$A$1:$I$89,3,0)*0.475*44/12</f>
        <v>7.7911076927560926E-5</v>
      </c>
      <c r="AC159" s="22">
        <f t="shared" si="163"/>
        <v>73.7008428768481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3.4106051316484809E-13</v>
      </c>
      <c r="AJ159" s="13">
        <f>AI159*VLOOKUP('Données projet'!$B$10,Paramètres!$A$1:$I$89,3,0)*VLOOKUP('Données projet'!$B$10,Paramètres!$A$1:$I$89,5,0)</f>
        <v>1.5961632016114892E-13</v>
      </c>
      <c r="AK159" s="13">
        <f t="shared" si="164"/>
        <v>2.2708641912150958E-12</v>
      </c>
      <c r="AL159" s="20">
        <f t="shared" si="165"/>
        <v>4.2330868906469593E-12</v>
      </c>
      <c r="AM159" s="59">
        <f t="shared" si="113"/>
        <v>287.35489844709252</v>
      </c>
      <c r="AN159" s="59">
        <f ca="1">AVERAGE(OFFSET($AM$3,0,0,'Données projet'!$E$10+1,1))-AVERAGE(OFFSET($H$3,0,0,'Données projet'!$E$10+1,1))</f>
        <v>325.45940224919184</v>
      </c>
      <c r="AO159" s="59">
        <f t="shared" si="144"/>
        <v>256.30046621034876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51.732315270504785</v>
      </c>
      <c r="AV159" s="21">
        <f>EXP(-LN(2)/25)*AV158+(1-EXP(-LN(2)/25))/(LN(2)/25)*Calculateur!AQ159*Calculateur!AS159*VLOOKUP('Données projet'!$B$10,Paramètres!$A$1:$I$89,3,0)*0.475*44/12</f>
        <v>11.379042903917247</v>
      </c>
      <c r="AW159" s="21">
        <f>EXP(-LN(2)/2)*AW158+(1-EXP(-LN(2)/2))/(LN(2)/2)*AQ159*AT159*VLOOKUP('Données projet'!$B$10,Paramètres!$A$1:$I$89,3,0)*0.475*44/12</f>
        <v>2.6542314197461412E-6</v>
      </c>
      <c r="AX159" s="21">
        <f t="shared" si="166"/>
        <v>63.111360828653453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>
        <f>VLOOKUP(A159,'Données projet'!$A$87:$I$107,2,0)</f>
        <v>409.2</v>
      </c>
      <c r="BB159" s="12">
        <f>VLOOKUP(A159,'Données projet'!$A$87:$I$107,9,0)</f>
        <v>7.5191666666666634</v>
      </c>
      <c r="BC159" s="12">
        <f t="array" ref="BC159">INDEX(BB:BB,MIN(IF(ISNUMBER(BB159:BB355),ROW(BB159:BB355),"")))</f>
        <v>7.5191666666666634</v>
      </c>
      <c r="BD159" s="12">
        <f>IF('Données projet'!$A$88&gt;35,BD158+BC159-BL158,IF(A159&lt;'Données projet'!$A$88,$BA$205^A159,IF(A159='Données projet'!$A$88,'Données projet'!$B$88,BD158+BC159-BL158)))</f>
        <v>409.19999999999959</v>
      </c>
      <c r="BE159" s="13">
        <f>BD159*VLOOKUP('Données projet'!$B$11,Paramètres!$A$1:$I$89,3,0)*VLOOKUP('Données projet'!$B$11,Paramètres!$A$1:$I$89,5,0)</f>
        <v>414.92879999999963</v>
      </c>
      <c r="BF159" s="13">
        <f t="shared" si="167"/>
        <v>94.796765693156289</v>
      </c>
      <c r="BG159" s="20">
        <f t="shared" si="168"/>
        <v>887.77202691557977</v>
      </c>
      <c r="BH159" s="59">
        <f t="shared" si="116"/>
        <v>1175.1269253626681</v>
      </c>
      <c r="BI159" s="59">
        <f ca="1">AVERAGE(OFFSET($BH$3,0,0,'Données projet'!$E$11+1,1))-AVERAGE(OFFSET($H$3,0,0,'Données projet'!$E$11+1,1))</f>
        <v>580.02848304986492</v>
      </c>
      <c r="BJ159" s="59">
        <f t="shared" si="146"/>
        <v>281.68891895586728</v>
      </c>
      <c r="BK159" s="15">
        <f>IF(ISNA(VLOOKUP(A159,'Données projet'!$A$87:$I$107,3,0)),0,VLOOKUP(A159,'Données projet'!$A$87:$I$107,3,0))</f>
        <v>11</v>
      </c>
      <c r="BL159" s="15">
        <f>IF(ISNA(VLOOKUP(A159,'Données projet'!$A$87:$I$107,4,0)),0,VLOOKUP(A159,'Données projet'!$A$87:$I$107,4,0))</f>
        <v>65.69</v>
      </c>
      <c r="BM159" s="16">
        <f>IF(ISNA(VLOOKUP(A159,'Données projet'!$A$87:$I$107,5,0)),0%,VLOOKUP(A159,'Données projet'!$A$87:$I$107,5,0)*VLOOKUP('Données projet'!$B$11,Paramètres!$A$1:$I$89,7,0))</f>
        <v>0.215</v>
      </c>
      <c r="BN159" s="16">
        <f>IF(ISNA(VLOOKUP(A159,'Données projet'!$A$87:$I$107,6,0)),0%,VLOOKUP(A159,'Données projet'!$A$87:$I$107,6,0)*VLOOKUP('Données projet'!$B$11,Paramètres!$A$1:$I$89,7,0))</f>
        <v>8.6000000000000007E-2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42.071389784715464</v>
      </c>
      <c r="BQ159" s="21">
        <f>EXP(-LN(2)/25)*BQ158+(1-EXP(-LN(2)/25))/(LN(2)/25)*Calculateur!BL159*Calculateur!BN159*VLOOKUP('Données projet'!$B$11,Paramètres!$A$1:$I$89,3,0)*0.475*44/12</f>
        <v>22.861560310601355</v>
      </c>
      <c r="BR159" s="21">
        <f>EXP(-LN(2)/2)*BR158+(1-EXP(-LN(2)/2))/(LN(2)/2)*BL159*BO159*VLOOKUP('Données projet'!$B$11,Paramètres!$A$1:$I$89,3,0)*0.475*44/12</f>
        <v>9.2286563541440034E-2</v>
      </c>
      <c r="BS159" s="22">
        <f t="shared" si="169"/>
        <v>65.025236658858248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>
        <f>BY159*VLOOKUP('Données projet'!$B$12,Paramètres!$A$1:$I$89,3,0)*VLOOKUP('Données projet'!$B$12,Paramètres!$A$1:$I$89,5,0)</f>
        <v>0</v>
      </c>
      <c r="CA159" s="13" t="e">
        <f t="shared" si="170"/>
        <v>#NUM!</v>
      </c>
      <c r="CB159" s="20" t="e">
        <f t="shared" si="171"/>
        <v>#NUM!</v>
      </c>
      <c r="CC159" s="59" t="e">
        <f t="shared" si="119"/>
        <v>#NUM!</v>
      </c>
      <c r="CD159" s="59">
        <f ca="1">AVERAGE(OFFSET($CC$3,0,0,'Données projet'!$E$12+1,1))-AVERAGE(OFFSET($H$3,0,0,'Données projet'!$E$12+1,1))</f>
        <v>439.15394290667945</v>
      </c>
      <c r="CE159" s="59">
        <f t="shared" si="148"/>
        <v>423.56554025351068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11.198009520322692</v>
      </c>
      <c r="CL159" s="21">
        <f>EXP(-LN(2)/25)*CL158+(1-EXP(-LN(2)/25))/(LN(2)/25)*Calculateur!CG159*Calculateur!CI159*VLOOKUP('Données projet'!$B$12,Paramètres!$A$1:$I$89,3,0)*0.475*44/12</f>
        <v>6.0553522549845384</v>
      </c>
      <c r="CM159" s="21">
        <f>EXP(-LN(2)/2)*CM158+(1-EXP(-LN(2)/2))/(LN(2)/2)*CG159*CJ159*VLOOKUP('Données projet'!$B$12,Paramètres!$A$1:$I$89,3,0)*0.475*44/12</f>
        <v>2.7161439338801611E-10</v>
      </c>
      <c r="CN159" s="22">
        <f t="shared" si="172"/>
        <v>17.253361775578846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>
        <f>CT159*VLOOKUP('Données projet'!$B$13,Paramètres!$A$1:$I$89,3,0)*VLOOKUP('Données projet'!$B$13,Paramètres!$A$1:$I$89,5,0)</f>
        <v>0</v>
      </c>
      <c r="CV159" s="13" t="e">
        <f t="shared" si="173"/>
        <v>#NUM!</v>
      </c>
      <c r="CW159" s="20" t="e">
        <f t="shared" si="174"/>
        <v>#NUM!</v>
      </c>
      <c r="CX159" s="59" t="e">
        <f t="shared" si="122"/>
        <v>#NUM!</v>
      </c>
      <c r="CY159" s="59">
        <f ca="1">AVERAGE(OFFSET($CX$3,0,0,'Données projet'!$E$13+1,1))-AVERAGE(OFFSET($H$3,0,0,'Données projet'!$E$13+1,1))</f>
        <v>408.246209980743</v>
      </c>
      <c r="CZ159" s="59">
        <f t="shared" si="150"/>
        <v>394.10236303013903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>
        <f>EXP(-LN(2)/35)*DF158+(1-EXP(-LN(2)/35))/(LN(2)/35)*DB159*DC159*VLOOKUP('Données projet'!$B$13,Paramètres!$A$1:$I$89,3,0)*0.475*44/12</f>
        <v>12.670870093906904</v>
      </c>
      <c r="DG159" s="21">
        <f>EXP(-LN(2)/25)*DG158+(1-EXP(-LN(2)/25))/(LN(2)/25)*Calculateur!DB159*Calculateur!DD159*VLOOKUP('Données projet'!$B$13,Paramètres!$A$1:$I$89,3,0)*0.475*44/12</f>
        <v>6.8518053727770214</v>
      </c>
      <c r="DH159" s="21">
        <f>EXP(-LN(2)/2)*DH158+(1-EXP(-LN(2)/2))/(LN(2)/2)*DB159*DE159*VLOOKUP('Données projet'!$B$13,Paramètres!$A$1:$I$89,3,0)*0.475*44/12</f>
        <v>2.49350918520146E-10</v>
      </c>
      <c r="DI159" s="22">
        <f t="shared" si="175"/>
        <v>19.522675466933276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>
        <f>DO159*VLOOKUP('Données projet'!$B$14,Paramètres!$A$1:$I$89,3,0)*VLOOKUP('Données projet'!$B$14,Paramètres!$A$1:$I$89,5,0)</f>
        <v>0</v>
      </c>
      <c r="DQ159" s="13" t="e">
        <f t="shared" si="176"/>
        <v>#NUM!</v>
      </c>
      <c r="DR159" s="20" t="e">
        <f t="shared" si="177"/>
        <v>#NUM!</v>
      </c>
      <c r="DS159" s="59" t="e">
        <f t="shared" si="125"/>
        <v>#NUM!</v>
      </c>
      <c r="DT159" s="59">
        <f ca="1">AVERAGE(OFFSET($DS$3,0,0,'Données projet'!$E$14+1,1))-AVERAGE(OFFSET($H$3,0,0,'Données projet'!$E$14+1,1))</f>
        <v>371.07993287480366</v>
      </c>
      <c r="DU159" s="59">
        <f t="shared" si="152"/>
        <v>358.67120540290637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>
        <f>EXP(-LN(2)/35)*EA158+(1-EXP(-LN(2)/35))/(LN(2)/35)*DW159*DX159*VLOOKUP('Données projet'!$B$14,Paramètres!$A$1:$I$89,3,0)*0.475*44/12</f>
        <v>9.178696328133352</v>
      </c>
      <c r="EB159" s="21">
        <f>EXP(-LN(2)/25)*EB158+(1-EXP(-LN(2)/25))/(LN(2)/25)*Calculateur!DW159*Calculateur!DY159*VLOOKUP('Données projet'!$B$14,Paramètres!$A$1:$I$89,3,0)*0.475*44/12</f>
        <v>4.9634034876922435</v>
      </c>
      <c r="EC159" s="21">
        <f>EXP(-LN(2)/2)*EC158+(1-EXP(-LN(2)/2))/(LN(2)/2)*DW159*DZ159*VLOOKUP('Données projet'!$B$14,Paramètres!$A$1:$I$89,3,0)*0.475*44/12</f>
        <v>2.226347486787022E-10</v>
      </c>
      <c r="ED159" s="22">
        <f t="shared" si="178"/>
        <v>14.14209981604823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45">
      <c r="A160" s="10">
        <f t="shared" si="161"/>
        <v>157</v>
      </c>
      <c r="B160" s="73">
        <f>'Scénario référence'!$B$16*5+'Scénario référence'!$B$17*0+'Scénario référence'!$B$18*5</f>
        <v>5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1">
        <f t="shared" si="140"/>
        <v>0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18.333333333333332</v>
      </c>
      <c r="H160" s="67">
        <f t="shared" si="110"/>
        <v>183.33333333333334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9.4880000000000049</v>
      </c>
      <c r="N160" s="13">
        <f>IF('Données projet'!$A$36&gt;35,N159+M160-V159,IF(A160&lt;'Données projet'!$A$36,$K$205^A160,IF(A160='Données projet'!$A$36,'Données projet'!$B$36,N159+M160-V159)))</f>
        <v>513.90400000000102</v>
      </c>
      <c r="O160" s="13">
        <f>N160*VLOOKUP('Données projet'!$B$9,Paramètres!$A$1:$I$89,3,0)*VLOOKUP('Données projet'!$B$9,Paramètres!$A$1:$I$89,5,0)</f>
        <v>464.98033920000091</v>
      </c>
      <c r="P160" s="13">
        <f t="shared" si="141"/>
        <v>104.83282002515982</v>
      </c>
      <c r="Q160" s="20">
        <f t="shared" si="162"/>
        <v>992.4245856504881</v>
      </c>
      <c r="R160" s="59">
        <f t="shared" si="109"/>
        <v>1279.8831965770746</v>
      </c>
      <c r="S160" s="59">
        <f ca="1">AVERAGE(OFFSET($R$3,0,0,'Données projet'!$E$9+1,1))-AVERAGE(OFFSET($H$3,0,0,'Données projet'!$E$9+1,1))</f>
        <v>681.47578137804555</v>
      </c>
      <c r="T160" s="59">
        <f t="shared" si="142"/>
        <v>300.88511065995885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51.019987754807069</v>
      </c>
      <c r="AA160" s="21">
        <f>EXP(-LN(2)/25)*AA159+(1-EXP(-LN(2)/25))/(LN(2)/25)*Calculateur!V160*Calculateur!X160*VLOOKUP('Données projet'!$B$9,Paramètres!$A$1:$I$89,3,0)*0.475*44/12</f>
        <v>21.067993427992363</v>
      </c>
      <c r="AB160" s="21">
        <f>EXP(-LN(2)/2)*AB159+(1-EXP(-LN(2)/2))/(LN(2)/2)*V160*Y160*VLOOKUP('Données projet'!$B$9,Paramètres!$A$1:$I$89,3,0)*0.475*44/12</f>
        <v>5.5091450825025096E-5</v>
      </c>
      <c r="AC160" s="22">
        <f t="shared" si="163"/>
        <v>72.088036274250257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3.4106051316484809E-13</v>
      </c>
      <c r="AJ160" s="13">
        <f>AI160*VLOOKUP('Données projet'!$B$10,Paramètres!$A$1:$I$89,3,0)*VLOOKUP('Données projet'!$B$10,Paramètres!$A$1:$I$89,5,0)</f>
        <v>1.5961632016114892E-13</v>
      </c>
      <c r="AK160" s="13">
        <f t="shared" si="164"/>
        <v>2.2708641912150958E-12</v>
      </c>
      <c r="AL160" s="20">
        <f t="shared" si="165"/>
        <v>4.2330868906469593E-12</v>
      </c>
      <c r="AM160" s="59">
        <f t="shared" si="113"/>
        <v>287.45861092659078</v>
      </c>
      <c r="AN160" s="59">
        <f ca="1">AVERAGE(OFFSET($AM$3,0,0,'Données projet'!$E$10+1,1))-AVERAGE(OFFSET($H$3,0,0,'Données projet'!$E$10+1,1))</f>
        <v>325.45940224919184</v>
      </c>
      <c r="AO160" s="59">
        <f t="shared" si="144"/>
        <v>256.30046621034876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50.717876121646839</v>
      </c>
      <c r="AV160" s="21">
        <f>EXP(-LN(2)/25)*AV159+(1-EXP(-LN(2)/25))/(LN(2)/25)*Calculateur!AQ160*Calculateur!AS160*VLOOKUP('Données projet'!$B$10,Paramètres!$A$1:$I$89,3,0)*0.475*44/12</f>
        <v>11.06788237731177</v>
      </c>
      <c r="AW160" s="21">
        <f>EXP(-LN(2)/2)*AW159+(1-EXP(-LN(2)/2))/(LN(2)/2)*AQ160*AT160*VLOOKUP('Données projet'!$B$10,Paramètres!$A$1:$I$89,3,0)*0.475*44/12</f>
        <v>1.8768250357408943E-6</v>
      </c>
      <c r="AX160" s="21">
        <f t="shared" si="166"/>
        <v>61.785760375783646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7.6783333333333319</v>
      </c>
      <c r="BD160" s="12">
        <f>IF('Données projet'!$A$88&gt;35,BD159+BC160-BL159,IF(A160&lt;'Données projet'!$A$88,$BA$205^A160,IF(A160='Données projet'!$A$88,'Données projet'!$B$88,BD159+BC160-BL159)))</f>
        <v>351.18833333333293</v>
      </c>
      <c r="BE160" s="13">
        <f>BD160*VLOOKUP('Données projet'!$B$11,Paramètres!$A$1:$I$89,3,0)*VLOOKUP('Données projet'!$B$11,Paramètres!$A$1:$I$89,5,0)</f>
        <v>356.10496999999958</v>
      </c>
      <c r="BF160" s="13">
        <f t="shared" si="167"/>
        <v>82.818320026492003</v>
      </c>
      <c r="BG160" s="20">
        <f t="shared" si="168"/>
        <v>764.45806346280631</v>
      </c>
      <c r="BH160" s="59">
        <f t="shared" si="116"/>
        <v>1051.9166743893929</v>
      </c>
      <c r="BI160" s="59">
        <f ca="1">AVERAGE(OFFSET($BH$3,0,0,'Données projet'!$E$11+1,1))-AVERAGE(OFFSET($H$3,0,0,'Données projet'!$E$11+1,1))</f>
        <v>580.02848304986492</v>
      </c>
      <c r="BJ160" s="59">
        <f t="shared" si="146"/>
        <v>281.68891895586728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41.24639549205115</v>
      </c>
      <c r="BQ160" s="21">
        <f>EXP(-LN(2)/25)*BQ159+(1-EXP(-LN(2)/25))/(LN(2)/25)*Calculateur!BL160*Calculateur!BN160*VLOOKUP('Données projet'!$B$11,Paramètres!$A$1:$I$89,3,0)*0.475*44/12</f>
        <v>22.236409741670755</v>
      </c>
      <c r="BR160" s="21">
        <f>EXP(-LN(2)/2)*BR159+(1-EXP(-LN(2)/2))/(LN(2)/2)*BL160*BO160*VLOOKUP('Données projet'!$B$11,Paramètres!$A$1:$I$89,3,0)*0.475*44/12</f>
        <v>6.5256454892555452E-2</v>
      </c>
      <c r="BS160" s="22">
        <f t="shared" si="169"/>
        <v>63.54806168861446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>
        <f>BY160*VLOOKUP('Données projet'!$B$12,Paramètres!$A$1:$I$89,3,0)*VLOOKUP('Données projet'!$B$12,Paramètres!$A$1:$I$89,5,0)</f>
        <v>0</v>
      </c>
      <c r="CA160" s="13" t="e">
        <f t="shared" si="170"/>
        <v>#NUM!</v>
      </c>
      <c r="CB160" s="20" t="e">
        <f t="shared" si="171"/>
        <v>#NUM!</v>
      </c>
      <c r="CC160" s="59" t="e">
        <f t="shared" si="119"/>
        <v>#NUM!</v>
      </c>
      <c r="CD160" s="59">
        <f ca="1">AVERAGE(OFFSET($CC$3,0,0,'Données projet'!$E$12+1,1))-AVERAGE(OFFSET($H$3,0,0,'Données projet'!$E$12+1,1))</f>
        <v>439.15394290667945</v>
      </c>
      <c r="CE160" s="59">
        <f t="shared" si="148"/>
        <v>423.56554025351068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10.978423383740555</v>
      </c>
      <c r="CL160" s="21">
        <f>EXP(-LN(2)/25)*CL159+(1-EXP(-LN(2)/25))/(LN(2)/25)*Calculateur!CG160*Calculateur!CI160*VLOOKUP('Données projet'!$B$12,Paramètres!$A$1:$I$89,3,0)*0.475*44/12</f>
        <v>5.889768329134851</v>
      </c>
      <c r="CM160" s="21">
        <f>EXP(-LN(2)/2)*CM159+(1-EXP(-LN(2)/2))/(LN(2)/2)*CG160*CJ160*VLOOKUP('Données projet'!$B$12,Paramètres!$A$1:$I$89,3,0)*0.475*44/12</f>
        <v>1.9206037943253675E-10</v>
      </c>
      <c r="CN160" s="22">
        <f t="shared" si="172"/>
        <v>16.868191713067468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>
        <f>CT160*VLOOKUP('Données projet'!$B$13,Paramètres!$A$1:$I$89,3,0)*VLOOKUP('Données projet'!$B$13,Paramètres!$A$1:$I$89,5,0)</f>
        <v>0</v>
      </c>
      <c r="CV160" s="13" t="e">
        <f t="shared" si="173"/>
        <v>#NUM!</v>
      </c>
      <c r="CW160" s="20" t="e">
        <f t="shared" si="174"/>
        <v>#NUM!</v>
      </c>
      <c r="CX160" s="59" t="e">
        <f t="shared" si="122"/>
        <v>#NUM!</v>
      </c>
      <c r="CY160" s="59">
        <f ca="1">AVERAGE(OFFSET($CX$3,0,0,'Données projet'!$E$13+1,1))-AVERAGE(OFFSET($H$3,0,0,'Données projet'!$E$13+1,1))</f>
        <v>408.246209980743</v>
      </c>
      <c r="CZ160" s="59">
        <f t="shared" si="150"/>
        <v>394.10236303013903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>
        <f>EXP(-LN(2)/35)*DF159+(1-EXP(-LN(2)/35))/(LN(2)/35)*DB160*DC160*VLOOKUP('Données projet'!$B$13,Paramètres!$A$1:$I$89,3,0)*0.475*44/12</f>
        <v>12.422402059833024</v>
      </c>
      <c r="DG160" s="21">
        <f>EXP(-LN(2)/25)*DG159+(1-EXP(-LN(2)/25))/(LN(2)/25)*Calculateur!DB160*Calculateur!DD160*VLOOKUP('Données projet'!$B$13,Paramètres!$A$1:$I$89,3,0)*0.475*44/12</f>
        <v>6.664442394537649</v>
      </c>
      <c r="DH160" s="21">
        <f>EXP(-LN(2)/2)*DH159+(1-EXP(-LN(2)/2))/(LN(2)/2)*DB160*DE160*VLOOKUP('Données projet'!$B$13,Paramètres!$A$1:$I$89,3,0)*0.475*44/12</f>
        <v>1.7631772538068952E-10</v>
      </c>
      <c r="DI160" s="22">
        <f t="shared" si="175"/>
        <v>19.086844454546991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>
        <f>DO160*VLOOKUP('Données projet'!$B$14,Paramètres!$A$1:$I$89,3,0)*VLOOKUP('Données projet'!$B$14,Paramètres!$A$1:$I$89,5,0)</f>
        <v>0</v>
      </c>
      <c r="DQ160" s="13" t="e">
        <f t="shared" si="176"/>
        <v>#NUM!</v>
      </c>
      <c r="DR160" s="20" t="e">
        <f t="shared" si="177"/>
        <v>#NUM!</v>
      </c>
      <c r="DS160" s="59" t="e">
        <f t="shared" si="125"/>
        <v>#NUM!</v>
      </c>
      <c r="DT160" s="59">
        <f ca="1">AVERAGE(OFFSET($DS$3,0,0,'Données projet'!$E$14+1,1))-AVERAGE(OFFSET($H$3,0,0,'Données projet'!$E$14+1,1))</f>
        <v>371.07993287480366</v>
      </c>
      <c r="DU160" s="59">
        <f t="shared" si="152"/>
        <v>358.67120540290637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>
        <f>EXP(-LN(2)/35)*EA159+(1-EXP(-LN(2)/35))/(LN(2)/35)*DW160*DX160*VLOOKUP('Données projet'!$B$14,Paramètres!$A$1:$I$89,3,0)*0.475*44/12</f>
        <v>8.9987076915906155</v>
      </c>
      <c r="EB160" s="21">
        <f>EXP(-LN(2)/25)*EB159+(1-EXP(-LN(2)/25))/(LN(2)/25)*Calculateur!DW160*Calculateur!DY160*VLOOKUP('Données projet'!$B$14,Paramètres!$A$1:$I$89,3,0)*0.475*44/12</f>
        <v>4.8276789583072537</v>
      </c>
      <c r="EC160" s="21">
        <f>EXP(-LN(2)/2)*EC159+(1-EXP(-LN(2)/2))/(LN(2)/2)*DW160*DZ160*VLOOKUP('Données projet'!$B$14,Paramètres!$A$1:$I$89,3,0)*0.475*44/12</f>
        <v>1.5742654051847307E-10</v>
      </c>
      <c r="ED160" s="22">
        <f t="shared" si="178"/>
        <v>13.826386650055296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45">
      <c r="A161" s="10">
        <f t="shared" si="161"/>
        <v>158</v>
      </c>
      <c r="B161" s="73">
        <f>'Scénario référence'!$B$16*5+'Scénario référence'!$B$17*0+'Scénario référence'!$B$18*5</f>
        <v>5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1">
        <f t="shared" si="140"/>
        <v>0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18.333333333333332</v>
      </c>
      <c r="H161" s="67">
        <f t="shared" si="110"/>
        <v>183.33333333333334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9.4880000000000049</v>
      </c>
      <c r="N161" s="13">
        <f>IF('Données projet'!$A$36&gt;35,N160+M161-V160,IF(A161&lt;'Données projet'!$A$36,$K$205^A161,IF(A161='Données projet'!$A$36,'Données projet'!$B$36,N160+M161-V160)))</f>
        <v>523.39200000000108</v>
      </c>
      <c r="O161" s="13">
        <f>N161*VLOOKUP('Données projet'!$B$9,Paramètres!$A$1:$I$89,3,0)*VLOOKUP('Données projet'!$B$9,Paramètres!$A$1:$I$89,5,0)</f>
        <v>473.56508160000089</v>
      </c>
      <c r="P161" s="13">
        <f t="shared" si="141"/>
        <v>106.54118996921356</v>
      </c>
      <c r="Q161" s="20">
        <f t="shared" si="162"/>
        <v>1010.3517563163817</v>
      </c>
      <c r="R161" s="59">
        <f t="shared" si="109"/>
        <v>1297.9122805428137</v>
      </c>
      <c r="S161" s="59">
        <f ca="1">AVERAGE(OFFSET($R$3,0,0,'Données projet'!$E$9+1,1))-AVERAGE(OFFSET($H$3,0,0,'Données projet'!$E$9+1,1))</f>
        <v>681.47578137804555</v>
      </c>
      <c r="T161" s="59">
        <f t="shared" si="142"/>
        <v>300.88511065995885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50.019516914055075</v>
      </c>
      <c r="AA161" s="21">
        <f>EXP(-LN(2)/25)*AA160+(1-EXP(-LN(2)/25))/(LN(2)/25)*Calculateur!V161*Calculateur!X161*VLOOKUP('Données projet'!$B$9,Paramètres!$A$1:$I$89,3,0)*0.475*44/12</f>
        <v>20.491888039786289</v>
      </c>
      <c r="AB161" s="21">
        <f>EXP(-LN(2)/2)*AB160+(1-EXP(-LN(2)/2))/(LN(2)/2)*V161*Y161*VLOOKUP('Données projet'!$B$9,Paramètres!$A$1:$I$89,3,0)*0.475*44/12</f>
        <v>3.8955538463780463E-5</v>
      </c>
      <c r="AC161" s="22">
        <f t="shared" si="163"/>
        <v>70.511443909379821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3.4106051316484809E-13</v>
      </c>
      <c r="AJ161" s="13">
        <f>AI161*VLOOKUP('Données projet'!$B$10,Paramètres!$A$1:$I$89,3,0)*VLOOKUP('Données projet'!$B$10,Paramètres!$A$1:$I$89,5,0)</f>
        <v>1.5961632016114892E-13</v>
      </c>
      <c r="AK161" s="13">
        <f t="shared" si="164"/>
        <v>2.2708641912150958E-12</v>
      </c>
      <c r="AL161" s="20">
        <f t="shared" si="165"/>
        <v>4.2330868906469593E-12</v>
      </c>
      <c r="AM161" s="59">
        <f t="shared" si="113"/>
        <v>287.5605242264362</v>
      </c>
      <c r="AN161" s="59">
        <f ca="1">AVERAGE(OFFSET($AM$3,0,0,'Données projet'!$E$10+1,1))-AVERAGE(OFFSET($H$3,0,0,'Données projet'!$E$10+1,1))</f>
        <v>325.45940224919184</v>
      </c>
      <c r="AO161" s="59">
        <f t="shared" si="144"/>
        <v>256.30046621034876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49.723329505751217</v>
      </c>
      <c r="AV161" s="21">
        <f>EXP(-LN(2)/25)*AV160+(1-EXP(-LN(2)/25))/(LN(2)/25)*Calculateur!AQ161*Calculateur!AS161*VLOOKUP('Données projet'!$B$10,Paramètres!$A$1:$I$89,3,0)*0.475*44/12</f>
        <v>10.765230551669541</v>
      </c>
      <c r="AW161" s="21">
        <f>EXP(-LN(2)/2)*AW160+(1-EXP(-LN(2)/2))/(LN(2)/2)*AQ161*AT161*VLOOKUP('Données projet'!$B$10,Paramètres!$A$1:$I$89,3,0)*0.475*44/12</f>
        <v>1.3271157098730708E-6</v>
      </c>
      <c r="AX161" s="21">
        <f t="shared" si="166"/>
        <v>60.488561384536467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7.6783333333333319</v>
      </c>
      <c r="BD161" s="12">
        <f>IF('Données projet'!$A$88&gt;35,BD160+BC161-BL160,IF(A161&lt;'Données projet'!$A$88,$BA$205^A161,IF(A161='Données projet'!$A$88,'Données projet'!$B$88,BD160+BC161-BL160)))</f>
        <v>358.86666666666628</v>
      </c>
      <c r="BE161" s="13">
        <f>BD161*VLOOKUP('Données projet'!$B$11,Paramètres!$A$1:$I$89,3,0)*VLOOKUP('Données projet'!$B$11,Paramètres!$A$1:$I$89,5,0)</f>
        <v>363.89079999999962</v>
      </c>
      <c r="BF161" s="13">
        <f t="shared" si="167"/>
        <v>84.416260050559117</v>
      </c>
      <c r="BG161" s="20">
        <f t="shared" si="168"/>
        <v>780.80146292138977</v>
      </c>
      <c r="BH161" s="59">
        <f t="shared" si="116"/>
        <v>1068.3619871478218</v>
      </c>
      <c r="BI161" s="59">
        <f ca="1">AVERAGE(OFFSET($BH$3,0,0,'Données projet'!$E$11+1,1))-AVERAGE(OFFSET($H$3,0,0,'Données projet'!$E$11+1,1))</f>
        <v>580.02848304986492</v>
      </c>
      <c r="BJ161" s="59">
        <f t="shared" si="146"/>
        <v>281.68891895586728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40.437578834269146</v>
      </c>
      <c r="BQ161" s="21">
        <f>EXP(-LN(2)/25)*BQ160+(1-EXP(-LN(2)/25))/(LN(2)/25)*Calculateur!BL161*Calculateur!BN161*VLOOKUP('Données projet'!$B$11,Paramètres!$A$1:$I$89,3,0)*0.475*44/12</f>
        <v>21.6283539479228</v>
      </c>
      <c r="BR161" s="21">
        <f>EXP(-LN(2)/2)*BR160+(1-EXP(-LN(2)/2))/(LN(2)/2)*BL161*BO161*VLOOKUP('Données projet'!$B$11,Paramètres!$A$1:$I$89,3,0)*0.475*44/12</f>
        <v>4.6143281770720017E-2</v>
      </c>
      <c r="BS161" s="22">
        <f t="shared" si="169"/>
        <v>62.112076063962668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>
        <f>BY161*VLOOKUP('Données projet'!$B$12,Paramètres!$A$1:$I$89,3,0)*VLOOKUP('Données projet'!$B$12,Paramètres!$A$1:$I$89,5,0)</f>
        <v>0</v>
      </c>
      <c r="CA161" s="13" t="e">
        <f t="shared" si="170"/>
        <v>#NUM!</v>
      </c>
      <c r="CB161" s="20" t="e">
        <f t="shared" si="171"/>
        <v>#NUM!</v>
      </c>
      <c r="CC161" s="59" t="e">
        <f t="shared" si="119"/>
        <v>#NUM!</v>
      </c>
      <c r="CD161" s="59">
        <f ca="1">AVERAGE(OFFSET($CC$3,0,0,'Données projet'!$E$12+1,1))-AVERAGE(OFFSET($H$3,0,0,'Données projet'!$E$12+1,1))</f>
        <v>439.15394290667945</v>
      </c>
      <c r="CE161" s="59">
        <f t="shared" si="148"/>
        <v>423.56554025351068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10.763143197362474</v>
      </c>
      <c r="CL161" s="21">
        <f>EXP(-LN(2)/25)*CL160+(1-EXP(-LN(2)/25))/(LN(2)/25)*Calculateur!CG161*Calculateur!CI161*VLOOKUP('Données projet'!$B$12,Paramètres!$A$1:$I$89,3,0)*0.475*44/12</f>
        <v>5.7287123044452031</v>
      </c>
      <c r="CM161" s="21">
        <f>EXP(-LN(2)/2)*CM160+(1-EXP(-LN(2)/2))/(LN(2)/2)*CG161*CJ161*VLOOKUP('Données projet'!$B$12,Paramètres!$A$1:$I$89,3,0)*0.475*44/12</f>
        <v>1.3580719669400805E-10</v>
      </c>
      <c r="CN161" s="22">
        <f t="shared" si="172"/>
        <v>16.491855501943483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>
        <f>CT161*VLOOKUP('Données projet'!$B$13,Paramètres!$A$1:$I$89,3,0)*VLOOKUP('Données projet'!$B$13,Paramètres!$A$1:$I$89,5,0)</f>
        <v>0</v>
      </c>
      <c r="CV161" s="13" t="e">
        <f t="shared" si="173"/>
        <v>#NUM!</v>
      </c>
      <c r="CW161" s="20" t="e">
        <f t="shared" si="174"/>
        <v>#NUM!</v>
      </c>
      <c r="CX161" s="59" t="e">
        <f t="shared" si="122"/>
        <v>#NUM!</v>
      </c>
      <c r="CY161" s="59">
        <f ca="1">AVERAGE(OFFSET($CX$3,0,0,'Données projet'!$E$13+1,1))-AVERAGE(OFFSET($H$3,0,0,'Données projet'!$E$13+1,1))</f>
        <v>408.246209980743</v>
      </c>
      <c r="CZ161" s="59">
        <f t="shared" si="150"/>
        <v>394.10236303013903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>
        <f>EXP(-LN(2)/35)*DF160+(1-EXP(-LN(2)/35))/(LN(2)/35)*DB161*DC161*VLOOKUP('Données projet'!$B$13,Paramètres!$A$1:$I$89,3,0)*0.475*44/12</f>
        <v>12.178806332356796</v>
      </c>
      <c r="DG161" s="21">
        <f>EXP(-LN(2)/25)*DG160+(1-EXP(-LN(2)/25))/(LN(2)/25)*Calculateur!DB161*Calculateur!DD161*VLOOKUP('Données projet'!$B$13,Paramètres!$A$1:$I$89,3,0)*0.475*44/12</f>
        <v>6.4822028667912228</v>
      </c>
      <c r="DH161" s="21">
        <f>EXP(-LN(2)/2)*DH160+(1-EXP(-LN(2)/2))/(LN(2)/2)*DB161*DE161*VLOOKUP('Données projet'!$B$13,Paramètres!$A$1:$I$89,3,0)*0.475*44/12</f>
        <v>1.24675459260073E-10</v>
      </c>
      <c r="DI161" s="22">
        <f t="shared" si="175"/>
        <v>18.661009199272694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>
        <f>DO161*VLOOKUP('Données projet'!$B$14,Paramètres!$A$1:$I$89,3,0)*VLOOKUP('Données projet'!$B$14,Paramètres!$A$1:$I$89,5,0)</f>
        <v>0</v>
      </c>
      <c r="DQ161" s="13" t="e">
        <f t="shared" si="176"/>
        <v>#NUM!</v>
      </c>
      <c r="DR161" s="20" t="e">
        <f t="shared" si="177"/>
        <v>#NUM!</v>
      </c>
      <c r="DS161" s="59" t="e">
        <f t="shared" si="125"/>
        <v>#NUM!</v>
      </c>
      <c r="DT161" s="59">
        <f ca="1">AVERAGE(OFFSET($DS$3,0,0,'Données projet'!$E$14+1,1))-AVERAGE(OFFSET($H$3,0,0,'Données projet'!$E$14+1,1))</f>
        <v>371.07993287480366</v>
      </c>
      <c r="DU161" s="59">
        <f t="shared" si="152"/>
        <v>358.67120540290637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>
        <f>EXP(-LN(2)/35)*EA160+(1-EXP(-LN(2)/35))/(LN(2)/35)*DW161*DX161*VLOOKUP('Données projet'!$B$14,Paramètres!$A$1:$I$89,3,0)*0.475*44/12</f>
        <v>8.8222485224282536</v>
      </c>
      <c r="EB161" s="21">
        <f>EXP(-LN(2)/25)*EB160+(1-EXP(-LN(2)/25))/(LN(2)/25)*Calculateur!DW161*Calculateur!DY161*VLOOKUP('Données projet'!$B$14,Paramètres!$A$1:$I$89,3,0)*0.475*44/12</f>
        <v>4.6956658233157391</v>
      </c>
      <c r="EC161" s="21">
        <f>EXP(-LN(2)/2)*EC160+(1-EXP(-LN(2)/2))/(LN(2)/2)*DW161*DZ161*VLOOKUP('Données projet'!$B$14,Paramètres!$A$1:$I$89,3,0)*0.475*44/12</f>
        <v>1.113173743393511E-10</v>
      </c>
      <c r="ED161" s="22">
        <f t="shared" si="178"/>
        <v>13.51791434585531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45">
      <c r="A162" s="10">
        <f t="shared" si="161"/>
        <v>159</v>
      </c>
      <c r="B162" s="73">
        <f>'Scénario référence'!$B$16*5+'Scénario référence'!$B$17*0+'Scénario référence'!$B$18*5</f>
        <v>5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1">
        <f t="shared" si="140"/>
        <v>0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18.333333333333332</v>
      </c>
      <c r="H162" s="67">
        <f t="shared" si="110"/>
        <v>183.33333333333334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9.4880000000000049</v>
      </c>
      <c r="N162" s="13">
        <f>IF('Données projet'!$A$36&gt;35,N161+M162-V161,IF(A162&lt;'Données projet'!$A$36,$K$205^A162,IF(A162='Données projet'!$A$36,'Données projet'!$B$36,N161+M162-V161)))</f>
        <v>532.88000000000113</v>
      </c>
      <c r="O162" s="13">
        <f>N162*VLOOKUP('Données projet'!$B$9,Paramètres!$A$1:$I$89,3,0)*VLOOKUP('Données projet'!$B$9,Paramètres!$A$1:$I$89,5,0)</f>
        <v>482.14982400000099</v>
      </c>
      <c r="P162" s="13">
        <f t="shared" si="141"/>
        <v>108.24595869432409</v>
      </c>
      <c r="Q162" s="20">
        <f t="shared" si="162"/>
        <v>1028.272654859283</v>
      </c>
      <c r="R162" s="59">
        <f t="shared" si="109"/>
        <v>1315.9333244176519</v>
      </c>
      <c r="S162" s="59">
        <f ca="1">AVERAGE(OFFSET($R$3,0,0,'Données projet'!$E$9+1,1))-AVERAGE(OFFSET($H$3,0,0,'Données projet'!$E$9+1,1))</f>
        <v>681.47578137804555</v>
      </c>
      <c r="T162" s="59">
        <f t="shared" si="142"/>
        <v>300.88511065995885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49.038664696263268</v>
      </c>
      <c r="AA162" s="21">
        <f>EXP(-LN(2)/25)*AA161+(1-EXP(-LN(2)/25))/(LN(2)/25)*Calculateur!V162*Calculateur!X162*VLOOKUP('Données projet'!$B$9,Paramètres!$A$1:$I$89,3,0)*0.475*44/12</f>
        <v>19.931536283716778</v>
      </c>
      <c r="AB162" s="21">
        <f>EXP(-LN(2)/2)*AB161+(1-EXP(-LN(2)/2))/(LN(2)/2)*V162*Y162*VLOOKUP('Données projet'!$B$9,Paramètres!$A$1:$I$89,3,0)*0.475*44/12</f>
        <v>2.7545725412512548E-5</v>
      </c>
      <c r="AC162" s="22">
        <f t="shared" si="163"/>
        <v>68.970228525705465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3.4106051316484809E-13</v>
      </c>
      <c r="AJ162" s="13">
        <f>AI162*VLOOKUP('Données projet'!$B$10,Paramètres!$A$1:$I$89,3,0)*VLOOKUP('Données projet'!$B$10,Paramètres!$A$1:$I$89,5,0)</f>
        <v>1.5961632016114892E-13</v>
      </c>
      <c r="AK162" s="13">
        <f t="shared" si="164"/>
        <v>2.2708641912150958E-12</v>
      </c>
      <c r="AL162" s="20">
        <f t="shared" si="165"/>
        <v>4.2330868906469593E-12</v>
      </c>
      <c r="AM162" s="59">
        <f t="shared" si="113"/>
        <v>287.66066955837317</v>
      </c>
      <c r="AN162" s="59">
        <f ca="1">AVERAGE(OFFSET($AM$3,0,0,'Données projet'!$E$10+1,1))-AVERAGE(OFFSET($H$3,0,0,'Données projet'!$E$10+1,1))</f>
        <v>325.45940224919184</v>
      </c>
      <c r="AO162" s="59">
        <f t="shared" si="144"/>
        <v>256.30046621034876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48.748285342379766</v>
      </c>
      <c r="AV162" s="21">
        <f>EXP(-LN(2)/25)*AV161+(1-EXP(-LN(2)/25))/(LN(2)/25)*Calculateur!AQ162*Calculateur!AS162*VLOOKUP('Données projet'!$B$10,Paramètres!$A$1:$I$89,3,0)*0.475*44/12</f>
        <v>10.470854756115267</v>
      </c>
      <c r="AW162" s="21">
        <f>EXP(-LN(2)/2)*AW161+(1-EXP(-LN(2)/2))/(LN(2)/2)*AQ162*AT162*VLOOKUP('Données projet'!$B$10,Paramètres!$A$1:$I$89,3,0)*0.475*44/12</f>
        <v>9.3841251787044724E-7</v>
      </c>
      <c r="AX162" s="21">
        <f t="shared" si="166"/>
        <v>59.219141036907551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7.6783333333333319</v>
      </c>
      <c r="BD162" s="12">
        <f>IF('Données projet'!$A$88&gt;35,BD161+BC162-BL161,IF(A162&lt;'Données projet'!$A$88,$BA$205^A162,IF(A162='Données projet'!$A$88,'Données projet'!$B$88,BD161+BC162-BL161)))</f>
        <v>366.54499999999962</v>
      </c>
      <c r="BE162" s="13">
        <f>BD162*VLOOKUP('Données projet'!$B$11,Paramètres!$A$1:$I$89,3,0)*VLOOKUP('Données projet'!$B$11,Paramètres!$A$1:$I$89,5,0)</f>
        <v>371.67662999999965</v>
      </c>
      <c r="BF162" s="13">
        <f t="shared" si="167"/>
        <v>86.010225033473873</v>
      </c>
      <c r="BG162" s="20">
        <f t="shared" si="168"/>
        <v>797.13793918329975</v>
      </c>
      <c r="BH162" s="59">
        <f t="shared" si="116"/>
        <v>1084.7986087416687</v>
      </c>
      <c r="BI162" s="59">
        <f ca="1">AVERAGE(OFFSET($BH$3,0,0,'Données projet'!$E$11+1,1))-AVERAGE(OFFSET($H$3,0,0,'Données projet'!$E$11+1,1))</f>
        <v>580.02848304986492</v>
      </c>
      <c r="BJ162" s="59">
        <f t="shared" si="146"/>
        <v>281.68891895586728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39.644622577816804</v>
      </c>
      <c r="BQ162" s="21">
        <f>EXP(-LN(2)/25)*BQ161+(1-EXP(-LN(2)/25))/(LN(2)/25)*Calculateur!BL162*Calculateur!BN162*VLOOKUP('Données projet'!$B$11,Paramètres!$A$1:$I$89,3,0)*0.475*44/12</f>
        <v>21.03692547183115</v>
      </c>
      <c r="BR162" s="21">
        <f>EXP(-LN(2)/2)*BR161+(1-EXP(-LN(2)/2))/(LN(2)/2)*BL162*BO162*VLOOKUP('Données projet'!$B$11,Paramètres!$A$1:$I$89,3,0)*0.475*44/12</f>
        <v>3.2628227446277726E-2</v>
      </c>
      <c r="BS162" s="22">
        <f t="shared" si="169"/>
        <v>60.714176277094239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>
        <f>BY162*VLOOKUP('Données projet'!$B$12,Paramètres!$A$1:$I$89,3,0)*VLOOKUP('Données projet'!$B$12,Paramètres!$A$1:$I$89,5,0)</f>
        <v>0</v>
      </c>
      <c r="CA162" s="13" t="e">
        <f t="shared" si="170"/>
        <v>#NUM!</v>
      </c>
      <c r="CB162" s="20" t="e">
        <f t="shared" si="171"/>
        <v>#NUM!</v>
      </c>
      <c r="CC162" s="59" t="e">
        <f t="shared" si="119"/>
        <v>#NUM!</v>
      </c>
      <c r="CD162" s="59">
        <f ca="1">AVERAGE(OFFSET($CC$3,0,0,'Données projet'!$E$12+1,1))-AVERAGE(OFFSET($H$3,0,0,'Données projet'!$E$12+1,1))</f>
        <v>439.15394290667945</v>
      </c>
      <c r="CE162" s="59">
        <f t="shared" si="148"/>
        <v>423.56554025351068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10.55208452413132</v>
      </c>
      <c r="CL162" s="21">
        <f>EXP(-LN(2)/25)*CL161+(1-EXP(-LN(2)/25))/(LN(2)/25)*Calculateur!CG162*Calculateur!CI162*VLOOKUP('Données projet'!$B$12,Paramètres!$A$1:$I$89,3,0)*0.475*44/12</f>
        <v>5.5720603652202625</v>
      </c>
      <c r="CM162" s="21">
        <f>EXP(-LN(2)/2)*CM161+(1-EXP(-LN(2)/2))/(LN(2)/2)*CG162*CJ162*VLOOKUP('Données projet'!$B$12,Paramètres!$A$1:$I$89,3,0)*0.475*44/12</f>
        <v>9.6030189716268374E-11</v>
      </c>
      <c r="CN162" s="22">
        <f t="shared" si="172"/>
        <v>16.124144889447614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>
        <f>CT162*VLOOKUP('Données projet'!$B$13,Paramètres!$A$1:$I$89,3,0)*VLOOKUP('Données projet'!$B$13,Paramètres!$A$1:$I$89,5,0)</f>
        <v>0</v>
      </c>
      <c r="CV162" s="13" t="e">
        <f t="shared" si="173"/>
        <v>#NUM!</v>
      </c>
      <c r="CW162" s="20" t="e">
        <f t="shared" si="174"/>
        <v>#NUM!</v>
      </c>
      <c r="CX162" s="59" t="e">
        <f t="shared" si="122"/>
        <v>#NUM!</v>
      </c>
      <c r="CY162" s="59">
        <f ca="1">AVERAGE(OFFSET($CX$3,0,0,'Données projet'!$E$13+1,1))-AVERAGE(OFFSET($H$3,0,0,'Données projet'!$E$13+1,1))</f>
        <v>408.246209980743</v>
      </c>
      <c r="CZ162" s="59">
        <f t="shared" si="150"/>
        <v>394.10236303013903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>
        <f>EXP(-LN(2)/35)*DF161+(1-EXP(-LN(2)/35))/(LN(2)/35)*DB162*DC162*VLOOKUP('Données projet'!$B$13,Paramètres!$A$1:$I$89,3,0)*0.475*44/12</f>
        <v>11.939987368517654</v>
      </c>
      <c r="DG162" s="21">
        <f>EXP(-LN(2)/25)*DG161+(1-EXP(-LN(2)/25))/(LN(2)/25)*Calculateur!DB162*Calculateur!DD162*VLOOKUP('Données projet'!$B$13,Paramètres!$A$1:$I$89,3,0)*0.475*44/12</f>
        <v>6.3049466885145833</v>
      </c>
      <c r="DH162" s="21">
        <f>EXP(-LN(2)/2)*DH161+(1-EXP(-LN(2)/2))/(LN(2)/2)*DB162*DE162*VLOOKUP('Données projet'!$B$13,Paramètres!$A$1:$I$89,3,0)*0.475*44/12</f>
        <v>8.8158862690344762E-11</v>
      </c>
      <c r="DI162" s="22">
        <f t="shared" si="175"/>
        <v>18.2449340571204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>
        <f>DO162*VLOOKUP('Données projet'!$B$14,Paramètres!$A$1:$I$89,3,0)*VLOOKUP('Données projet'!$B$14,Paramètres!$A$1:$I$89,5,0)</f>
        <v>0</v>
      </c>
      <c r="DQ162" s="13" t="e">
        <f t="shared" si="176"/>
        <v>#NUM!</v>
      </c>
      <c r="DR162" s="20" t="e">
        <f t="shared" si="177"/>
        <v>#NUM!</v>
      </c>
      <c r="DS162" s="59" t="e">
        <f t="shared" si="125"/>
        <v>#NUM!</v>
      </c>
      <c r="DT162" s="59">
        <f ca="1">AVERAGE(OFFSET($DS$3,0,0,'Données projet'!$E$14+1,1))-AVERAGE(OFFSET($H$3,0,0,'Données projet'!$E$14+1,1))</f>
        <v>371.07993287480366</v>
      </c>
      <c r="DU162" s="59">
        <f t="shared" si="152"/>
        <v>358.67120540290637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>
        <f>EXP(-LN(2)/35)*EA161+(1-EXP(-LN(2)/35))/(LN(2)/35)*DW162*DX162*VLOOKUP('Données projet'!$B$14,Paramètres!$A$1:$I$89,3,0)*0.475*44/12</f>
        <v>8.6492496099437002</v>
      </c>
      <c r="EB162" s="21">
        <f>EXP(-LN(2)/25)*EB161+(1-EXP(-LN(2)/25))/(LN(2)/25)*Calculateur!DW162*Calculateur!DY162*VLOOKUP('Données projet'!$B$14,Paramètres!$A$1:$I$89,3,0)*0.475*44/12</f>
        <v>4.5672625944428367</v>
      </c>
      <c r="EC162" s="21">
        <f>EXP(-LN(2)/2)*EC161+(1-EXP(-LN(2)/2))/(LN(2)/2)*DW162*DZ162*VLOOKUP('Données projet'!$B$14,Paramètres!$A$1:$I$89,3,0)*0.475*44/12</f>
        <v>7.8713270259236536E-11</v>
      </c>
      <c r="ED162" s="22">
        <f t="shared" si="178"/>
        <v>13.21651220446525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45">
      <c r="A163" s="10">
        <f t="shared" si="161"/>
        <v>160</v>
      </c>
      <c r="B163" s="73">
        <f>'Scénario référence'!$B$16*5+'Scénario référence'!$B$17*0+'Scénario référence'!$B$18*5</f>
        <v>5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1">
        <f t="shared" si="140"/>
        <v>0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18.333333333333332</v>
      </c>
      <c r="H163" s="67">
        <f t="shared" si="110"/>
        <v>183.33333333333334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9.4880000000000049</v>
      </c>
      <c r="N163" s="13">
        <f>IF('Données projet'!$A$36&gt;35,N162+M163-V162,IF(A163&lt;'Données projet'!$A$36,$K$205^A163,IF(A163='Données projet'!$A$36,'Données projet'!$B$36,N162+M163-V162)))</f>
        <v>542.36800000000119</v>
      </c>
      <c r="O163" s="13">
        <f>N163*VLOOKUP('Données projet'!$B$9,Paramètres!$A$1:$I$89,3,0)*VLOOKUP('Données projet'!$B$9,Paramètres!$A$1:$I$89,5,0)</f>
        <v>490.73456640000109</v>
      </c>
      <c r="P163" s="13">
        <f t="shared" si="141"/>
        <v>109.94719771775897</v>
      </c>
      <c r="Q163" s="20">
        <f t="shared" si="162"/>
        <v>1046.1874058384321</v>
      </c>
      <c r="R163" s="59">
        <f t="shared" si="109"/>
        <v>1333.9464834311204</v>
      </c>
      <c r="S163" s="59">
        <f ca="1">AVERAGE(OFFSET($R$3,0,0,'Données projet'!$E$9+1,1))-AVERAGE(OFFSET($H$3,0,0,'Données projet'!$E$9+1,1))</f>
        <v>681.47578137804555</v>
      </c>
      <c r="T163" s="59">
        <f t="shared" si="142"/>
        <v>300.88511065995885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48.077046392201581</v>
      </c>
      <c r="AA163" s="21">
        <f>EXP(-LN(2)/25)*AA162+(1-EXP(-LN(2)/25))/(LN(2)/25)*Calculateur!V163*Calculateur!X163*VLOOKUP('Données projet'!$B$9,Paramètres!$A$1:$I$89,3,0)*0.475*44/12</f>
        <v>19.386507375884602</v>
      </c>
      <c r="AB163" s="21">
        <f>EXP(-LN(2)/2)*AB162+(1-EXP(-LN(2)/2))/(LN(2)/2)*V163*Y163*VLOOKUP('Données projet'!$B$9,Paramètres!$A$1:$I$89,3,0)*0.475*44/12</f>
        <v>1.9477769231890232E-5</v>
      </c>
      <c r="AC163" s="22">
        <f t="shared" si="163"/>
        <v>67.463573245855414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3.4106051316484809E-13</v>
      </c>
      <c r="AJ163" s="13">
        <f>AI163*VLOOKUP('Données projet'!$B$10,Paramètres!$A$1:$I$89,3,0)*VLOOKUP('Données projet'!$B$10,Paramètres!$A$1:$I$89,5,0)</f>
        <v>1.5961632016114892E-13</v>
      </c>
      <c r="AK163" s="13">
        <f t="shared" si="164"/>
        <v>2.2708641912150958E-12</v>
      </c>
      <c r="AL163" s="20">
        <f t="shared" si="165"/>
        <v>4.2330868906469593E-12</v>
      </c>
      <c r="AM163" s="59">
        <f t="shared" si="113"/>
        <v>287.75907759269256</v>
      </c>
      <c r="AN163" s="59">
        <f ca="1">AVERAGE(OFFSET($AM$3,0,0,'Données projet'!$E$10+1,1))-AVERAGE(OFFSET($H$3,0,0,'Données projet'!$E$10+1,1))</f>
        <v>325.45940224919184</v>
      </c>
      <c r="AO163" s="59">
        <f t="shared" si="144"/>
        <v>256.30046621034876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47.792361200333815</v>
      </c>
      <c r="AV163" s="21">
        <f>EXP(-LN(2)/25)*AV162+(1-EXP(-LN(2)/25))/(LN(2)/25)*Calculateur!AQ163*Calculateur!AS163*VLOOKUP('Données projet'!$B$10,Paramètres!$A$1:$I$89,3,0)*0.475*44/12</f>
        <v>10.184528682170976</v>
      </c>
      <c r="AW163" s="21">
        <f>EXP(-LN(2)/2)*AW162+(1-EXP(-LN(2)/2))/(LN(2)/2)*AQ163*AT163*VLOOKUP('Données projet'!$B$10,Paramètres!$A$1:$I$89,3,0)*0.475*44/12</f>
        <v>6.6355785493653552E-7</v>
      </c>
      <c r="AX163" s="21">
        <f t="shared" si="166"/>
        <v>57.976890546062648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7.6783333333333319</v>
      </c>
      <c r="BD163" s="12">
        <f>IF('Données projet'!$A$88&gt;35,BD162+BC163-BL162,IF(A163&lt;'Données projet'!$A$88,$BA$205^A163,IF(A163='Données projet'!$A$88,'Données projet'!$B$88,BD162+BC163-BL162)))</f>
        <v>374.22333333333296</v>
      </c>
      <c r="BE163" s="13">
        <f>BD163*VLOOKUP('Données projet'!$B$11,Paramètres!$A$1:$I$89,3,0)*VLOOKUP('Données projet'!$B$11,Paramètres!$A$1:$I$89,5,0)</f>
        <v>379.46245999999962</v>
      </c>
      <c r="BF163" s="13">
        <f t="shared" si="167"/>
        <v>87.600307836777574</v>
      </c>
      <c r="BG163" s="20">
        <f t="shared" si="168"/>
        <v>813.46765398238688</v>
      </c>
      <c r="BH163" s="59">
        <f t="shared" si="116"/>
        <v>1101.2267315750753</v>
      </c>
      <c r="BI163" s="59">
        <f ca="1">AVERAGE(OFFSET($BH$3,0,0,'Données projet'!$E$11+1,1))-AVERAGE(OFFSET($H$3,0,0,'Données projet'!$E$11+1,1))</f>
        <v>580.02848304986492</v>
      </c>
      <c r="BJ163" s="59">
        <f t="shared" si="146"/>
        <v>281.68891895586728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38.867215709897927</v>
      </c>
      <c r="BQ163" s="21">
        <f>EXP(-LN(2)/25)*BQ162+(1-EXP(-LN(2)/25))/(LN(2)/25)*Calculateur!BL163*Calculateur!BN163*VLOOKUP('Données projet'!$B$11,Paramètres!$A$1:$I$89,3,0)*0.475*44/12</f>
        <v>20.461669638520096</v>
      </c>
      <c r="BR163" s="21">
        <f>EXP(-LN(2)/2)*BR162+(1-EXP(-LN(2)/2))/(LN(2)/2)*BL163*BO163*VLOOKUP('Données projet'!$B$11,Paramètres!$A$1:$I$89,3,0)*0.475*44/12</f>
        <v>2.3071640885360008E-2</v>
      </c>
      <c r="BS163" s="22">
        <f t="shared" si="169"/>
        <v>59.351956989303389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>
        <f>BY163*VLOOKUP('Données projet'!$B$12,Paramètres!$A$1:$I$89,3,0)*VLOOKUP('Données projet'!$B$12,Paramètres!$A$1:$I$89,5,0)</f>
        <v>0</v>
      </c>
      <c r="CA163" s="13" t="e">
        <f t="shared" si="170"/>
        <v>#NUM!</v>
      </c>
      <c r="CB163" s="20" t="e">
        <f t="shared" si="171"/>
        <v>#NUM!</v>
      </c>
      <c r="CC163" s="59" t="e">
        <f t="shared" si="119"/>
        <v>#NUM!</v>
      </c>
      <c r="CD163" s="59">
        <f ca="1">AVERAGE(OFFSET($CC$3,0,0,'Données projet'!$E$12+1,1))-AVERAGE(OFFSET($H$3,0,0,'Données projet'!$E$12+1,1))</f>
        <v>439.15394290667945</v>
      </c>
      <c r="CE163" s="59">
        <f t="shared" si="148"/>
        <v>423.56554025351068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10.345164582749149</v>
      </c>
      <c r="CL163" s="21">
        <f>EXP(-LN(2)/25)*CL162+(1-EXP(-LN(2)/25))/(LN(2)/25)*Calculateur!CG163*Calculateur!CI163*VLOOKUP('Données projet'!$B$12,Paramètres!$A$1:$I$89,3,0)*0.475*44/12</f>
        <v>5.4196920815113954</v>
      </c>
      <c r="CM163" s="21">
        <f>EXP(-LN(2)/2)*CM162+(1-EXP(-LN(2)/2))/(LN(2)/2)*CG163*CJ163*VLOOKUP('Données projet'!$B$12,Paramètres!$A$1:$I$89,3,0)*0.475*44/12</f>
        <v>6.7903598347004027E-11</v>
      </c>
      <c r="CN163" s="22">
        <f t="shared" si="172"/>
        <v>15.764856664328448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>
        <f>CT163*VLOOKUP('Données projet'!$B$13,Paramètres!$A$1:$I$89,3,0)*VLOOKUP('Données projet'!$B$13,Paramètres!$A$1:$I$89,5,0)</f>
        <v>0</v>
      </c>
      <c r="CV163" s="13" t="e">
        <f t="shared" si="173"/>
        <v>#NUM!</v>
      </c>
      <c r="CW163" s="20" t="e">
        <f t="shared" si="174"/>
        <v>#NUM!</v>
      </c>
      <c r="CX163" s="59" t="e">
        <f t="shared" si="122"/>
        <v>#NUM!</v>
      </c>
      <c r="CY163" s="59">
        <f ca="1">AVERAGE(OFFSET($CX$3,0,0,'Données projet'!$E$13+1,1))-AVERAGE(OFFSET($H$3,0,0,'Données projet'!$E$13+1,1))</f>
        <v>408.246209980743</v>
      </c>
      <c r="CZ163" s="59">
        <f t="shared" si="150"/>
        <v>394.10236303013903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>
        <f>EXP(-LN(2)/35)*DF162+(1-EXP(-LN(2)/35))/(LN(2)/35)*DB163*DC163*VLOOKUP('Données projet'!$B$13,Paramètres!$A$1:$I$89,3,0)*0.475*44/12</f>
        <v>11.705851498894214</v>
      </c>
      <c r="DG163" s="21">
        <f>EXP(-LN(2)/25)*DG162+(1-EXP(-LN(2)/25))/(LN(2)/25)*Calculateur!DB163*Calculateur!DD163*VLOOKUP('Données projet'!$B$13,Paramètres!$A$1:$I$89,3,0)*0.475*44/12</f>
        <v>6.1325375897544161</v>
      </c>
      <c r="DH163" s="21">
        <f>EXP(-LN(2)/2)*DH162+(1-EXP(-LN(2)/2))/(LN(2)/2)*DB163*DE163*VLOOKUP('Données projet'!$B$13,Paramètres!$A$1:$I$89,3,0)*0.475*44/12</f>
        <v>6.2337729630036501E-11</v>
      </c>
      <c r="DI163" s="22">
        <f t="shared" si="175"/>
        <v>17.838389088710969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>
        <f>DO163*VLOOKUP('Données projet'!$B$14,Paramètres!$A$1:$I$89,3,0)*VLOOKUP('Données projet'!$B$14,Paramètres!$A$1:$I$89,5,0)</f>
        <v>0</v>
      </c>
      <c r="DQ163" s="13" t="e">
        <f t="shared" si="176"/>
        <v>#NUM!</v>
      </c>
      <c r="DR163" s="20" t="e">
        <f t="shared" si="177"/>
        <v>#NUM!</v>
      </c>
      <c r="DS163" s="59" t="e">
        <f t="shared" si="125"/>
        <v>#NUM!</v>
      </c>
      <c r="DT163" s="59">
        <f ca="1">AVERAGE(OFFSET($DS$3,0,0,'Données projet'!$E$14+1,1))-AVERAGE(OFFSET($H$3,0,0,'Données projet'!$E$14+1,1))</f>
        <v>371.07993287480366</v>
      </c>
      <c r="DU163" s="59">
        <f t="shared" si="152"/>
        <v>358.67120540290637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>
        <f>EXP(-LN(2)/35)*EA162+(1-EXP(-LN(2)/35))/(LN(2)/35)*DW163*DX163*VLOOKUP('Données projet'!$B$14,Paramètres!$A$1:$I$89,3,0)*0.475*44/12</f>
        <v>8.4796431006140516</v>
      </c>
      <c r="EB163" s="21">
        <f>EXP(-LN(2)/25)*EB162+(1-EXP(-LN(2)/25))/(LN(2)/25)*Calculateur!DW163*Calculateur!DY163*VLOOKUP('Données projet'!$B$14,Paramètres!$A$1:$I$89,3,0)*0.475*44/12</f>
        <v>4.4423705586158961</v>
      </c>
      <c r="EC163" s="21">
        <f>EXP(-LN(2)/2)*EC162+(1-EXP(-LN(2)/2))/(LN(2)/2)*DW163*DZ163*VLOOKUP('Données projet'!$B$14,Paramètres!$A$1:$I$89,3,0)*0.475*44/12</f>
        <v>5.5658687169675549E-11</v>
      </c>
      <c r="ED163" s="22">
        <f t="shared" si="178"/>
        <v>12.922013659285605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45">
      <c r="A164" s="10">
        <f t="shared" si="161"/>
        <v>161</v>
      </c>
      <c r="B164" s="73">
        <f>'Scénario référence'!$B$16*5+'Scénario référence'!$B$17*0+'Scénario référence'!$B$18*5</f>
        <v>5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1">
        <f t="shared" si="140"/>
        <v>0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18.333333333333332</v>
      </c>
      <c r="H164" s="67">
        <f t="shared" si="110"/>
        <v>183.33333333333334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9.4880000000000049</v>
      </c>
      <c r="N164" s="13">
        <f>IF('Données projet'!$A$36&gt;35,N163+M164-V163,IF(A164&lt;'Données projet'!$A$36,$K$205^A164,IF(A164='Données projet'!$A$36,'Données projet'!$B$36,N163+M164-V163)))</f>
        <v>551.85600000000125</v>
      </c>
      <c r="O164" s="13">
        <f>N164*VLOOKUP('Données projet'!$B$9,Paramètres!$A$1:$I$89,3,0)*VLOOKUP('Données projet'!$B$9,Paramètres!$A$1:$I$89,5,0)</f>
        <v>499.31930880000107</v>
      </c>
      <c r="P164" s="13">
        <f t="shared" si="141"/>
        <v>111.64497591125094</v>
      </c>
      <c r="Q164" s="20">
        <f t="shared" si="162"/>
        <v>1064.0961292054305</v>
      </c>
      <c r="R164" s="59">
        <f t="shared" si="109"/>
        <v>1351.9519076730503</v>
      </c>
      <c r="S164" s="59">
        <f ca="1">AVERAGE(OFFSET($R$3,0,0,'Données projet'!$E$9+1,1))-AVERAGE(OFFSET($H$3,0,0,'Données projet'!$E$9+1,1))</f>
        <v>681.47578137804555</v>
      </c>
      <c r="T164" s="59">
        <f t="shared" si="142"/>
        <v>300.88511065995885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47.134284836553292</v>
      </c>
      <c r="AA164" s="21">
        <f>EXP(-LN(2)/25)*AA163+(1-EXP(-LN(2)/25))/(LN(2)/25)*Calculateur!V164*Calculateur!X164*VLOOKUP('Données projet'!$B$9,Paramètres!$A$1:$I$89,3,0)*0.475*44/12</f>
        <v>18.856382312198924</v>
      </c>
      <c r="AB164" s="21">
        <f>EXP(-LN(2)/2)*AB163+(1-EXP(-LN(2)/2))/(LN(2)/2)*V164*Y164*VLOOKUP('Données projet'!$B$9,Paramètres!$A$1:$I$89,3,0)*0.475*44/12</f>
        <v>1.3772862706256274E-5</v>
      </c>
      <c r="AC164" s="22">
        <f t="shared" si="163"/>
        <v>65.99068092161491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3.4106051316484809E-13</v>
      </c>
      <c r="AJ164" s="13">
        <f>AI164*VLOOKUP('Données projet'!$B$10,Paramètres!$A$1:$I$89,3,0)*VLOOKUP('Données projet'!$B$10,Paramètres!$A$1:$I$89,5,0)</f>
        <v>1.5961632016114892E-13</v>
      </c>
      <c r="AK164" s="13">
        <f t="shared" si="164"/>
        <v>2.2708641912150958E-12</v>
      </c>
      <c r="AL164" s="20">
        <f t="shared" si="165"/>
        <v>4.2330868906469593E-12</v>
      </c>
      <c r="AM164" s="59">
        <f t="shared" si="113"/>
        <v>287.85577846762391</v>
      </c>
      <c r="AN164" s="59">
        <f ca="1">AVERAGE(OFFSET($AM$3,0,0,'Données projet'!$E$10+1,1))-AVERAGE(OFFSET($H$3,0,0,'Données projet'!$E$10+1,1))</f>
        <v>325.45940224919184</v>
      </c>
      <c r="AO164" s="59">
        <f t="shared" si="144"/>
        <v>256.30046621034876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46.855182147657231</v>
      </c>
      <c r="AV164" s="21">
        <f>EXP(-LN(2)/25)*AV163+(1-EXP(-LN(2)/25))/(LN(2)/25)*Calculateur!AQ164*Calculateur!AS164*VLOOKUP('Données projet'!$B$10,Paramètres!$A$1:$I$89,3,0)*0.475*44/12</f>
        <v>9.9060322097759244</v>
      </c>
      <c r="AW164" s="21">
        <f>EXP(-LN(2)/2)*AW163+(1-EXP(-LN(2)/2))/(LN(2)/2)*AQ164*AT164*VLOOKUP('Données projet'!$B$10,Paramètres!$A$1:$I$89,3,0)*0.475*44/12</f>
        <v>4.6920625893522372E-7</v>
      </c>
      <c r="AX164" s="21">
        <f t="shared" si="166"/>
        <v>56.76121482663941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7.6783333333333319</v>
      </c>
      <c r="BD164" s="12">
        <f>IF('Données projet'!$A$88&gt;35,BD163+BC164-BL163,IF(A164&lt;'Données projet'!$A$88,$BA$205^A164,IF(A164='Données projet'!$A$88,'Données projet'!$B$88,BD163+BC164-BL163)))</f>
        <v>381.9016666666663</v>
      </c>
      <c r="BE164" s="13">
        <f>BD164*VLOOKUP('Données projet'!$B$11,Paramètres!$A$1:$I$89,3,0)*VLOOKUP('Données projet'!$B$11,Paramètres!$A$1:$I$89,5,0)</f>
        <v>387.24828999999966</v>
      </c>
      <c r="BF164" s="13">
        <f t="shared" si="167"/>
        <v>89.186597293517707</v>
      </c>
      <c r="BG164" s="20">
        <f t="shared" si="168"/>
        <v>829.79076203620934</v>
      </c>
      <c r="BH164" s="59">
        <f t="shared" si="116"/>
        <v>1117.6465405038291</v>
      </c>
      <c r="BI164" s="59">
        <f ca="1">AVERAGE(OFFSET($BH$3,0,0,'Données projet'!$E$11+1,1))-AVERAGE(OFFSET($H$3,0,0,'Données projet'!$E$11+1,1))</f>
        <v>580.02848304986492</v>
      </c>
      <c r="BJ164" s="59">
        <f t="shared" si="146"/>
        <v>281.68891895586728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38.10505331648757</v>
      </c>
      <c r="BQ164" s="21">
        <f>EXP(-LN(2)/25)*BQ163+(1-EXP(-LN(2)/25))/(LN(2)/25)*Calculateur!BL164*Calculateur!BN164*VLOOKUP('Données projet'!$B$11,Paramètres!$A$1:$I$89,3,0)*0.475*44/12</f>
        <v>19.902144206222324</v>
      </c>
      <c r="BR164" s="21">
        <f>EXP(-LN(2)/2)*BR163+(1-EXP(-LN(2)/2))/(LN(2)/2)*BL164*BO164*VLOOKUP('Données projet'!$B$11,Paramètres!$A$1:$I$89,3,0)*0.475*44/12</f>
        <v>1.6314113723138863E-2</v>
      </c>
      <c r="BS164" s="22">
        <f t="shared" si="169"/>
        <v>58.023511636433035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>
        <f>BY164*VLOOKUP('Données projet'!$B$12,Paramètres!$A$1:$I$89,3,0)*VLOOKUP('Données projet'!$B$12,Paramètres!$A$1:$I$89,5,0)</f>
        <v>0</v>
      </c>
      <c r="CA164" s="13" t="e">
        <f t="shared" si="170"/>
        <v>#NUM!</v>
      </c>
      <c r="CB164" s="20" t="e">
        <f t="shared" si="171"/>
        <v>#NUM!</v>
      </c>
      <c r="CC164" s="59" t="e">
        <f t="shared" si="119"/>
        <v>#NUM!</v>
      </c>
      <c r="CD164" s="59">
        <f ca="1">AVERAGE(OFFSET($CC$3,0,0,'Données projet'!$E$12+1,1))-AVERAGE(OFFSET($H$3,0,0,'Données projet'!$E$12+1,1))</f>
        <v>439.15394290667945</v>
      </c>
      <c r="CE164" s="59">
        <f t="shared" si="148"/>
        <v>423.56554025351068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10.14230221520878</v>
      </c>
      <c r="CL164" s="21">
        <f>EXP(-LN(2)/25)*CL163+(1-EXP(-LN(2)/25))/(LN(2)/25)*Calculateur!CG164*Calculateur!CI164*VLOOKUP('Données projet'!$B$12,Paramètres!$A$1:$I$89,3,0)*0.475*44/12</f>
        <v>5.2714903165332467</v>
      </c>
      <c r="CM164" s="21">
        <f>EXP(-LN(2)/2)*CM163+(1-EXP(-LN(2)/2))/(LN(2)/2)*CG164*CJ164*VLOOKUP('Données projet'!$B$12,Paramètres!$A$1:$I$89,3,0)*0.475*44/12</f>
        <v>4.8015094858134187E-11</v>
      </c>
      <c r="CN164" s="22">
        <f t="shared" si="172"/>
        <v>15.41379253179004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>
        <f>CT164*VLOOKUP('Données projet'!$B$13,Paramètres!$A$1:$I$89,3,0)*VLOOKUP('Données projet'!$B$13,Paramètres!$A$1:$I$89,5,0)</f>
        <v>0</v>
      </c>
      <c r="CV164" s="13" t="e">
        <f t="shared" si="173"/>
        <v>#NUM!</v>
      </c>
      <c r="CW164" s="20" t="e">
        <f t="shared" si="174"/>
        <v>#NUM!</v>
      </c>
      <c r="CX164" s="59" t="e">
        <f t="shared" si="122"/>
        <v>#NUM!</v>
      </c>
      <c r="CY164" s="59">
        <f ca="1">AVERAGE(OFFSET($CX$3,0,0,'Données projet'!$E$13+1,1))-AVERAGE(OFFSET($H$3,0,0,'Données projet'!$E$13+1,1))</f>
        <v>408.246209980743</v>
      </c>
      <c r="CZ164" s="59">
        <f t="shared" si="150"/>
        <v>394.10236303013903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>
        <f>EXP(-LN(2)/35)*DF163+(1-EXP(-LN(2)/35))/(LN(2)/35)*DB164*DC164*VLOOKUP('Données projet'!$B$13,Paramètres!$A$1:$I$89,3,0)*0.475*44/12</f>
        <v>11.47630689086531</v>
      </c>
      <c r="DG164" s="21">
        <f>EXP(-LN(2)/25)*DG163+(1-EXP(-LN(2)/25))/(LN(2)/25)*Calculateur!DB164*Calculateur!DD164*VLOOKUP('Données projet'!$B$13,Paramètres!$A$1:$I$89,3,0)*0.475*44/12</f>
        <v>5.9648430268664461</v>
      </c>
      <c r="DH164" s="21">
        <f>EXP(-LN(2)/2)*DH163+(1-EXP(-LN(2)/2))/(LN(2)/2)*DB164*DE164*VLOOKUP('Données projet'!$B$13,Paramètres!$A$1:$I$89,3,0)*0.475*44/12</f>
        <v>4.4079431345172381E-11</v>
      </c>
      <c r="DI164" s="22">
        <f t="shared" si="175"/>
        <v>17.441149917775835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>
        <f>DO164*VLOOKUP('Données projet'!$B$14,Paramètres!$A$1:$I$89,3,0)*VLOOKUP('Données projet'!$B$14,Paramètres!$A$1:$I$89,5,0)</f>
        <v>0</v>
      </c>
      <c r="DQ164" s="13" t="e">
        <f t="shared" si="176"/>
        <v>#NUM!</v>
      </c>
      <c r="DR164" s="20" t="e">
        <f t="shared" si="177"/>
        <v>#NUM!</v>
      </c>
      <c r="DS164" s="59" t="e">
        <f t="shared" si="125"/>
        <v>#NUM!</v>
      </c>
      <c r="DT164" s="59">
        <f ca="1">AVERAGE(OFFSET($DS$3,0,0,'Données projet'!$E$14+1,1))-AVERAGE(OFFSET($H$3,0,0,'Données projet'!$E$14+1,1))</f>
        <v>371.07993287480366</v>
      </c>
      <c r="DU164" s="59">
        <f t="shared" si="152"/>
        <v>358.67120540290637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>
        <f>EXP(-LN(2)/35)*EA163+(1-EXP(-LN(2)/35))/(LN(2)/35)*DW164*DX164*VLOOKUP('Données projet'!$B$14,Paramètres!$A$1:$I$89,3,0)*0.475*44/12</f>
        <v>8.313362471482602</v>
      </c>
      <c r="EB164" s="21">
        <f>EXP(-LN(2)/25)*EB163+(1-EXP(-LN(2)/25))/(LN(2)/25)*Calculateur!DW164*Calculateur!DY164*VLOOKUP('Données projet'!$B$14,Paramètres!$A$1:$I$89,3,0)*0.475*44/12</f>
        <v>4.3208937020764298</v>
      </c>
      <c r="EC164" s="21">
        <f>EXP(-LN(2)/2)*EC163+(1-EXP(-LN(2)/2))/(LN(2)/2)*DW164*DZ164*VLOOKUP('Données projet'!$B$14,Paramètres!$A$1:$I$89,3,0)*0.475*44/12</f>
        <v>3.9356635129618268E-11</v>
      </c>
      <c r="ED164" s="22">
        <f t="shared" si="178"/>
        <v>12.634256173598388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45">
      <c r="A165" s="10">
        <f t="shared" si="161"/>
        <v>162</v>
      </c>
      <c r="B165" s="73">
        <f>'Scénario référence'!$B$16*5+'Scénario référence'!$B$17*0+'Scénario référence'!$B$18*5</f>
        <v>5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1">
        <f t="shared" si="140"/>
        <v>0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18.333333333333332</v>
      </c>
      <c r="H165" s="67">
        <f t="shared" si="110"/>
        <v>183.33333333333334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9.4880000000000049</v>
      </c>
      <c r="N165" s="13">
        <f>IF('Données projet'!$A$36&gt;35,N164+M165-V164,IF(A165&lt;'Données projet'!$A$36,$K$205^A165,IF(A165='Données projet'!$A$36,'Données projet'!$B$36,N164+M165-V164)))</f>
        <v>561.3440000000013</v>
      </c>
      <c r="O165" s="13">
        <f>N165*VLOOKUP('Données projet'!$B$9,Paramètres!$A$1:$I$89,3,0)*VLOOKUP('Données projet'!$B$9,Paramètres!$A$1:$I$89,5,0)</f>
        <v>507.90405120000116</v>
      </c>
      <c r="P165" s="13">
        <f t="shared" si="141"/>
        <v>113.33935964263163</v>
      </c>
      <c r="Q165" s="20">
        <f t="shared" si="162"/>
        <v>1081.9989405509189</v>
      </c>
      <c r="R165" s="59">
        <f t="shared" si="109"/>
        <v>1369.9497423494806</v>
      </c>
      <c r="S165" s="59">
        <f ca="1">AVERAGE(OFFSET($R$3,0,0,'Données projet'!$E$9+1,1))-AVERAGE(OFFSET($H$3,0,0,'Données projet'!$E$9+1,1))</f>
        <v>681.47578137804555</v>
      </c>
      <c r="T165" s="59">
        <f t="shared" si="142"/>
        <v>300.88511065995885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46.210010259983498</v>
      </c>
      <c r="AA165" s="21">
        <f>EXP(-LN(2)/25)*AA164+(1-EXP(-LN(2)/25))/(LN(2)/25)*Calculateur!V165*Calculateur!X165*VLOOKUP('Données projet'!$B$9,Paramètres!$A$1:$I$89,3,0)*0.475*44/12</f>
        <v>18.340753546257798</v>
      </c>
      <c r="AB165" s="21">
        <f>EXP(-LN(2)/2)*AB164+(1-EXP(-LN(2)/2))/(LN(2)/2)*V165*Y165*VLOOKUP('Données projet'!$B$9,Paramètres!$A$1:$I$89,3,0)*0.475*44/12</f>
        <v>9.7388846159451158E-6</v>
      </c>
      <c r="AC165" s="22">
        <f t="shared" si="163"/>
        <v>64.550773545125907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3.4106051316484809E-13</v>
      </c>
      <c r="AJ165" s="13">
        <f>AI165*VLOOKUP('Données projet'!$B$10,Paramètres!$A$1:$I$89,3,0)*VLOOKUP('Données projet'!$B$10,Paramètres!$A$1:$I$89,5,0)</f>
        <v>1.5961632016114892E-13</v>
      </c>
      <c r="AK165" s="13">
        <f t="shared" si="164"/>
        <v>2.2708641912150958E-12</v>
      </c>
      <c r="AL165" s="20">
        <f t="shared" si="165"/>
        <v>4.2330868906469593E-12</v>
      </c>
      <c r="AM165" s="59">
        <f t="shared" si="113"/>
        <v>287.95080179856592</v>
      </c>
      <c r="AN165" s="59">
        <f ca="1">AVERAGE(OFFSET($AM$3,0,0,'Données projet'!$E$10+1,1))-AVERAGE(OFFSET($H$3,0,0,'Données projet'!$E$10+1,1))</f>
        <v>325.45940224919184</v>
      </c>
      <c r="AO165" s="59">
        <f t="shared" si="144"/>
        <v>256.30046621034876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45.936380604580854</v>
      </c>
      <c r="AV165" s="21">
        <f>EXP(-LN(2)/25)*AV164+(1-EXP(-LN(2)/25))/(LN(2)/25)*Calculateur!AQ165*Calculateur!AS165*VLOOKUP('Données projet'!$B$10,Paramètres!$A$1:$I$89,3,0)*0.475*44/12</f>
        <v>9.6351512380640081</v>
      </c>
      <c r="AW165" s="21">
        <f>EXP(-LN(2)/2)*AW164+(1-EXP(-LN(2)/2))/(LN(2)/2)*AQ165*AT165*VLOOKUP('Données projet'!$B$10,Paramètres!$A$1:$I$89,3,0)*0.475*44/12</f>
        <v>3.3177892746826781E-7</v>
      </c>
      <c r="AX165" s="21">
        <f t="shared" si="166"/>
        <v>55.571532174423787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7.6783333333333319</v>
      </c>
      <c r="BD165" s="12">
        <f>IF('Données projet'!$A$88&gt;35,BD164+BC165-BL164,IF(A165&lt;'Données projet'!$A$88,$BA$205^A165,IF(A165='Données projet'!$A$88,'Données projet'!$B$88,BD164+BC165-BL164)))</f>
        <v>389.57999999999964</v>
      </c>
      <c r="BE165" s="13">
        <f>BD165*VLOOKUP('Données projet'!$B$11,Paramètres!$A$1:$I$89,3,0)*VLOOKUP('Données projet'!$B$11,Paramètres!$A$1:$I$89,5,0)</f>
        <v>395.03411999999969</v>
      </c>
      <c r="BF165" s="13">
        <f t="shared" si="167"/>
        <v>90.76917846043375</v>
      </c>
      <c r="BG165" s="20">
        <f t="shared" si="168"/>
        <v>846.10741148525494</v>
      </c>
      <c r="BH165" s="59">
        <f t="shared" si="116"/>
        <v>1134.0582132838167</v>
      </c>
      <c r="BI165" s="59">
        <f ca="1">AVERAGE(OFFSET($BH$3,0,0,'Données projet'!$E$11+1,1))-AVERAGE(OFFSET($H$3,0,0,'Données projet'!$E$11+1,1))</f>
        <v>580.02848304986492</v>
      </c>
      <c r="BJ165" s="59">
        <f t="shared" si="146"/>
        <v>281.68891895586728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37.357836462738838</v>
      </c>
      <c r="BQ165" s="21">
        <f>EXP(-LN(2)/25)*BQ164+(1-EXP(-LN(2)/25))/(LN(2)/25)*Calculateur!BL165*Calculateur!BN165*VLOOKUP('Données projet'!$B$11,Paramètres!$A$1:$I$89,3,0)*0.475*44/12</f>
        <v>19.357919026294898</v>
      </c>
      <c r="BR165" s="21">
        <f>EXP(-LN(2)/2)*BR164+(1-EXP(-LN(2)/2))/(LN(2)/2)*BL165*BO165*VLOOKUP('Données projet'!$B$11,Paramètres!$A$1:$I$89,3,0)*0.475*44/12</f>
        <v>1.1535820442680004E-2</v>
      </c>
      <c r="BS165" s="22">
        <f t="shared" si="169"/>
        <v>56.727291309476421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>
        <f>BY165*VLOOKUP('Données projet'!$B$12,Paramètres!$A$1:$I$89,3,0)*VLOOKUP('Données projet'!$B$12,Paramètres!$A$1:$I$89,5,0)</f>
        <v>0</v>
      </c>
      <c r="CA165" s="13" t="e">
        <f t="shared" si="170"/>
        <v>#NUM!</v>
      </c>
      <c r="CB165" s="20" t="e">
        <f t="shared" si="171"/>
        <v>#NUM!</v>
      </c>
      <c r="CC165" s="59" t="e">
        <f t="shared" si="119"/>
        <v>#NUM!</v>
      </c>
      <c r="CD165" s="59">
        <f ca="1">AVERAGE(OFFSET($CC$3,0,0,'Données projet'!$E$12+1,1))-AVERAGE(OFFSET($H$3,0,0,'Données projet'!$E$12+1,1))</f>
        <v>439.15394290667945</v>
      </c>
      <c r="CE165" s="59">
        <f t="shared" si="148"/>
        <v>423.56554025351068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9.9434178549620515</v>
      </c>
      <c r="CL165" s="21">
        <f>EXP(-LN(2)/25)*CL164+(1-EXP(-LN(2)/25))/(LN(2)/25)*Calculateur!CG165*Calculateur!CI165*VLOOKUP('Données projet'!$B$12,Paramètres!$A$1:$I$89,3,0)*0.475*44/12</f>
        <v>5.1273411366120172</v>
      </c>
      <c r="CM165" s="21">
        <f>EXP(-LN(2)/2)*CM164+(1-EXP(-LN(2)/2))/(LN(2)/2)*CG165*CJ165*VLOOKUP('Données projet'!$B$12,Paramètres!$A$1:$I$89,3,0)*0.475*44/12</f>
        <v>3.3951799173502013E-11</v>
      </c>
      <c r="CN165" s="22">
        <f t="shared" si="172"/>
        <v>15.07075899160802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>
        <f>CT165*VLOOKUP('Données projet'!$B$13,Paramètres!$A$1:$I$89,3,0)*VLOOKUP('Données projet'!$B$13,Paramètres!$A$1:$I$89,5,0)</f>
        <v>0</v>
      </c>
      <c r="CV165" s="13" t="e">
        <f t="shared" si="173"/>
        <v>#NUM!</v>
      </c>
      <c r="CW165" s="20" t="e">
        <f t="shared" si="174"/>
        <v>#NUM!</v>
      </c>
      <c r="CX165" s="59" t="e">
        <f t="shared" si="122"/>
        <v>#NUM!</v>
      </c>
      <c r="CY165" s="59">
        <f ca="1">AVERAGE(OFFSET($CX$3,0,0,'Données projet'!$E$13+1,1))-AVERAGE(OFFSET($H$3,0,0,'Données projet'!$E$13+1,1))</f>
        <v>408.246209980743</v>
      </c>
      <c r="CZ165" s="59">
        <f t="shared" si="150"/>
        <v>394.10236303013903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>
        <f>EXP(-LN(2)/35)*DF164+(1-EXP(-LN(2)/35))/(LN(2)/35)*DB165*DC165*VLOOKUP('Données projet'!$B$13,Paramètres!$A$1:$I$89,3,0)*0.475*44/12</f>
        <v>11.251263512591466</v>
      </c>
      <c r="DG165" s="21">
        <f>EXP(-LN(2)/25)*DG164+(1-EXP(-LN(2)/25))/(LN(2)/25)*Calculateur!DB165*Calculateur!DD165*VLOOKUP('Données projet'!$B$13,Paramètres!$A$1:$I$89,3,0)*0.475*44/12</f>
        <v>5.8017340806193207</v>
      </c>
      <c r="DH165" s="21">
        <f>EXP(-LN(2)/2)*DH164+(1-EXP(-LN(2)/2))/(LN(2)/2)*DB165*DE165*VLOOKUP('Données projet'!$B$13,Paramètres!$A$1:$I$89,3,0)*0.475*44/12</f>
        <v>3.116886481501825E-11</v>
      </c>
      <c r="DI165" s="22">
        <f t="shared" si="175"/>
        <v>17.052997593241955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>
        <f>DO165*VLOOKUP('Données projet'!$B$14,Paramètres!$A$1:$I$89,3,0)*VLOOKUP('Données projet'!$B$14,Paramètres!$A$1:$I$89,5,0)</f>
        <v>0</v>
      </c>
      <c r="DQ165" s="13" t="e">
        <f t="shared" si="176"/>
        <v>#NUM!</v>
      </c>
      <c r="DR165" s="20" t="e">
        <f t="shared" si="177"/>
        <v>#NUM!</v>
      </c>
      <c r="DS165" s="59" t="e">
        <f t="shared" si="125"/>
        <v>#NUM!</v>
      </c>
      <c r="DT165" s="59">
        <f ca="1">AVERAGE(OFFSET($DS$3,0,0,'Données projet'!$E$14+1,1))-AVERAGE(OFFSET($H$3,0,0,'Données projet'!$E$14+1,1))</f>
        <v>371.07993287480366</v>
      </c>
      <c r="DU165" s="59">
        <f t="shared" si="152"/>
        <v>358.67120540290637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>
        <f>EXP(-LN(2)/35)*EA164+(1-EXP(-LN(2)/35))/(LN(2)/35)*DW165*DX165*VLOOKUP('Données projet'!$B$14,Paramètres!$A$1:$I$89,3,0)*0.475*44/12</f>
        <v>8.1503425040672504</v>
      </c>
      <c r="EB165" s="21">
        <f>EXP(-LN(2)/25)*EB164+(1-EXP(-LN(2)/25))/(LN(2)/25)*Calculateur!DW165*Calculateur!DY165*VLOOKUP('Données projet'!$B$14,Paramètres!$A$1:$I$89,3,0)*0.475*44/12</f>
        <v>4.2027386365672257</v>
      </c>
      <c r="EC165" s="21">
        <f>EXP(-LN(2)/2)*EC164+(1-EXP(-LN(2)/2))/(LN(2)/2)*DW165*DZ165*VLOOKUP('Données projet'!$B$14,Paramètres!$A$1:$I$89,3,0)*0.475*44/12</f>
        <v>2.7829343584837774E-11</v>
      </c>
      <c r="ED165" s="22">
        <f t="shared" si="178"/>
        <v>12.353081140662306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45">
      <c r="A166" s="10">
        <f t="shared" si="161"/>
        <v>163</v>
      </c>
      <c r="B166" s="73">
        <f>'Scénario référence'!$B$16*5+'Scénario référence'!$B$17*0+'Scénario référence'!$B$18*5</f>
        <v>5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1">
        <f t="shared" si="140"/>
        <v>0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18.333333333333332</v>
      </c>
      <c r="H166" s="67">
        <f t="shared" si="110"/>
        <v>183.33333333333334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9.4880000000000049</v>
      </c>
      <c r="N166" s="13">
        <f>IF('Données projet'!$A$36&gt;35,N165+M166-V165,IF(A166&lt;'Données projet'!$A$36,$K$205^A166,IF(A166='Données projet'!$A$36,'Données projet'!$B$36,N165+M166-V165)))</f>
        <v>570.83200000000136</v>
      </c>
      <c r="O166" s="13">
        <f>N166*VLOOKUP('Données projet'!$B$9,Paramètres!$A$1:$I$89,3,0)*VLOOKUP('Données projet'!$B$9,Paramètres!$A$1:$I$89,5,0)</f>
        <v>516.48879360000115</v>
      </c>
      <c r="P166" s="13">
        <f t="shared" si="141"/>
        <v>115.03041290761819</v>
      </c>
      <c r="Q166" s="20">
        <f t="shared" si="162"/>
        <v>1099.8959513341035</v>
      </c>
      <c r="R166" s="59">
        <f t="shared" si="109"/>
        <v>1387.9401280212558</v>
      </c>
      <c r="S166" s="59">
        <f ca="1">AVERAGE(OFFSET($R$3,0,0,'Données projet'!$E$9+1,1))-AVERAGE(OFFSET($H$3,0,0,'Données projet'!$E$9+1,1))</f>
        <v>681.47578137804555</v>
      </c>
      <c r="T166" s="59">
        <f t="shared" si="142"/>
        <v>300.88511065995885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45.303860144108413</v>
      </c>
      <c r="AA166" s="21">
        <f>EXP(-LN(2)/25)*AA165+(1-EXP(-LN(2)/25))/(LN(2)/25)*Calculateur!V166*Calculateur!X166*VLOOKUP('Données projet'!$B$9,Paramètres!$A$1:$I$89,3,0)*0.475*44/12</f>
        <v>17.839224676037066</v>
      </c>
      <c r="AB166" s="21">
        <f>EXP(-LN(2)/2)*AB165+(1-EXP(-LN(2)/2))/(LN(2)/2)*V166*Y166*VLOOKUP('Données projet'!$B$9,Paramètres!$A$1:$I$89,3,0)*0.475*44/12</f>
        <v>6.886431353128137E-6</v>
      </c>
      <c r="AC166" s="22">
        <f t="shared" si="163"/>
        <v>63.143091706576826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3.4106051316484809E-13</v>
      </c>
      <c r="AJ166" s="13">
        <f>AI166*VLOOKUP('Données projet'!$B$10,Paramètres!$A$1:$I$89,3,0)*VLOOKUP('Données projet'!$B$10,Paramètres!$A$1:$I$89,5,0)</f>
        <v>1.5961632016114892E-13</v>
      </c>
      <c r="AK166" s="13">
        <f t="shared" si="164"/>
        <v>2.2708641912150958E-12</v>
      </c>
      <c r="AL166" s="20">
        <f t="shared" si="165"/>
        <v>4.2330868906469593E-12</v>
      </c>
      <c r="AM166" s="59">
        <f t="shared" si="113"/>
        <v>288.04417668715644</v>
      </c>
      <c r="AN166" s="59">
        <f ca="1">AVERAGE(OFFSET($AM$3,0,0,'Données projet'!$E$10+1,1))-AVERAGE(OFFSET($H$3,0,0,'Données projet'!$E$10+1,1))</f>
        <v>325.45940224919184</v>
      </c>
      <c r="AO166" s="59">
        <f t="shared" si="144"/>
        <v>256.30046621034876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45.0355961993506</v>
      </c>
      <c r="AV166" s="21">
        <f>EXP(-LN(2)/25)*AV165+(1-EXP(-LN(2)/25))/(LN(2)/25)*Calculateur!AQ166*Calculateur!AS166*VLOOKUP('Données projet'!$B$10,Paramètres!$A$1:$I$89,3,0)*0.475*44/12</f>
        <v>9.3716775207685661</v>
      </c>
      <c r="AW166" s="21">
        <f>EXP(-LN(2)/2)*AW165+(1-EXP(-LN(2)/2))/(LN(2)/2)*AQ166*AT166*VLOOKUP('Données projet'!$B$10,Paramètres!$A$1:$I$89,3,0)*0.475*44/12</f>
        <v>2.3460312946761189E-7</v>
      </c>
      <c r="AX166" s="21">
        <f t="shared" si="166"/>
        <v>54.407273954722292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7.6783333333333319</v>
      </c>
      <c r="BD166" s="12">
        <f>IF('Données projet'!$A$88&gt;35,BD165+BC166-BL165,IF(A166&lt;'Données projet'!$A$88,$BA$205^A166,IF(A166='Données projet'!$A$88,'Données projet'!$B$88,BD165+BC166-BL165)))</f>
        <v>397.25833333333298</v>
      </c>
      <c r="BE166" s="13">
        <f>BD166*VLOOKUP('Données projet'!$B$11,Paramètres!$A$1:$I$89,3,0)*VLOOKUP('Données projet'!$B$11,Paramètres!$A$1:$I$89,5,0)</f>
        <v>402.81994999999966</v>
      </c>
      <c r="BF166" s="13">
        <f t="shared" si="167"/>
        <v>92.348132849699439</v>
      </c>
      <c r="BG166" s="20">
        <f t="shared" si="168"/>
        <v>862.41774429655925</v>
      </c>
      <c r="BH166" s="59">
        <f t="shared" si="116"/>
        <v>1150.4619209837115</v>
      </c>
      <c r="BI166" s="59">
        <f ca="1">AVERAGE(OFFSET($BH$3,0,0,'Données projet'!$E$11+1,1))-AVERAGE(OFFSET($H$3,0,0,'Données projet'!$E$11+1,1))</f>
        <v>580.02848304986492</v>
      </c>
      <c r="BJ166" s="59">
        <f t="shared" si="146"/>
        <v>281.68891895586728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36.625272075734841</v>
      </c>
      <c r="BQ166" s="21">
        <f>EXP(-LN(2)/25)*BQ165+(1-EXP(-LN(2)/25))/(LN(2)/25)*Calculateur!BL166*Calculateur!BN166*VLOOKUP('Données projet'!$B$11,Paramètres!$A$1:$I$89,3,0)*0.475*44/12</f>
        <v>18.828575712532146</v>
      </c>
      <c r="BR166" s="21">
        <f>EXP(-LN(2)/2)*BR165+(1-EXP(-LN(2)/2))/(LN(2)/2)*BL166*BO166*VLOOKUP('Données projet'!$B$11,Paramètres!$A$1:$I$89,3,0)*0.475*44/12</f>
        <v>8.1570568615694315E-3</v>
      </c>
      <c r="BS166" s="22">
        <f t="shared" si="169"/>
        <v>55.462004845128554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>
        <f>BY166*VLOOKUP('Données projet'!$B$12,Paramètres!$A$1:$I$89,3,0)*VLOOKUP('Données projet'!$B$12,Paramètres!$A$1:$I$89,5,0)</f>
        <v>0</v>
      </c>
      <c r="CA166" s="13" t="e">
        <f t="shared" si="170"/>
        <v>#NUM!</v>
      </c>
      <c r="CB166" s="20" t="e">
        <f t="shared" si="171"/>
        <v>#NUM!</v>
      </c>
      <c r="CC166" s="59" t="e">
        <f t="shared" si="119"/>
        <v>#NUM!</v>
      </c>
      <c r="CD166" s="59">
        <f ca="1">AVERAGE(OFFSET($CC$3,0,0,'Données projet'!$E$12+1,1))-AVERAGE(OFFSET($H$3,0,0,'Données projet'!$E$12+1,1))</f>
        <v>439.15394290667945</v>
      </c>
      <c r="CE166" s="59">
        <f t="shared" si="148"/>
        <v>423.56554025351068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9.7484334957122787</v>
      </c>
      <c r="CL166" s="21">
        <f>EXP(-LN(2)/25)*CL165+(1-EXP(-LN(2)/25))/(LN(2)/25)*Calculateur!CG166*Calculateur!CI166*VLOOKUP('Données projet'!$B$12,Paramètres!$A$1:$I$89,3,0)*0.475*44/12</f>
        <v>4.9871337235962097</v>
      </c>
      <c r="CM166" s="21">
        <f>EXP(-LN(2)/2)*CM165+(1-EXP(-LN(2)/2))/(LN(2)/2)*CG166*CJ166*VLOOKUP('Données projet'!$B$12,Paramètres!$A$1:$I$89,3,0)*0.475*44/12</f>
        <v>2.4007547429067094E-11</v>
      </c>
      <c r="CN166" s="22">
        <f t="shared" si="172"/>
        <v>14.735567219332497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>
        <f>CT166*VLOOKUP('Données projet'!$B$13,Paramètres!$A$1:$I$89,3,0)*VLOOKUP('Données projet'!$B$13,Paramètres!$A$1:$I$89,5,0)</f>
        <v>0</v>
      </c>
      <c r="CV166" s="13" t="e">
        <f t="shared" si="173"/>
        <v>#NUM!</v>
      </c>
      <c r="CW166" s="20" t="e">
        <f t="shared" si="174"/>
        <v>#NUM!</v>
      </c>
      <c r="CX166" s="59" t="e">
        <f t="shared" si="122"/>
        <v>#NUM!</v>
      </c>
      <c r="CY166" s="59">
        <f ca="1">AVERAGE(OFFSET($CX$3,0,0,'Données projet'!$E$13+1,1))-AVERAGE(OFFSET($H$3,0,0,'Données projet'!$E$13+1,1))</f>
        <v>408.246209980743</v>
      </c>
      <c r="CZ166" s="59">
        <f t="shared" si="150"/>
        <v>394.10236303013903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>
        <f>EXP(-LN(2)/35)*DF165+(1-EXP(-LN(2)/35))/(LN(2)/35)*DB166*DC166*VLOOKUP('Données projet'!$B$13,Paramètres!$A$1:$I$89,3,0)*0.475*44/12</f>
        <v>11.030633097702665</v>
      </c>
      <c r="DG166" s="21">
        <f>EXP(-LN(2)/25)*DG165+(1-EXP(-LN(2)/25))/(LN(2)/25)*Calculateur!DB166*Calculateur!DD166*VLOOKUP('Données projet'!$B$13,Paramètres!$A$1:$I$89,3,0)*0.475*44/12</f>
        <v>5.6430853570848498</v>
      </c>
      <c r="DH166" s="21">
        <f>EXP(-LN(2)/2)*DH165+(1-EXP(-LN(2)/2))/(LN(2)/2)*DB166*DE166*VLOOKUP('Données projet'!$B$13,Paramètres!$A$1:$I$89,3,0)*0.475*44/12</f>
        <v>2.203971567258619E-11</v>
      </c>
      <c r="DI166" s="22">
        <f t="shared" si="175"/>
        <v>16.673718454809556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>
        <f>DO166*VLOOKUP('Données projet'!$B$14,Paramètres!$A$1:$I$89,3,0)*VLOOKUP('Données projet'!$B$14,Paramètres!$A$1:$I$89,5,0)</f>
        <v>0</v>
      </c>
      <c r="DQ166" s="13" t="e">
        <f t="shared" si="176"/>
        <v>#NUM!</v>
      </c>
      <c r="DR166" s="20" t="e">
        <f t="shared" si="177"/>
        <v>#NUM!</v>
      </c>
      <c r="DS166" s="59" t="e">
        <f t="shared" si="125"/>
        <v>#NUM!</v>
      </c>
      <c r="DT166" s="59">
        <f ca="1">AVERAGE(OFFSET($DS$3,0,0,'Données projet'!$E$14+1,1))-AVERAGE(OFFSET($H$3,0,0,'Données projet'!$E$14+1,1))</f>
        <v>371.07993287480366</v>
      </c>
      <c r="DU166" s="59">
        <f t="shared" si="152"/>
        <v>358.67120540290637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>
        <f>EXP(-LN(2)/35)*EA165+(1-EXP(-LN(2)/35))/(LN(2)/35)*DW166*DX166*VLOOKUP('Données projet'!$B$14,Paramètres!$A$1:$I$89,3,0)*0.475*44/12</f>
        <v>7.9905192587805525</v>
      </c>
      <c r="EB166" s="21">
        <f>EXP(-LN(2)/25)*EB165+(1-EXP(-LN(2)/25))/(LN(2)/25)*Calculateur!DW166*Calculateur!DY166*VLOOKUP('Données projet'!$B$14,Paramètres!$A$1:$I$89,3,0)*0.475*44/12</f>
        <v>4.0878145275378754</v>
      </c>
      <c r="EC166" s="21">
        <f>EXP(-LN(2)/2)*EC165+(1-EXP(-LN(2)/2))/(LN(2)/2)*DW166*DZ166*VLOOKUP('Données projet'!$B$14,Paramètres!$A$1:$I$89,3,0)*0.475*44/12</f>
        <v>1.9678317564809134E-11</v>
      </c>
      <c r="ED166" s="22">
        <f t="shared" si="178"/>
        <v>12.078333786338106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45">
      <c r="A167" s="10">
        <f t="shared" si="161"/>
        <v>164</v>
      </c>
      <c r="B167" s="73">
        <f>'Scénario référence'!$B$16*5+'Scénario référence'!$B$17*0+'Scénario référence'!$B$18*5</f>
        <v>5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1">
        <f t="shared" si="140"/>
        <v>0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18.333333333333332</v>
      </c>
      <c r="H167" s="67">
        <f t="shared" si="110"/>
        <v>183.33333333333334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>
        <f>VLOOKUP(A167,'Données projet'!$A$35:$I$55,2,0)</f>
        <v>580.32000000000005</v>
      </c>
      <c r="L167" s="12">
        <f>VLOOKUP(A167,'Données projet'!$A$35:$I$55,9,0)</f>
        <v>9.4880000000000049</v>
      </c>
      <c r="M167" s="12">
        <f t="array" ref="M167">INDEX(L:L,MIN(IF(ISNUMBER(L167:L363),ROW(L167:L363),"")))</f>
        <v>9.4880000000000049</v>
      </c>
      <c r="N167" s="13">
        <f>IF('Données projet'!$A$36&gt;35,N166+M167-V166,IF(A167&lt;'Données projet'!$A$36,$K$205^A167,IF(A167='Données projet'!$A$36,'Données projet'!$B$36,N166+M167-V166)))</f>
        <v>580.32000000000141</v>
      </c>
      <c r="O167" s="13">
        <f>N167*VLOOKUP('Données projet'!$B$9,Paramètres!$A$1:$I$89,3,0)*VLOOKUP('Données projet'!$B$9,Paramètres!$A$1:$I$89,5,0)</f>
        <v>525.07353600000124</v>
      </c>
      <c r="P167" s="13">
        <f t="shared" si="141"/>
        <v>116.71819745258949</v>
      </c>
      <c r="Q167" s="20">
        <f t="shared" si="162"/>
        <v>1117.7872690965953</v>
      </c>
      <c r="R167" s="59">
        <f t="shared" si="109"/>
        <v>1405.9232008267759</v>
      </c>
      <c r="S167" s="59">
        <f ca="1">AVERAGE(OFFSET($R$3,0,0,'Données projet'!$E$9+1,1))-AVERAGE(OFFSET($H$3,0,0,'Données projet'!$E$9+1,1))</f>
        <v>681.47578137804555</v>
      </c>
      <c r="T167" s="59">
        <f t="shared" si="142"/>
        <v>300.88511065995885</v>
      </c>
      <c r="U167" s="15">
        <f>IF(ISNA(VLOOKUP(A167,'Données projet'!$A$35:$I$55,3,0)),0,VLOOKUP(A167,'Données projet'!$A$35:$I$55,3,0))</f>
        <v>14</v>
      </c>
      <c r="V167" s="15">
        <f>IF(ISNA(VLOOKUP(A167,'Données projet'!$A$35:$I$55,4,0)),0,VLOOKUP(A167,'Données projet'!$A$35:$I$55,4,0))</f>
        <v>66.020000000000095</v>
      </c>
      <c r="W167" s="16">
        <f>IF(ISNA(VLOOKUP(A167,'Données projet'!$A$35:$I$55,5,0)),0%,VLOOKUP(A167,'Données projet'!$A$35:$I$55,5,0)*VLOOKUP('Données projet'!$B$9,Paramètres!$A$1:$I$89,7,0))</f>
        <v>0.215</v>
      </c>
      <c r="X167" s="16">
        <f>IF(ISNA(VLOOKUP(A167,'Données projet'!$A$35:$I$55,6,0)),0%,VLOOKUP(A167,'Données projet'!$A$35:$I$55,6,0)*VLOOKUP('Données projet'!$B$9,Paramètres!$A$1:$I$89,7,0))</f>
        <v>8.6000000000000007E-2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58.613038082092139</v>
      </c>
      <c r="AA167" s="21">
        <f>EXP(-LN(2)/25)*AA166+(1-EXP(-LN(2)/25))/(LN(2)/25)*Calculateur!V167*Calculateur!X167*VLOOKUP('Données projet'!$B$9,Paramètres!$A$1:$I$89,3,0)*0.475*44/12</f>
        <v>23.008073260464958</v>
      </c>
      <c r="AB167" s="21">
        <f>EXP(-LN(2)/2)*AB166+(1-EXP(-LN(2)/2))/(LN(2)/2)*V167*Y167*VLOOKUP('Données projet'!$B$9,Paramètres!$A$1:$I$89,3,0)*0.475*44/12</f>
        <v>4.8694423079725579E-6</v>
      </c>
      <c r="AC167" s="22">
        <f t="shared" si="163"/>
        <v>81.621116211999407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3.4106051316484809E-13</v>
      </c>
      <c r="AJ167" s="13">
        <f>AI167*VLOOKUP('Données projet'!$B$10,Paramètres!$A$1:$I$89,3,0)*VLOOKUP('Données projet'!$B$10,Paramètres!$A$1:$I$89,5,0)</f>
        <v>1.5961632016114892E-13</v>
      </c>
      <c r="AK167" s="13">
        <f t="shared" si="164"/>
        <v>2.2708641912150958E-12</v>
      </c>
      <c r="AL167" s="20">
        <f t="shared" si="165"/>
        <v>4.2330868906469593E-12</v>
      </c>
      <c r="AM167" s="59">
        <f t="shared" si="113"/>
        <v>288.13593173018489</v>
      </c>
      <c r="AN167" s="59">
        <f ca="1">AVERAGE(OFFSET($AM$3,0,0,'Données projet'!$E$10+1,1))-AVERAGE(OFFSET($H$3,0,0,'Données projet'!$E$10+1,1))</f>
        <v>325.45940224919184</v>
      </c>
      <c r="AO167" s="59">
        <f t="shared" si="144"/>
        <v>256.30046621034876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44.152475626882676</v>
      </c>
      <c r="AV167" s="21">
        <f>EXP(-LN(2)/25)*AV166+(1-EXP(-LN(2)/25))/(LN(2)/25)*Calculateur!AQ167*Calculateur!AS167*VLOOKUP('Données projet'!$B$10,Paramètres!$A$1:$I$89,3,0)*0.475*44/12</f>
        <v>9.1154085061280483</v>
      </c>
      <c r="AW167" s="21">
        <f>EXP(-LN(2)/2)*AW166+(1-EXP(-LN(2)/2))/(LN(2)/2)*AQ167*AT167*VLOOKUP('Données projet'!$B$10,Paramètres!$A$1:$I$89,3,0)*0.475*44/12</f>
        <v>1.6588946373413393E-7</v>
      </c>
      <c r="AX167" s="21">
        <f t="shared" si="166"/>
        <v>53.267884298900185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7.6783333333333319</v>
      </c>
      <c r="BD167" s="12">
        <f>IF('Données projet'!$A$88&gt;35,BD166+BC167-BL166,IF(A167&lt;'Données projet'!$A$88,$BA$205^A167,IF(A167='Données projet'!$A$88,'Données projet'!$B$88,BD166+BC167-BL166)))</f>
        <v>404.93666666666633</v>
      </c>
      <c r="BE167" s="13">
        <f>BD167*VLOOKUP('Données projet'!$B$11,Paramètres!$A$1:$I$89,3,0)*VLOOKUP('Données projet'!$B$11,Paramètres!$A$1:$I$89,5,0)</f>
        <v>410.6057799999997</v>
      </c>
      <c r="BF167" s="13">
        <f t="shared" si="167"/>
        <v>93.923538642241823</v>
      </c>
      <c r="BG167" s="20">
        <f t="shared" si="168"/>
        <v>878.72189663523716</v>
      </c>
      <c r="BH167" s="59">
        <f t="shared" si="116"/>
        <v>1166.8578283654178</v>
      </c>
      <c r="BI167" s="59">
        <f ca="1">AVERAGE(OFFSET($BH$3,0,0,'Données projet'!$E$11+1,1))-AVERAGE(OFFSET($H$3,0,0,'Données projet'!$E$11+1,1))</f>
        <v>580.02848304986492</v>
      </c>
      <c r="BJ167" s="59">
        <f t="shared" si="146"/>
        <v>281.68891895586728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35.907072829539835</v>
      </c>
      <c r="BQ167" s="21">
        <f>EXP(-LN(2)/25)*BQ166+(1-EXP(-LN(2)/25))/(LN(2)/25)*Calculateur!BL167*Calculateur!BN167*VLOOKUP('Données projet'!$B$11,Paramètres!$A$1:$I$89,3,0)*0.475*44/12</f>
        <v>18.313707319521193</v>
      </c>
      <c r="BR167" s="21">
        <f>EXP(-LN(2)/2)*BR166+(1-EXP(-LN(2)/2))/(LN(2)/2)*BL167*BO167*VLOOKUP('Données projet'!$B$11,Paramètres!$A$1:$I$89,3,0)*0.475*44/12</f>
        <v>5.7679102213400021E-3</v>
      </c>
      <c r="BS167" s="22">
        <f t="shared" si="169"/>
        <v>54.226548059282365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>
        <f>BY167*VLOOKUP('Données projet'!$B$12,Paramètres!$A$1:$I$89,3,0)*VLOOKUP('Données projet'!$B$12,Paramètres!$A$1:$I$89,5,0)</f>
        <v>0</v>
      </c>
      <c r="CA167" s="13" t="e">
        <f t="shared" si="170"/>
        <v>#NUM!</v>
      </c>
      <c r="CB167" s="20" t="e">
        <f t="shared" si="171"/>
        <v>#NUM!</v>
      </c>
      <c r="CC167" s="59" t="e">
        <f t="shared" si="119"/>
        <v>#NUM!</v>
      </c>
      <c r="CD167" s="59">
        <f ca="1">AVERAGE(OFFSET($CC$3,0,0,'Données projet'!$E$12+1,1))-AVERAGE(OFFSET($H$3,0,0,'Données projet'!$E$12+1,1))</f>
        <v>439.15394290667945</v>
      </c>
      <c r="CE167" s="59">
        <f t="shared" si="148"/>
        <v>423.56554025351068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9.5572726608186791</v>
      </c>
      <c r="CL167" s="21">
        <f>EXP(-LN(2)/25)*CL166+(1-EXP(-LN(2)/25))/(LN(2)/25)*Calculateur!CG167*Calculateur!CI167*VLOOKUP('Données projet'!$B$12,Paramètres!$A$1:$I$89,3,0)*0.475*44/12</f>
        <v>4.8507602896625066</v>
      </c>
      <c r="CM167" s="21">
        <f>EXP(-LN(2)/2)*CM166+(1-EXP(-LN(2)/2))/(LN(2)/2)*CG167*CJ167*VLOOKUP('Données projet'!$B$12,Paramètres!$A$1:$I$89,3,0)*0.475*44/12</f>
        <v>1.6975899586751007E-11</v>
      </c>
      <c r="CN167" s="22">
        <f t="shared" si="172"/>
        <v>14.408032950498162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>
        <f>CT167*VLOOKUP('Données projet'!$B$13,Paramètres!$A$1:$I$89,3,0)*VLOOKUP('Données projet'!$B$13,Paramètres!$A$1:$I$89,5,0)</f>
        <v>0</v>
      </c>
      <c r="CV167" s="13" t="e">
        <f t="shared" si="173"/>
        <v>#NUM!</v>
      </c>
      <c r="CW167" s="20" t="e">
        <f t="shared" si="174"/>
        <v>#NUM!</v>
      </c>
      <c r="CX167" s="59" t="e">
        <f t="shared" si="122"/>
        <v>#NUM!</v>
      </c>
      <c r="CY167" s="59">
        <f ca="1">AVERAGE(OFFSET($CX$3,0,0,'Données projet'!$E$13+1,1))-AVERAGE(OFFSET($H$3,0,0,'Données projet'!$E$13+1,1))</f>
        <v>408.246209980743</v>
      </c>
      <c r="CZ167" s="59">
        <f t="shared" si="150"/>
        <v>394.10236303013903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>
        <f>EXP(-LN(2)/35)*DF166+(1-EXP(-LN(2)/35))/(LN(2)/35)*DB167*DC167*VLOOKUP('Données projet'!$B$13,Paramètres!$A$1:$I$89,3,0)*0.475*44/12</f>
        <v>10.814329110678569</v>
      </c>
      <c r="DG167" s="21">
        <f>EXP(-LN(2)/25)*DG166+(1-EXP(-LN(2)/25))/(LN(2)/25)*Calculateur!DB167*Calculateur!DD167*VLOOKUP('Données projet'!$B$13,Paramètres!$A$1:$I$89,3,0)*0.475*44/12</f>
        <v>5.4887748912384033</v>
      </c>
      <c r="DH167" s="21">
        <f>EXP(-LN(2)/2)*DH166+(1-EXP(-LN(2)/2))/(LN(2)/2)*DB167*DE167*VLOOKUP('Données projet'!$B$13,Paramètres!$A$1:$I$89,3,0)*0.475*44/12</f>
        <v>1.5584432407509125E-11</v>
      </c>
      <c r="DI167" s="22">
        <f t="shared" si="175"/>
        <v>16.303104001932557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>
        <f>DO167*VLOOKUP('Données projet'!$B$14,Paramètres!$A$1:$I$89,3,0)*VLOOKUP('Données projet'!$B$14,Paramètres!$A$1:$I$89,5,0)</f>
        <v>0</v>
      </c>
      <c r="DQ167" s="13" t="e">
        <f t="shared" si="176"/>
        <v>#NUM!</v>
      </c>
      <c r="DR167" s="20" t="e">
        <f t="shared" si="177"/>
        <v>#NUM!</v>
      </c>
      <c r="DS167" s="59" t="e">
        <f t="shared" si="125"/>
        <v>#NUM!</v>
      </c>
      <c r="DT167" s="59">
        <f ca="1">AVERAGE(OFFSET($DS$3,0,0,'Données projet'!$E$14+1,1))-AVERAGE(OFFSET($H$3,0,0,'Données projet'!$E$14+1,1))</f>
        <v>371.07993287480366</v>
      </c>
      <c r="DU167" s="59">
        <f t="shared" si="152"/>
        <v>358.67120540290637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>
        <f>EXP(-LN(2)/35)*EA166+(1-EXP(-LN(2)/35))/(LN(2)/35)*DW167*DX167*VLOOKUP('Données projet'!$B$14,Paramètres!$A$1:$I$89,3,0)*0.475*44/12</f>
        <v>7.8338300498513727</v>
      </c>
      <c r="EB167" s="21">
        <f>EXP(-LN(2)/25)*EB166+(1-EXP(-LN(2)/25))/(LN(2)/25)*Calculateur!DW167*Calculateur!DY167*VLOOKUP('Données projet'!$B$14,Paramètres!$A$1:$I$89,3,0)*0.475*44/12</f>
        <v>3.9760330243135291</v>
      </c>
      <c r="EC167" s="21">
        <f>EXP(-LN(2)/2)*EC166+(1-EXP(-LN(2)/2))/(LN(2)/2)*DW167*DZ167*VLOOKUP('Données projet'!$B$14,Paramètres!$A$1:$I$89,3,0)*0.475*44/12</f>
        <v>1.3914671792418887E-11</v>
      </c>
      <c r="ED167" s="22">
        <f t="shared" si="178"/>
        <v>11.809863074178816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45">
      <c r="A168" s="10">
        <f t="shared" si="161"/>
        <v>165</v>
      </c>
      <c r="B168" s="73">
        <f>'Scénario référence'!$B$16*5+'Scénario référence'!$B$17*0+'Scénario référence'!$B$18*5</f>
        <v>5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1">
        <f t="shared" si="140"/>
        <v>0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18.333333333333332</v>
      </c>
      <c r="H168" s="67">
        <f t="shared" si="110"/>
        <v>183.33333333333334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9.6220000000000034</v>
      </c>
      <c r="N168" s="13">
        <f>IF('Données projet'!$A$36&gt;35,N167+M168-V167,IF(A168&lt;'Données projet'!$A$36,$K$205^A168,IF(A168='Données projet'!$A$36,'Données projet'!$B$36,N167+M168-V167)))</f>
        <v>523.92200000000128</v>
      </c>
      <c r="O168" s="13">
        <f>N168*VLOOKUP('Données projet'!$B$9,Paramètres!$A$1:$I$89,3,0)*VLOOKUP('Données projet'!$B$9,Paramètres!$A$1:$I$89,5,0)</f>
        <v>474.04462560000115</v>
      </c>
      <c r="P168" s="13">
        <f t="shared" si="141"/>
        <v>106.63651269520395</v>
      </c>
      <c r="Q168" s="20">
        <f t="shared" si="162"/>
        <v>1011.3529825308154</v>
      </c>
      <c r="R168" s="59">
        <f t="shared" si="109"/>
        <v>1299.5790775591615</v>
      </c>
      <c r="S168" s="59">
        <f ca="1">AVERAGE(OFFSET($R$3,0,0,'Données projet'!$E$9+1,1))-AVERAGE(OFFSET($H$3,0,0,'Données projet'!$E$9+1,1))</f>
        <v>681.47578137804555</v>
      </c>
      <c r="T168" s="59">
        <f t="shared" si="142"/>
        <v>300.88511065995885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57.463672155725483</v>
      </c>
      <c r="AA168" s="21">
        <f>EXP(-LN(2)/25)*AA167+(1-EXP(-LN(2)/25))/(LN(2)/25)*Calculateur!V168*Calculateur!X168*VLOOKUP('Données projet'!$B$9,Paramètres!$A$1:$I$89,3,0)*0.475*44/12</f>
        <v>22.378916287215556</v>
      </c>
      <c r="AB168" s="21">
        <f>EXP(-LN(2)/2)*AB167+(1-EXP(-LN(2)/2))/(LN(2)/2)*V168*Y168*VLOOKUP('Données projet'!$B$9,Paramètres!$A$1:$I$89,3,0)*0.475*44/12</f>
        <v>3.4432156765640685E-6</v>
      </c>
      <c r="AC168" s="22">
        <f t="shared" si="163"/>
        <v>79.842591886156711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3.4106051316484809E-13</v>
      </c>
      <c r="AJ168" s="13">
        <f>AI168*VLOOKUP('Données projet'!$B$10,Paramètres!$A$1:$I$89,3,0)*VLOOKUP('Données projet'!$B$10,Paramètres!$A$1:$I$89,5,0)</f>
        <v>1.5961632016114892E-13</v>
      </c>
      <c r="AK168" s="13">
        <f t="shared" si="164"/>
        <v>2.2708641912150958E-12</v>
      </c>
      <c r="AL168" s="20">
        <f t="shared" si="165"/>
        <v>4.2330868906469593E-12</v>
      </c>
      <c r="AM168" s="59">
        <f t="shared" si="113"/>
        <v>288.22609502835036</v>
      </c>
      <c r="AN168" s="59">
        <f ca="1">AVERAGE(OFFSET($AM$3,0,0,'Données projet'!$E$10+1,1))-AVERAGE(OFFSET($H$3,0,0,'Données projet'!$E$10+1,1))</f>
        <v>325.45940224919184</v>
      </c>
      <c r="AO168" s="59">
        <f t="shared" si="144"/>
        <v>256.30046621034876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43.286672510190485</v>
      </c>
      <c r="AV168" s="21">
        <f>EXP(-LN(2)/25)*AV167+(1-EXP(-LN(2)/25))/(LN(2)/25)*Calculateur!AQ168*Calculateur!AS168*VLOOKUP('Données projet'!$B$10,Paramètres!$A$1:$I$89,3,0)*0.475*44/12</f>
        <v>8.8661471811694774</v>
      </c>
      <c r="AW168" s="21">
        <f>EXP(-LN(2)/2)*AW167+(1-EXP(-LN(2)/2))/(LN(2)/2)*AQ168*AT168*VLOOKUP('Données projet'!$B$10,Paramètres!$A$1:$I$89,3,0)*0.475*44/12</f>
        <v>1.1730156473380596E-7</v>
      </c>
      <c r="AX168" s="21">
        <f t="shared" si="166"/>
        <v>52.152819808661533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7.6783333333333319</v>
      </c>
      <c r="BD168" s="12">
        <f>IF('Données projet'!$A$88&gt;35,BD167+BC168-BL167,IF(A168&lt;'Données projet'!$A$88,$BA$205^A168,IF(A168='Données projet'!$A$88,'Données projet'!$B$88,BD167+BC168-BL167)))</f>
        <v>412.61499999999967</v>
      </c>
      <c r="BE168" s="13">
        <f>BD168*VLOOKUP('Données projet'!$B$11,Paramètres!$A$1:$I$89,3,0)*VLOOKUP('Données projet'!$B$11,Paramètres!$A$1:$I$89,5,0)</f>
        <v>418.39160999999967</v>
      </c>
      <c r="BF168" s="13">
        <f t="shared" si="167"/>
        <v>95.495470884423355</v>
      </c>
      <c r="BG168" s="20">
        <f t="shared" si="168"/>
        <v>895.0199992070369</v>
      </c>
      <c r="BH168" s="59">
        <f t="shared" si="116"/>
        <v>1183.246094235383</v>
      </c>
      <c r="BI168" s="59">
        <f ca="1">AVERAGE(OFFSET($BH$3,0,0,'Données projet'!$E$11+1,1))-AVERAGE(OFFSET($H$3,0,0,'Données projet'!$E$11+1,1))</f>
        <v>580.02848304986492</v>
      </c>
      <c r="BJ168" s="59">
        <f t="shared" si="146"/>
        <v>281.68891895586728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35.202957032504429</v>
      </c>
      <c r="BQ168" s="21">
        <f>EXP(-LN(2)/25)*BQ167+(1-EXP(-LN(2)/25))/(LN(2)/25)*Calculateur!BL168*Calculateur!BN168*VLOOKUP('Données projet'!$B$11,Paramètres!$A$1:$I$89,3,0)*0.475*44/12</f>
        <v>17.812918029792876</v>
      </c>
      <c r="BR168" s="21">
        <f>EXP(-LN(2)/2)*BR167+(1-EXP(-LN(2)/2))/(LN(2)/2)*BL168*BO168*VLOOKUP('Données projet'!$B$11,Paramètres!$A$1:$I$89,3,0)*0.475*44/12</f>
        <v>4.0785284307847157E-3</v>
      </c>
      <c r="BS168" s="22">
        <f t="shared" si="169"/>
        <v>53.019953590728086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>
        <f>BY168*VLOOKUP('Données projet'!$B$12,Paramètres!$A$1:$I$89,3,0)*VLOOKUP('Données projet'!$B$12,Paramètres!$A$1:$I$89,5,0)</f>
        <v>0</v>
      </c>
      <c r="CA168" s="13" t="e">
        <f t="shared" si="170"/>
        <v>#NUM!</v>
      </c>
      <c r="CB168" s="20" t="e">
        <f t="shared" si="171"/>
        <v>#NUM!</v>
      </c>
      <c r="CC168" s="59" t="e">
        <f t="shared" si="119"/>
        <v>#NUM!</v>
      </c>
      <c r="CD168" s="59">
        <f ca="1">AVERAGE(OFFSET($CC$3,0,0,'Données projet'!$E$12+1,1))-AVERAGE(OFFSET($H$3,0,0,'Données projet'!$E$12+1,1))</f>
        <v>439.15394290667945</v>
      </c>
      <c r="CE168" s="59">
        <f t="shared" si="148"/>
        <v>423.56554025351068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9.3698603733007459</v>
      </c>
      <c r="CL168" s="21">
        <f>EXP(-LN(2)/25)*CL167+(1-EXP(-LN(2)/25))/(LN(2)/25)*Calculateur!CG168*Calculateur!CI168*VLOOKUP('Données projet'!$B$12,Paramètres!$A$1:$I$89,3,0)*0.475*44/12</f>
        <v>4.7181159944512885</v>
      </c>
      <c r="CM168" s="21">
        <f>EXP(-LN(2)/2)*CM167+(1-EXP(-LN(2)/2))/(LN(2)/2)*CG168*CJ168*VLOOKUP('Données projet'!$B$12,Paramètres!$A$1:$I$89,3,0)*0.475*44/12</f>
        <v>1.2003773714533547E-11</v>
      </c>
      <c r="CN168" s="22">
        <f t="shared" si="172"/>
        <v>14.087976367764039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>
        <f>CT168*VLOOKUP('Données projet'!$B$13,Paramètres!$A$1:$I$89,3,0)*VLOOKUP('Données projet'!$B$13,Paramètres!$A$1:$I$89,5,0)</f>
        <v>0</v>
      </c>
      <c r="CV168" s="13" t="e">
        <f t="shared" si="173"/>
        <v>#NUM!</v>
      </c>
      <c r="CW168" s="20" t="e">
        <f t="shared" si="174"/>
        <v>#NUM!</v>
      </c>
      <c r="CX168" s="59" t="e">
        <f t="shared" si="122"/>
        <v>#NUM!</v>
      </c>
      <c r="CY168" s="59">
        <f ca="1">AVERAGE(OFFSET($CX$3,0,0,'Données projet'!$E$13+1,1))-AVERAGE(OFFSET($H$3,0,0,'Données projet'!$E$13+1,1))</f>
        <v>408.246209980743</v>
      </c>
      <c r="CZ168" s="59">
        <f t="shared" si="150"/>
        <v>394.10236303013903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>
        <f>EXP(-LN(2)/35)*DF167+(1-EXP(-LN(2)/35))/(LN(2)/35)*DB168*DC168*VLOOKUP('Données projet'!$B$13,Paramètres!$A$1:$I$89,3,0)*0.475*44/12</f>
        <v>10.60226671290761</v>
      </c>
      <c r="DG168" s="21">
        <f>EXP(-LN(2)/25)*DG167+(1-EXP(-LN(2)/25))/(LN(2)/25)*Calculateur!DB168*Calculateur!DD168*VLOOKUP('Données projet'!$B$13,Paramètres!$A$1:$I$89,3,0)*0.475*44/12</f>
        <v>5.3386840531953625</v>
      </c>
      <c r="DH168" s="21">
        <f>EXP(-LN(2)/2)*DH167+(1-EXP(-LN(2)/2))/(LN(2)/2)*DB168*DE168*VLOOKUP('Données projet'!$B$13,Paramètres!$A$1:$I$89,3,0)*0.475*44/12</f>
        <v>1.1019857836293095E-11</v>
      </c>
      <c r="DI168" s="22">
        <f t="shared" si="175"/>
        <v>15.940950766113993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>
        <f>DO168*VLOOKUP('Données projet'!$B$14,Paramètres!$A$1:$I$89,3,0)*VLOOKUP('Données projet'!$B$14,Paramètres!$A$1:$I$89,5,0)</f>
        <v>0</v>
      </c>
      <c r="DQ168" s="13" t="e">
        <f t="shared" si="176"/>
        <v>#NUM!</v>
      </c>
      <c r="DR168" s="20" t="e">
        <f t="shared" si="177"/>
        <v>#NUM!</v>
      </c>
      <c r="DS168" s="59" t="e">
        <f t="shared" si="125"/>
        <v>#NUM!</v>
      </c>
      <c r="DT168" s="59">
        <f ca="1">AVERAGE(OFFSET($DS$3,0,0,'Données projet'!$E$14+1,1))-AVERAGE(OFFSET($H$3,0,0,'Données projet'!$E$14+1,1))</f>
        <v>371.07993287480366</v>
      </c>
      <c r="DU168" s="59">
        <f t="shared" si="152"/>
        <v>358.67120540290637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>
        <f>EXP(-LN(2)/35)*EA167+(1-EXP(-LN(2)/35))/(LN(2)/35)*DW168*DX168*VLOOKUP('Données projet'!$B$14,Paramètres!$A$1:$I$89,3,0)*0.475*44/12</f>
        <v>7.6802134207383128</v>
      </c>
      <c r="EB168" s="21">
        <f>EXP(-LN(2)/25)*EB167+(1-EXP(-LN(2)/25))/(LN(2)/25)*Calculateur!DW168*Calculateur!DY168*VLOOKUP('Données projet'!$B$14,Paramètres!$A$1:$I$89,3,0)*0.475*44/12</f>
        <v>3.8673081921731862</v>
      </c>
      <c r="EC168" s="21">
        <f>EXP(-LN(2)/2)*EC167+(1-EXP(-LN(2)/2))/(LN(2)/2)*DW168*DZ168*VLOOKUP('Données projet'!$B$14,Paramètres!$A$1:$I$89,3,0)*0.475*44/12</f>
        <v>9.839158782404567E-12</v>
      </c>
      <c r="ED168" s="22">
        <f t="shared" si="178"/>
        <v>11.547521612921338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45">
      <c r="A169" s="10">
        <f t="shared" si="161"/>
        <v>166</v>
      </c>
      <c r="B169" s="73">
        <f>'Scénario référence'!$B$16*5+'Scénario référence'!$B$17*0+'Scénario référence'!$B$18*5</f>
        <v>5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1">
        <f t="shared" si="140"/>
        <v>0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18.333333333333332</v>
      </c>
      <c r="H169" s="67">
        <f t="shared" si="110"/>
        <v>183.33333333333334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9.6220000000000034</v>
      </c>
      <c r="N169" s="13">
        <f>IF('Données projet'!$A$36&gt;35,N168+M169-V168,IF(A169&lt;'Données projet'!$A$36,$K$205^A169,IF(A169='Données projet'!$A$36,'Données projet'!$B$36,N168+M169-V168)))</f>
        <v>533.54400000000123</v>
      </c>
      <c r="O169" s="13">
        <f>N169*VLOOKUP('Données projet'!$B$9,Paramètres!$A$1:$I$89,3,0)*VLOOKUP('Données projet'!$B$9,Paramètres!$A$1:$I$89,5,0)</f>
        <v>482.75061120000112</v>
      </c>
      <c r="P169" s="13">
        <f t="shared" si="141"/>
        <v>108.36513078962237</v>
      </c>
      <c r="Q169" s="20">
        <f t="shared" si="162"/>
        <v>1029.5265839652609</v>
      </c>
      <c r="R169" s="59">
        <f t="shared" si="109"/>
        <v>1317.8412781601244</v>
      </c>
      <c r="S169" s="59">
        <f ca="1">AVERAGE(OFFSET($R$3,0,0,'Données projet'!$E$9+1,1))-AVERAGE(OFFSET($H$3,0,0,'Données projet'!$E$9+1,1))</f>
        <v>681.47578137804555</v>
      </c>
      <c r="T169" s="59">
        <f t="shared" si="142"/>
        <v>300.88511065995885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56.336844594130881</v>
      </c>
      <c r="AA169" s="21">
        <f>EXP(-LN(2)/25)*AA168+(1-EXP(-LN(2)/25))/(LN(2)/25)*Calculateur!V169*Calculateur!X169*VLOOKUP('Données projet'!$B$9,Paramètres!$A$1:$I$89,3,0)*0.475*44/12</f>
        <v>21.766963644485589</v>
      </c>
      <c r="AB169" s="21">
        <f>EXP(-LN(2)/2)*AB168+(1-EXP(-LN(2)/2))/(LN(2)/2)*V169*Y169*VLOOKUP('Données projet'!$B$9,Paramètres!$A$1:$I$89,3,0)*0.475*44/12</f>
        <v>2.434721153986279E-6</v>
      </c>
      <c r="AC169" s="22">
        <f t="shared" si="163"/>
        <v>78.10381067333762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3.4106051316484809E-13</v>
      </c>
      <c r="AJ169" s="13">
        <f>AI169*VLOOKUP('Données projet'!$B$10,Paramètres!$A$1:$I$89,3,0)*VLOOKUP('Données projet'!$B$10,Paramètres!$A$1:$I$89,5,0)</f>
        <v>1.5961632016114892E-13</v>
      </c>
      <c r="AK169" s="13">
        <f t="shared" si="164"/>
        <v>2.2708641912150958E-12</v>
      </c>
      <c r="AL169" s="20">
        <f t="shared" si="165"/>
        <v>4.2330868906469593E-12</v>
      </c>
      <c r="AM169" s="59">
        <f t="shared" si="113"/>
        <v>288.31469419486763</v>
      </c>
      <c r="AN169" s="59">
        <f ca="1">AVERAGE(OFFSET($AM$3,0,0,'Données projet'!$E$10+1,1))-AVERAGE(OFFSET($H$3,0,0,'Données projet'!$E$10+1,1))</f>
        <v>325.45940224919184</v>
      </c>
      <c r="AO169" s="59">
        <f t="shared" si="144"/>
        <v>256.30046621034876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42.437847264528877</v>
      </c>
      <c r="AV169" s="21">
        <f>EXP(-LN(2)/25)*AV168+(1-EXP(-LN(2)/25))/(LN(2)/25)*Calculateur!AQ169*Calculateur!AS169*VLOOKUP('Données projet'!$B$10,Paramètres!$A$1:$I$89,3,0)*0.475*44/12</f>
        <v>8.6237019202499816</v>
      </c>
      <c r="AW169" s="21">
        <f>EXP(-LN(2)/2)*AW168+(1-EXP(-LN(2)/2))/(LN(2)/2)*AQ169*AT169*VLOOKUP('Données projet'!$B$10,Paramètres!$A$1:$I$89,3,0)*0.475*44/12</f>
        <v>8.294473186706698E-8</v>
      </c>
      <c r="AX169" s="21">
        <f t="shared" si="166"/>
        <v>51.061549267723585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7.6783333333333319</v>
      </c>
      <c r="BD169" s="12">
        <f>IF('Données projet'!$A$88&gt;35,BD168+BC169-BL168,IF(A169&lt;'Données projet'!$A$88,$BA$205^A169,IF(A169='Données projet'!$A$88,'Données projet'!$B$88,BD168+BC169-BL168)))</f>
        <v>420.29333333333301</v>
      </c>
      <c r="BE169" s="13">
        <f>BD169*VLOOKUP('Données projet'!$B$11,Paramètres!$A$1:$I$89,3,0)*VLOOKUP('Données projet'!$B$11,Paramètres!$A$1:$I$89,5,0)</f>
        <v>426.17743999999971</v>
      </c>
      <c r="BF169" s="13">
        <f t="shared" si="167"/>
        <v>97.064001669669764</v>
      </c>
      <c r="BG169" s="20">
        <f t="shared" si="168"/>
        <v>911.31217757467437</v>
      </c>
      <c r="BH169" s="59">
        <f t="shared" si="116"/>
        <v>1199.6268717695377</v>
      </c>
      <c r="BI169" s="59">
        <f ca="1">AVERAGE(OFFSET($BH$3,0,0,'Données projet'!$E$11+1,1))-AVERAGE(OFFSET($H$3,0,0,'Données projet'!$E$11+1,1))</f>
        <v>580.02848304986492</v>
      </c>
      <c r="BJ169" s="59">
        <f t="shared" si="146"/>
        <v>281.68891895586728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34.512648516780658</v>
      </c>
      <c r="BQ169" s="21">
        <f>EXP(-LN(2)/25)*BQ168+(1-EXP(-LN(2)/25))/(LN(2)/25)*Calculateur!BL169*Calculateur!BN169*VLOOKUP('Données projet'!$B$11,Paramètres!$A$1:$I$89,3,0)*0.475*44/12</f>
        <v>17.32582284952754</v>
      </c>
      <c r="BR169" s="21">
        <f>EXP(-LN(2)/2)*BR168+(1-EXP(-LN(2)/2))/(LN(2)/2)*BL169*BO169*VLOOKUP('Données projet'!$B$11,Paramètres!$A$1:$I$89,3,0)*0.475*44/12</f>
        <v>2.8839551106700011E-3</v>
      </c>
      <c r="BS169" s="22">
        <f t="shared" si="169"/>
        <v>51.841355321418867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>
        <f>BY169*VLOOKUP('Données projet'!$B$12,Paramètres!$A$1:$I$89,3,0)*VLOOKUP('Données projet'!$B$12,Paramètres!$A$1:$I$89,5,0)</f>
        <v>0</v>
      </c>
      <c r="CA169" s="13" t="e">
        <f t="shared" si="170"/>
        <v>#NUM!</v>
      </c>
      <c r="CB169" s="20" t="e">
        <f t="shared" si="171"/>
        <v>#NUM!</v>
      </c>
      <c r="CC169" s="59" t="e">
        <f t="shared" si="119"/>
        <v>#NUM!</v>
      </c>
      <c r="CD169" s="59">
        <f ca="1">AVERAGE(OFFSET($CC$3,0,0,'Données projet'!$E$12+1,1))-AVERAGE(OFFSET($H$3,0,0,'Données projet'!$E$12+1,1))</f>
        <v>439.15394290667945</v>
      </c>
      <c r="CE169" s="59">
        <f t="shared" si="148"/>
        <v>423.56554025351068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9.1861231264308323</v>
      </c>
      <c r="CL169" s="21">
        <f>EXP(-LN(2)/25)*CL168+(1-EXP(-LN(2)/25))/(LN(2)/25)*Calculateur!CG169*Calculateur!CI169*VLOOKUP('Données projet'!$B$12,Paramètres!$A$1:$I$89,3,0)*0.475*44/12</f>
        <v>4.589098864468081</v>
      </c>
      <c r="CM169" s="21">
        <f>EXP(-LN(2)/2)*CM168+(1-EXP(-LN(2)/2))/(LN(2)/2)*CG169*CJ169*VLOOKUP('Données projet'!$B$12,Paramètres!$A$1:$I$89,3,0)*0.475*44/12</f>
        <v>8.4879497933755033E-12</v>
      </c>
      <c r="CN169" s="22">
        <f t="shared" si="172"/>
        <v>13.775221990907401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>
        <f>CT169*VLOOKUP('Données projet'!$B$13,Paramètres!$A$1:$I$89,3,0)*VLOOKUP('Données projet'!$B$13,Paramètres!$A$1:$I$89,5,0)</f>
        <v>0</v>
      </c>
      <c r="CV169" s="13" t="e">
        <f t="shared" si="173"/>
        <v>#NUM!</v>
      </c>
      <c r="CW169" s="20" t="e">
        <f t="shared" si="174"/>
        <v>#NUM!</v>
      </c>
      <c r="CX169" s="59" t="e">
        <f t="shared" si="122"/>
        <v>#NUM!</v>
      </c>
      <c r="CY169" s="59">
        <f ca="1">AVERAGE(OFFSET($CX$3,0,0,'Données projet'!$E$13+1,1))-AVERAGE(OFFSET($H$3,0,0,'Données projet'!$E$13+1,1))</f>
        <v>408.246209980743</v>
      </c>
      <c r="CZ169" s="59">
        <f t="shared" si="150"/>
        <v>394.10236303013903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>
        <f>EXP(-LN(2)/35)*DF168+(1-EXP(-LN(2)/35))/(LN(2)/35)*DB169*DC169*VLOOKUP('Données projet'!$B$13,Paramètres!$A$1:$I$89,3,0)*0.475*44/12</f>
        <v>10.394362729411649</v>
      </c>
      <c r="DG169" s="21">
        <f>EXP(-LN(2)/25)*DG168+(1-EXP(-LN(2)/25))/(LN(2)/25)*Calculateur!DB169*Calculateur!DD169*VLOOKUP('Données projet'!$B$13,Paramètres!$A$1:$I$89,3,0)*0.475*44/12</f>
        <v>5.1926974570115423</v>
      </c>
      <c r="DH169" s="21">
        <f>EXP(-LN(2)/2)*DH168+(1-EXP(-LN(2)/2))/(LN(2)/2)*DB169*DE169*VLOOKUP('Données projet'!$B$13,Paramètres!$A$1:$I$89,3,0)*0.475*44/12</f>
        <v>7.7922162037545626E-12</v>
      </c>
      <c r="DI169" s="22">
        <f t="shared" si="175"/>
        <v>15.587060186430984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>
        <f>DO169*VLOOKUP('Données projet'!$B$14,Paramètres!$A$1:$I$89,3,0)*VLOOKUP('Données projet'!$B$14,Paramètres!$A$1:$I$89,5,0)</f>
        <v>0</v>
      </c>
      <c r="DQ169" s="13" t="e">
        <f t="shared" si="176"/>
        <v>#NUM!</v>
      </c>
      <c r="DR169" s="20" t="e">
        <f t="shared" si="177"/>
        <v>#NUM!</v>
      </c>
      <c r="DS169" s="59" t="e">
        <f t="shared" si="125"/>
        <v>#NUM!</v>
      </c>
      <c r="DT169" s="59">
        <f ca="1">AVERAGE(OFFSET($DS$3,0,0,'Données projet'!$E$14+1,1))-AVERAGE(OFFSET($H$3,0,0,'Données projet'!$E$14+1,1))</f>
        <v>371.07993287480366</v>
      </c>
      <c r="DU169" s="59">
        <f t="shared" si="152"/>
        <v>358.67120540290637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>
        <f>EXP(-LN(2)/35)*EA168+(1-EXP(-LN(2)/35))/(LN(2)/35)*DW169*DX169*VLOOKUP('Données projet'!$B$14,Paramètres!$A$1:$I$89,3,0)*0.475*44/12</f>
        <v>7.5296091200252686</v>
      </c>
      <c r="EB169" s="21">
        <f>EXP(-LN(2)/25)*EB168+(1-EXP(-LN(2)/25))/(LN(2)/25)*Calculateur!DW169*Calculateur!DY169*VLOOKUP('Données projet'!$B$14,Paramètres!$A$1:$I$89,3,0)*0.475*44/12</f>
        <v>3.7615564462853115</v>
      </c>
      <c r="EC169" s="21">
        <f>EXP(-LN(2)/2)*EC168+(1-EXP(-LN(2)/2))/(LN(2)/2)*DW169*DZ169*VLOOKUP('Données projet'!$B$14,Paramètres!$A$1:$I$89,3,0)*0.475*44/12</f>
        <v>6.9573358962094436E-12</v>
      </c>
      <c r="ED169" s="22">
        <f t="shared" si="178"/>
        <v>11.291165566317538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45">
      <c r="A170" s="10">
        <f t="shared" si="161"/>
        <v>167</v>
      </c>
      <c r="B170" s="73">
        <f>'Scénario référence'!$B$16*5+'Scénario référence'!$B$17*0+'Scénario référence'!$B$18*5</f>
        <v>5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1">
        <f t="shared" si="140"/>
        <v>0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18.333333333333332</v>
      </c>
      <c r="H170" s="67">
        <f t="shared" si="110"/>
        <v>183.33333333333334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9.6220000000000034</v>
      </c>
      <c r="N170" s="13">
        <f>IF('Données projet'!$A$36&gt;35,N169+M170-V169,IF(A170&lt;'Données projet'!$A$36,$K$205^A170,IF(A170='Données projet'!$A$36,'Données projet'!$B$36,N169+M170-V169)))</f>
        <v>543.16600000000119</v>
      </c>
      <c r="O170" s="13">
        <f>N170*VLOOKUP('Données projet'!$B$9,Paramètres!$A$1:$I$89,3,0)*VLOOKUP('Données projet'!$B$9,Paramètres!$A$1:$I$89,5,0)</f>
        <v>491.45659680000102</v>
      </c>
      <c r="P170" s="13">
        <f t="shared" si="141"/>
        <v>110.09012381497753</v>
      </c>
      <c r="Q170" s="20">
        <f t="shared" si="162"/>
        <v>1047.6938717377543</v>
      </c>
      <c r="R170" s="59">
        <f t="shared" si="109"/>
        <v>1336.0956281016738</v>
      </c>
      <c r="S170" s="59">
        <f ca="1">AVERAGE(OFFSET($R$3,0,0,'Données projet'!$E$9+1,1))-AVERAGE(OFFSET($H$3,0,0,'Données projet'!$E$9+1,1))</f>
        <v>681.47578137804555</v>
      </c>
      <c r="T170" s="59">
        <f t="shared" si="142"/>
        <v>300.88511065995885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55.232113433722205</v>
      </c>
      <c r="AA170" s="21">
        <f>EXP(-LN(2)/25)*AA169+(1-EXP(-LN(2)/25))/(LN(2)/25)*Calculateur!V170*Calculateur!X170*VLOOKUP('Données projet'!$B$9,Paramètres!$A$1:$I$89,3,0)*0.475*44/12</f>
        <v>21.171744878952261</v>
      </c>
      <c r="AB170" s="21">
        <f>EXP(-LN(2)/2)*AB169+(1-EXP(-LN(2)/2))/(LN(2)/2)*V170*Y170*VLOOKUP('Données projet'!$B$9,Paramètres!$A$1:$I$89,3,0)*0.475*44/12</f>
        <v>1.7216078382820342E-6</v>
      </c>
      <c r="AC170" s="22">
        <f t="shared" si="163"/>
        <v>76.403860034282303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3.4106051316484809E-13</v>
      </c>
      <c r="AJ170" s="13">
        <f>AI170*VLOOKUP('Données projet'!$B$10,Paramètres!$A$1:$I$89,3,0)*VLOOKUP('Données projet'!$B$10,Paramètres!$A$1:$I$89,5,0)</f>
        <v>1.5961632016114892E-13</v>
      </c>
      <c r="AK170" s="13">
        <f t="shared" si="164"/>
        <v>2.2708641912150958E-12</v>
      </c>
      <c r="AL170" s="20">
        <f t="shared" si="165"/>
        <v>4.2330868906469593E-12</v>
      </c>
      <c r="AM170" s="59">
        <f t="shared" si="113"/>
        <v>288.40175636392382</v>
      </c>
      <c r="AN170" s="59">
        <f ca="1">AVERAGE(OFFSET($AM$3,0,0,'Données projet'!$E$10+1,1))-AVERAGE(OFFSET($H$3,0,0,'Données projet'!$E$10+1,1))</f>
        <v>325.45940224919184</v>
      </c>
      <c r="AO170" s="59">
        <f t="shared" si="144"/>
        <v>256.30046621034876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41.605666964202413</v>
      </c>
      <c r="AV170" s="21">
        <f>EXP(-LN(2)/25)*AV169+(1-EXP(-LN(2)/25))/(LN(2)/25)*Calculateur!AQ170*Calculateur!AS170*VLOOKUP('Données projet'!$B$10,Paramètres!$A$1:$I$89,3,0)*0.475*44/12</f>
        <v>8.3878863377399711</v>
      </c>
      <c r="AW170" s="21">
        <f>EXP(-LN(2)/2)*AW169+(1-EXP(-LN(2)/2))/(LN(2)/2)*AQ170*AT170*VLOOKUP('Données projet'!$B$10,Paramètres!$A$1:$I$89,3,0)*0.475*44/12</f>
        <v>5.8650782366902992E-8</v>
      </c>
      <c r="AX170" s="21">
        <f t="shared" si="166"/>
        <v>49.993553360593168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7.6783333333333319</v>
      </c>
      <c r="BD170" s="12">
        <f>IF('Données projet'!$A$88&gt;35,BD169+BC170-BL169,IF(A170&lt;'Données projet'!$A$88,$BA$205^A170,IF(A170='Données projet'!$A$88,'Données projet'!$B$88,BD169+BC170-BL169)))</f>
        <v>427.97166666666635</v>
      </c>
      <c r="BE170" s="13">
        <f>BD170*VLOOKUP('Données projet'!$B$11,Paramètres!$A$1:$I$89,3,0)*VLOOKUP('Données projet'!$B$11,Paramètres!$A$1:$I$89,5,0)</f>
        <v>433.96326999999974</v>
      </c>
      <c r="BF170" s="13">
        <f t="shared" si="167"/>
        <v>98.629200306449263</v>
      </c>
      <c r="BG170" s="20">
        <f t="shared" si="168"/>
        <v>927.59855245039887</v>
      </c>
      <c r="BH170" s="59">
        <f t="shared" si="116"/>
        <v>1216.0003088143185</v>
      </c>
      <c r="BI170" s="59">
        <f ca="1">AVERAGE(OFFSET($BH$3,0,0,'Données projet'!$E$11+1,1))-AVERAGE(OFFSET($H$3,0,0,'Données projet'!$E$11+1,1))</f>
        <v>580.02848304986492</v>
      </c>
      <c r="BJ170" s="59">
        <f t="shared" si="146"/>
        <v>281.68891895586728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33.83587653000361</v>
      </c>
      <c r="BQ170" s="21">
        <f>EXP(-LN(2)/25)*BQ169+(1-EXP(-LN(2)/25))/(LN(2)/25)*Calculateur!BL170*Calculateur!BN170*VLOOKUP('Données projet'!$B$11,Paramètres!$A$1:$I$89,3,0)*0.475*44/12</f>
        <v>16.852047312581785</v>
      </c>
      <c r="BR170" s="21">
        <f>EXP(-LN(2)/2)*BR169+(1-EXP(-LN(2)/2))/(LN(2)/2)*BL170*BO170*VLOOKUP('Données projet'!$B$11,Paramètres!$A$1:$I$89,3,0)*0.475*44/12</f>
        <v>2.0392642153923579E-3</v>
      </c>
      <c r="BS170" s="22">
        <f t="shared" si="169"/>
        <v>50.689963106800782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>
        <f>BY170*VLOOKUP('Données projet'!$B$12,Paramètres!$A$1:$I$89,3,0)*VLOOKUP('Données projet'!$B$12,Paramètres!$A$1:$I$89,5,0)</f>
        <v>0</v>
      </c>
      <c r="CA170" s="13" t="e">
        <f t="shared" si="170"/>
        <v>#NUM!</v>
      </c>
      <c r="CB170" s="20" t="e">
        <f t="shared" si="171"/>
        <v>#NUM!</v>
      </c>
      <c r="CC170" s="59" t="e">
        <f t="shared" si="119"/>
        <v>#NUM!</v>
      </c>
      <c r="CD170" s="59">
        <f ca="1">AVERAGE(OFFSET($CC$3,0,0,'Données projet'!$E$12+1,1))-AVERAGE(OFFSET($H$3,0,0,'Données projet'!$E$12+1,1))</f>
        <v>439.15394290667945</v>
      </c>
      <c r="CE170" s="59">
        <f t="shared" si="148"/>
        <v>423.56554025351068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9.0059888549033822</v>
      </c>
      <c r="CL170" s="21">
        <f>EXP(-LN(2)/25)*CL169+(1-EXP(-LN(2)/25))/(LN(2)/25)*Calculateur!CG170*Calculateur!CI170*VLOOKUP('Données projet'!$B$12,Paramètres!$A$1:$I$89,3,0)*0.475*44/12</f>
        <v>4.4636097146889808</v>
      </c>
      <c r="CM170" s="21">
        <f>EXP(-LN(2)/2)*CM169+(1-EXP(-LN(2)/2))/(LN(2)/2)*CG170*CJ170*VLOOKUP('Données projet'!$B$12,Paramètres!$A$1:$I$89,3,0)*0.475*44/12</f>
        <v>6.0018868572667734E-12</v>
      </c>
      <c r="CN170" s="22">
        <f t="shared" si="172"/>
        <v>13.469598569598366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>
        <f>CT170*VLOOKUP('Données projet'!$B$13,Paramètres!$A$1:$I$89,3,0)*VLOOKUP('Données projet'!$B$13,Paramètres!$A$1:$I$89,5,0)</f>
        <v>0</v>
      </c>
      <c r="CV170" s="13" t="e">
        <f t="shared" si="173"/>
        <v>#NUM!</v>
      </c>
      <c r="CW170" s="20" t="e">
        <f t="shared" si="174"/>
        <v>#NUM!</v>
      </c>
      <c r="CX170" s="59" t="e">
        <f t="shared" si="122"/>
        <v>#NUM!</v>
      </c>
      <c r="CY170" s="59">
        <f ca="1">AVERAGE(OFFSET($CX$3,0,0,'Données projet'!$E$13+1,1))-AVERAGE(OFFSET($H$3,0,0,'Données projet'!$E$13+1,1))</f>
        <v>408.246209980743</v>
      </c>
      <c r="CZ170" s="59">
        <f t="shared" si="150"/>
        <v>394.10236303013903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>
        <f>EXP(-LN(2)/35)*DF169+(1-EXP(-LN(2)/35))/(LN(2)/35)*DB170*DC170*VLOOKUP('Données projet'!$B$13,Paramètres!$A$1:$I$89,3,0)*0.475*44/12</f>
        <v>10.190535616223135</v>
      </c>
      <c r="DG170" s="21">
        <f>EXP(-LN(2)/25)*DG169+(1-EXP(-LN(2)/25))/(LN(2)/25)*Calculateur!DB170*Calculateur!DD170*VLOOKUP('Données projet'!$B$13,Paramètres!$A$1:$I$89,3,0)*0.475*44/12</f>
        <v>5.05070287197747</v>
      </c>
      <c r="DH170" s="21">
        <f>EXP(-LN(2)/2)*DH169+(1-EXP(-LN(2)/2))/(LN(2)/2)*DB170*DE170*VLOOKUP('Données projet'!$B$13,Paramètres!$A$1:$I$89,3,0)*0.475*44/12</f>
        <v>5.5099289181465476E-12</v>
      </c>
      <c r="DI170" s="22">
        <f t="shared" si="175"/>
        <v>15.241238488206115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>
        <f>DO170*VLOOKUP('Données projet'!$B$14,Paramètres!$A$1:$I$89,3,0)*VLOOKUP('Données projet'!$B$14,Paramètres!$A$1:$I$89,5,0)</f>
        <v>0</v>
      </c>
      <c r="DQ170" s="13" t="e">
        <f t="shared" si="176"/>
        <v>#NUM!</v>
      </c>
      <c r="DR170" s="20" t="e">
        <f t="shared" si="177"/>
        <v>#NUM!</v>
      </c>
      <c r="DS170" s="59" t="e">
        <f t="shared" si="125"/>
        <v>#NUM!</v>
      </c>
      <c r="DT170" s="59">
        <f ca="1">AVERAGE(OFFSET($DS$3,0,0,'Données projet'!$E$14+1,1))-AVERAGE(OFFSET($H$3,0,0,'Données projet'!$E$14+1,1))</f>
        <v>371.07993287480366</v>
      </c>
      <c r="DU170" s="59">
        <f t="shared" si="152"/>
        <v>358.67120540290637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>
        <f>EXP(-LN(2)/35)*EA169+(1-EXP(-LN(2)/35))/(LN(2)/35)*DW170*DX170*VLOOKUP('Données projet'!$B$14,Paramètres!$A$1:$I$89,3,0)*0.475*44/12</f>
        <v>7.3819580777896538</v>
      </c>
      <c r="EB170" s="21">
        <f>EXP(-LN(2)/25)*EB169+(1-EXP(-LN(2)/25))/(LN(2)/25)*Calculateur!DW170*Calculateur!DY170*VLOOKUP('Données projet'!$B$14,Paramètres!$A$1:$I$89,3,0)*0.475*44/12</f>
        <v>3.6586964874499834</v>
      </c>
      <c r="EC170" s="21">
        <f>EXP(-LN(2)/2)*EC169+(1-EXP(-LN(2)/2))/(LN(2)/2)*DW170*DZ170*VLOOKUP('Données projet'!$B$14,Paramètres!$A$1:$I$89,3,0)*0.475*44/12</f>
        <v>4.9195793912022835E-12</v>
      </c>
      <c r="ED170" s="22">
        <f t="shared" si="178"/>
        <v>11.040654565244557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45">
      <c r="A171" s="10">
        <f t="shared" si="161"/>
        <v>168</v>
      </c>
      <c r="B171" s="73">
        <f>'Scénario référence'!$B$16*5+'Scénario référence'!$B$17*0+'Scénario référence'!$B$18*5</f>
        <v>5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1">
        <f t="shared" si="140"/>
        <v>0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18.333333333333332</v>
      </c>
      <c r="H171" s="67">
        <f t="shared" si="110"/>
        <v>183.33333333333334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9.6220000000000034</v>
      </c>
      <c r="N171" s="13">
        <f>IF('Données projet'!$A$36&gt;35,N170+M171-V170,IF(A171&lt;'Données projet'!$A$36,$K$205^A171,IF(A171='Données projet'!$A$36,'Données projet'!$B$36,N170+M171-V170)))</f>
        <v>552.78800000000115</v>
      </c>
      <c r="O171" s="13">
        <f>N171*VLOOKUP('Données projet'!$B$9,Paramètres!$A$1:$I$89,3,0)*VLOOKUP('Données projet'!$B$9,Paramètres!$A$1:$I$89,5,0)</f>
        <v>500.16258240000104</v>
      </c>
      <c r="P171" s="13">
        <f t="shared" si="141"/>
        <v>111.81156339666074</v>
      </c>
      <c r="Q171" s="20">
        <f t="shared" si="162"/>
        <v>1065.8549705958526</v>
      </c>
      <c r="R171" s="59">
        <f t="shared" si="109"/>
        <v>1354.3422787948371</v>
      </c>
      <c r="S171" s="59">
        <f ca="1">AVERAGE(OFFSET($R$3,0,0,'Données projet'!$E$9+1,1))-AVERAGE(OFFSET($H$3,0,0,'Données projet'!$E$9+1,1))</f>
        <v>681.47578137804555</v>
      </c>
      <c r="T171" s="59">
        <f t="shared" si="142"/>
        <v>300.88511065995885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54.149045377549669</v>
      </c>
      <c r="AA171" s="21">
        <f>EXP(-LN(2)/25)*AA170+(1-EXP(-LN(2)/25))/(LN(2)/25)*Calculateur!V171*Calculateur!X171*VLOOKUP('Données projet'!$B$9,Paramètres!$A$1:$I$89,3,0)*0.475*44/12</f>
        <v>20.592802401863636</v>
      </c>
      <c r="AB171" s="21">
        <f>EXP(-LN(2)/2)*AB170+(1-EXP(-LN(2)/2))/(LN(2)/2)*V171*Y171*VLOOKUP('Données projet'!$B$9,Paramètres!$A$1:$I$89,3,0)*0.475*44/12</f>
        <v>1.2173605769931395E-6</v>
      </c>
      <c r="AC171" s="22">
        <f t="shared" si="163"/>
        <v>74.741848996773882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3.4106051316484809E-13</v>
      </c>
      <c r="AJ171" s="13">
        <f>AI171*VLOOKUP('Données projet'!$B$10,Paramètres!$A$1:$I$89,3,0)*VLOOKUP('Données projet'!$B$10,Paramètres!$A$1:$I$89,5,0)</f>
        <v>1.5961632016114892E-13</v>
      </c>
      <c r="AK171" s="13">
        <f t="shared" si="164"/>
        <v>2.2708641912150958E-12</v>
      </c>
      <c r="AL171" s="20">
        <f t="shared" si="165"/>
        <v>4.2330868906469593E-12</v>
      </c>
      <c r="AM171" s="59">
        <f t="shared" si="113"/>
        <v>288.48730819898873</v>
      </c>
      <c r="AN171" s="59">
        <f ca="1">AVERAGE(OFFSET($AM$3,0,0,'Données projet'!$E$10+1,1))-AVERAGE(OFFSET($H$3,0,0,'Données projet'!$E$10+1,1))</f>
        <v>325.45940224919184</v>
      </c>
      <c r="AO171" s="59">
        <f t="shared" si="144"/>
        <v>256.30046621034876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40.789805211985488</v>
      </c>
      <c r="AV171" s="21">
        <f>EXP(-LN(2)/25)*AV170+(1-EXP(-LN(2)/25))/(LN(2)/25)*Calculateur!AQ171*Calculateur!AS171*VLOOKUP('Données projet'!$B$10,Paramètres!$A$1:$I$89,3,0)*0.475*44/12</f>
        <v>8.158519144734699</v>
      </c>
      <c r="AW171" s="21">
        <f>EXP(-LN(2)/2)*AW170+(1-EXP(-LN(2)/2))/(LN(2)/2)*AQ171*AT171*VLOOKUP('Données projet'!$B$10,Paramètres!$A$1:$I$89,3,0)*0.475*44/12</f>
        <v>4.1472365933533497E-8</v>
      </c>
      <c r="AX171" s="21">
        <f t="shared" si="166"/>
        <v>48.948324398192554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>
        <f>VLOOKUP(A171,'Données projet'!$A$87:$I$107,2,0)</f>
        <v>435.65</v>
      </c>
      <c r="BB171" s="12">
        <f>VLOOKUP(A171,'Données projet'!$A$87:$I$107,9,0)</f>
        <v>7.6783333333333319</v>
      </c>
      <c r="BC171" s="12">
        <f t="array" ref="BC171">INDEX(BB:BB,MIN(IF(ISNUMBER(BB171:BB367),ROW(BB171:BB367),"")))</f>
        <v>7.6783333333333319</v>
      </c>
      <c r="BD171" s="12">
        <f>IF('Données projet'!$A$88&gt;35,BD170+BC171-BL170,IF(A171&lt;'Données projet'!$A$88,$BA$205^A171,IF(A171='Données projet'!$A$88,'Données projet'!$B$88,BD170+BC171-BL170)))</f>
        <v>435.64999999999969</v>
      </c>
      <c r="BE171" s="13">
        <f>BD171*VLOOKUP('Données projet'!$B$11,Paramètres!$A$1:$I$89,3,0)*VLOOKUP('Données projet'!$B$11,Paramètres!$A$1:$I$89,5,0)</f>
        <v>441.74909999999966</v>
      </c>
      <c r="BF171" s="13">
        <f t="shared" si="167"/>
        <v>100.19113347385638</v>
      </c>
      <c r="BG171" s="20">
        <f t="shared" si="168"/>
        <v>943.879239966966</v>
      </c>
      <c r="BH171" s="59">
        <f t="shared" si="116"/>
        <v>1232.3665481659505</v>
      </c>
      <c r="BI171" s="59">
        <f ca="1">AVERAGE(OFFSET($BH$3,0,0,'Données projet'!$E$11+1,1))-AVERAGE(OFFSET($H$3,0,0,'Données projet'!$E$11+1,1))</f>
        <v>580.02848304986492</v>
      </c>
      <c r="BJ171" s="59">
        <f t="shared" si="146"/>
        <v>281.68891895586728</v>
      </c>
      <c r="BK171" s="15">
        <f>IF(ISNA(VLOOKUP(A171,'Données projet'!$A$87:$I$107,3,0)),0,VLOOKUP(A171,'Données projet'!$A$87:$I$107,3,0))</f>
        <v>12</v>
      </c>
      <c r="BL171" s="15">
        <f>IF(ISNA(VLOOKUP(A171,'Données projet'!$A$87:$I$107,4,0)),0,VLOOKUP(A171,'Données projet'!$A$87:$I$107,4,0))</f>
        <v>71.37</v>
      </c>
      <c r="BM171" s="16">
        <f>IF(ISNA(VLOOKUP(A171,'Données projet'!$A$87:$I$107,5,0)),0%,VLOOKUP(A171,'Données projet'!$A$87:$I$107,5,0)*VLOOKUP('Données projet'!$B$11,Paramètres!$A$1:$I$89,7,0))</f>
        <v>0.215</v>
      </c>
      <c r="BN171" s="16">
        <f>IF(ISNA(VLOOKUP(A171,'Données projet'!$A$87:$I$107,6,0)),0%,VLOOKUP(A171,'Données projet'!$A$87:$I$107,6,0)*VLOOKUP('Données projet'!$B$11,Paramètres!$A$1:$I$89,7,0))</f>
        <v>8.6000000000000007E-2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50.372802378531105</v>
      </c>
      <c r="BQ171" s="21">
        <f>EXP(-LN(2)/25)*BQ170+(1-EXP(-LN(2)/25))/(LN(2)/25)*Calculateur!BL171*Calculateur!BN171*VLOOKUP('Données projet'!$B$11,Paramètres!$A$1:$I$89,3,0)*0.475*44/12</f>
        <v>23.244308038786613</v>
      </c>
      <c r="BR171" s="21">
        <f>EXP(-LN(2)/2)*BR170+(1-EXP(-LN(2)/2))/(LN(2)/2)*BL171*BO171*VLOOKUP('Données projet'!$B$11,Paramètres!$A$1:$I$89,3,0)*0.475*44/12</f>
        <v>1.4419775553350005E-3</v>
      </c>
      <c r="BS171" s="22">
        <f t="shared" si="169"/>
        <v>73.618552394873049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>
        <f>BY171*VLOOKUP('Données projet'!$B$12,Paramètres!$A$1:$I$89,3,0)*VLOOKUP('Données projet'!$B$12,Paramètres!$A$1:$I$89,5,0)</f>
        <v>0</v>
      </c>
      <c r="CA171" s="13" t="e">
        <f t="shared" si="170"/>
        <v>#NUM!</v>
      </c>
      <c r="CB171" s="20" t="e">
        <f t="shared" si="171"/>
        <v>#NUM!</v>
      </c>
      <c r="CC171" s="59" t="e">
        <f t="shared" si="119"/>
        <v>#NUM!</v>
      </c>
      <c r="CD171" s="59">
        <f ca="1">AVERAGE(OFFSET($CC$3,0,0,'Données projet'!$E$12+1,1))-AVERAGE(OFFSET($H$3,0,0,'Données projet'!$E$12+1,1))</f>
        <v>439.15394290667945</v>
      </c>
      <c r="CE171" s="59">
        <f t="shared" si="148"/>
        <v>423.56554025351068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8.8293869065695283</v>
      </c>
      <c r="CL171" s="21">
        <f>EXP(-LN(2)/25)*CL170+(1-EXP(-LN(2)/25))/(LN(2)/25)*Calculateur!CG171*Calculateur!CI171*VLOOKUP('Données projet'!$B$12,Paramètres!$A$1:$I$89,3,0)*0.475*44/12</f>
        <v>4.3415520723097778</v>
      </c>
      <c r="CM171" s="21">
        <f>EXP(-LN(2)/2)*CM170+(1-EXP(-LN(2)/2))/(LN(2)/2)*CG171*CJ171*VLOOKUP('Données projet'!$B$12,Paramètres!$A$1:$I$89,3,0)*0.475*44/12</f>
        <v>4.2439748966877517E-12</v>
      </c>
      <c r="CN171" s="22">
        <f t="shared" si="172"/>
        <v>13.17093897888355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>
        <f>CT171*VLOOKUP('Données projet'!$B$13,Paramètres!$A$1:$I$89,3,0)*VLOOKUP('Données projet'!$B$13,Paramètres!$A$1:$I$89,5,0)</f>
        <v>0</v>
      </c>
      <c r="CV171" s="13" t="e">
        <f t="shared" si="173"/>
        <v>#NUM!</v>
      </c>
      <c r="CW171" s="20" t="e">
        <f t="shared" si="174"/>
        <v>#NUM!</v>
      </c>
      <c r="CX171" s="59" t="e">
        <f t="shared" si="122"/>
        <v>#NUM!</v>
      </c>
      <c r="CY171" s="59">
        <f ca="1">AVERAGE(OFFSET($CX$3,0,0,'Données projet'!$E$13+1,1))-AVERAGE(OFFSET($H$3,0,0,'Données projet'!$E$13+1,1))</f>
        <v>408.246209980743</v>
      </c>
      <c r="CZ171" s="59">
        <f t="shared" si="150"/>
        <v>394.10236303013903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>
        <f>EXP(-LN(2)/35)*DF170+(1-EXP(-LN(2)/35))/(LN(2)/35)*DB171*DC171*VLOOKUP('Données projet'!$B$13,Paramètres!$A$1:$I$89,3,0)*0.475*44/12</f>
        <v>9.9907054284019843</v>
      </c>
      <c r="DG171" s="21">
        <f>EXP(-LN(2)/25)*DG170+(1-EXP(-LN(2)/25))/(LN(2)/25)*Calculateur!DB171*Calculateur!DD171*VLOOKUP('Données projet'!$B$13,Paramètres!$A$1:$I$89,3,0)*0.475*44/12</f>
        <v>4.9125911363383254</v>
      </c>
      <c r="DH171" s="21">
        <f>EXP(-LN(2)/2)*DH170+(1-EXP(-LN(2)/2))/(LN(2)/2)*DB171*DE171*VLOOKUP('Données projet'!$B$13,Paramètres!$A$1:$I$89,3,0)*0.475*44/12</f>
        <v>3.8961081018772813E-12</v>
      </c>
      <c r="DI171" s="22">
        <f t="shared" si="175"/>
        <v>14.903296564744204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>
        <f>DO171*VLOOKUP('Données projet'!$B$14,Paramètres!$A$1:$I$89,3,0)*VLOOKUP('Données projet'!$B$14,Paramètres!$A$1:$I$89,5,0)</f>
        <v>0</v>
      </c>
      <c r="DQ171" s="13" t="e">
        <f t="shared" si="176"/>
        <v>#NUM!</v>
      </c>
      <c r="DR171" s="20" t="e">
        <f t="shared" si="177"/>
        <v>#NUM!</v>
      </c>
      <c r="DS171" s="59" t="e">
        <f t="shared" si="125"/>
        <v>#NUM!</v>
      </c>
      <c r="DT171" s="59">
        <f ca="1">AVERAGE(OFFSET($DS$3,0,0,'Données projet'!$E$14+1,1))-AVERAGE(OFFSET($H$3,0,0,'Données projet'!$E$14+1,1))</f>
        <v>371.07993287480366</v>
      </c>
      <c r="DU171" s="59">
        <f t="shared" si="152"/>
        <v>358.67120540290637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>
        <f>EXP(-LN(2)/35)*EA170+(1-EXP(-LN(2)/35))/(LN(2)/35)*DW171*DX171*VLOOKUP('Données projet'!$B$14,Paramètres!$A$1:$I$89,3,0)*0.475*44/12</f>
        <v>7.2372023824340364</v>
      </c>
      <c r="EB171" s="21">
        <f>EXP(-LN(2)/25)*EB170+(1-EXP(-LN(2)/25))/(LN(2)/25)*Calculateur!DW171*Calculateur!DY171*VLOOKUP('Données projet'!$B$14,Paramètres!$A$1:$I$89,3,0)*0.475*44/12</f>
        <v>3.5586492395981772</v>
      </c>
      <c r="EC171" s="21">
        <f>EXP(-LN(2)/2)*EC170+(1-EXP(-LN(2)/2))/(LN(2)/2)*DW171*DZ171*VLOOKUP('Données projet'!$B$14,Paramètres!$A$1:$I$89,3,0)*0.475*44/12</f>
        <v>3.4786679481047218E-12</v>
      </c>
      <c r="ED171" s="22">
        <f t="shared" si="178"/>
        <v>10.795851622035691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45">
      <c r="A172" s="10">
        <f t="shared" si="161"/>
        <v>169</v>
      </c>
      <c r="B172" s="73">
        <f>'Scénario référence'!$B$16*5+'Scénario référence'!$B$17*0+'Scénario référence'!$B$18*5</f>
        <v>5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1">
        <f t="shared" si="140"/>
        <v>0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18.333333333333332</v>
      </c>
      <c r="H172" s="67">
        <f t="shared" si="110"/>
        <v>183.33333333333334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9.6220000000000034</v>
      </c>
      <c r="N172" s="13">
        <f>IF('Données projet'!$A$36&gt;35,N171+M172-V171,IF(A172&lt;'Données projet'!$A$36,$K$205^A172,IF(A172='Données projet'!$A$36,'Données projet'!$B$36,N171+M172-V171)))</f>
        <v>562.41000000000111</v>
      </c>
      <c r="O172" s="13">
        <f>N172*VLOOKUP('Données projet'!$B$9,Paramètres!$A$1:$I$89,3,0)*VLOOKUP('Données projet'!$B$9,Paramètres!$A$1:$I$89,5,0)</f>
        <v>508.86856800000095</v>
      </c>
      <c r="P172" s="13">
        <f t="shared" si="141"/>
        <v>113.52951852374844</v>
      </c>
      <c r="Q172" s="20">
        <f t="shared" si="162"/>
        <v>1084.0100006955302</v>
      </c>
      <c r="R172" s="59">
        <f t="shared" si="109"/>
        <v>1372.5813765965065</v>
      </c>
      <c r="S172" s="59">
        <f ca="1">AVERAGE(OFFSET($R$3,0,0,'Données projet'!$E$9+1,1))-AVERAGE(OFFSET($H$3,0,0,'Données projet'!$E$9+1,1))</f>
        <v>681.47578137804555</v>
      </c>
      <c r="T172" s="59">
        <f t="shared" si="142"/>
        <v>300.88511065995885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53.087215625352393</v>
      </c>
      <c r="AA172" s="21">
        <f>EXP(-LN(2)/25)*AA171+(1-EXP(-LN(2)/25))/(LN(2)/25)*Calculateur!V172*Calculateur!X172*VLOOKUP('Données projet'!$B$9,Paramètres!$A$1:$I$89,3,0)*0.475*44/12</f>
        <v>20.029691137256261</v>
      </c>
      <c r="AB172" s="21">
        <f>EXP(-LN(2)/2)*AB171+(1-EXP(-LN(2)/2))/(LN(2)/2)*V172*Y172*VLOOKUP('Données projet'!$B$9,Paramètres!$A$1:$I$89,3,0)*0.475*44/12</f>
        <v>8.6080391914101712E-7</v>
      </c>
      <c r="AC172" s="22">
        <f t="shared" si="163"/>
        <v>73.116907623412573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3.4106051316484809E-13</v>
      </c>
      <c r="AJ172" s="13">
        <f>AI172*VLOOKUP('Données projet'!$B$10,Paramètres!$A$1:$I$89,3,0)*VLOOKUP('Données projet'!$B$10,Paramètres!$A$1:$I$89,5,0)</f>
        <v>1.5961632016114892E-13</v>
      </c>
      <c r="AK172" s="13">
        <f t="shared" si="164"/>
        <v>2.2708641912150958E-12</v>
      </c>
      <c r="AL172" s="20">
        <f t="shared" si="165"/>
        <v>4.2330868906469593E-12</v>
      </c>
      <c r="AM172" s="59">
        <f t="shared" si="113"/>
        <v>288.57137590098063</v>
      </c>
      <c r="AN172" s="59">
        <f ca="1">AVERAGE(OFFSET($AM$3,0,0,'Données projet'!$E$10+1,1))-AVERAGE(OFFSET($H$3,0,0,'Données projet'!$E$10+1,1))</f>
        <v>325.45940224919184</v>
      </c>
      <c r="AO172" s="59">
        <f t="shared" si="144"/>
        <v>256.30046621034876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39.989942011103004</v>
      </c>
      <c r="AV172" s="21">
        <f>EXP(-LN(2)/25)*AV171+(1-EXP(-LN(2)/25))/(LN(2)/25)*Calculateur!AQ172*Calculateur!AS172*VLOOKUP('Données projet'!$B$10,Paramètres!$A$1:$I$89,3,0)*0.475*44/12</f>
        <v>7.9354240096840529</v>
      </c>
      <c r="AW172" s="21">
        <f>EXP(-LN(2)/2)*AW171+(1-EXP(-LN(2)/2))/(LN(2)/2)*AQ172*AT172*VLOOKUP('Données projet'!$B$10,Paramètres!$A$1:$I$89,3,0)*0.475*44/12</f>
        <v>2.9325391183451499E-8</v>
      </c>
      <c r="AX172" s="21">
        <f t="shared" si="166"/>
        <v>47.925366050112451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7.688333333333337</v>
      </c>
      <c r="BD172" s="12">
        <f>IF('Données projet'!$A$88&gt;35,BD171+BC172-BL171,IF(A172&lt;'Données projet'!$A$88,$BA$205^A172,IF(A172='Données projet'!$A$88,'Données projet'!$B$88,BD171+BC172-BL171)))</f>
        <v>371.96833333333302</v>
      </c>
      <c r="BE172" s="13">
        <f>BD172*VLOOKUP('Données projet'!$B$11,Paramètres!$A$1:$I$89,3,0)*VLOOKUP('Données projet'!$B$11,Paramètres!$A$1:$I$89,5,0)</f>
        <v>377.1758899999997</v>
      </c>
      <c r="BF172" s="13">
        <f t="shared" si="167"/>
        <v>87.133724046486122</v>
      </c>
      <c r="BG172" s="20">
        <f t="shared" si="168"/>
        <v>808.6725777976294</v>
      </c>
      <c r="BH172" s="59">
        <f t="shared" si="116"/>
        <v>1097.2439536986058</v>
      </c>
      <c r="BI172" s="59">
        <f ca="1">AVERAGE(OFFSET($BH$3,0,0,'Données projet'!$E$11+1,1))-AVERAGE(OFFSET($H$3,0,0,'Données projet'!$E$11+1,1))</f>
        <v>580.02848304986492</v>
      </c>
      <c r="BJ172" s="59">
        <f t="shared" si="146"/>
        <v>281.68891895586728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49.385022448263783</v>
      </c>
      <c r="BQ172" s="21">
        <f>EXP(-LN(2)/25)*BQ171+(1-EXP(-LN(2)/25))/(LN(2)/25)*Calculateur!BL172*Calculateur!BN172*VLOOKUP('Données projet'!$B$11,Paramètres!$A$1:$I$89,3,0)*0.475*44/12</f>
        <v>22.608691213100958</v>
      </c>
      <c r="BR172" s="21">
        <f>EXP(-LN(2)/2)*BR171+(1-EXP(-LN(2)/2))/(LN(2)/2)*BL172*BO172*VLOOKUP('Données projet'!$B$11,Paramètres!$A$1:$I$89,3,0)*0.475*44/12</f>
        <v>1.0196321076961789E-3</v>
      </c>
      <c r="BS172" s="22">
        <f t="shared" si="169"/>
        <v>71.994733293472436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>
        <f>BY172*VLOOKUP('Données projet'!$B$12,Paramètres!$A$1:$I$89,3,0)*VLOOKUP('Données projet'!$B$12,Paramètres!$A$1:$I$89,5,0)</f>
        <v>0</v>
      </c>
      <c r="CA172" s="13" t="e">
        <f t="shared" si="170"/>
        <v>#NUM!</v>
      </c>
      <c r="CB172" s="20" t="e">
        <f t="shared" si="171"/>
        <v>#NUM!</v>
      </c>
      <c r="CC172" s="59" t="e">
        <f t="shared" si="119"/>
        <v>#NUM!</v>
      </c>
      <c r="CD172" s="59">
        <f ca="1">AVERAGE(OFFSET($CC$3,0,0,'Données projet'!$E$12+1,1))-AVERAGE(OFFSET($H$3,0,0,'Données projet'!$E$12+1,1))</f>
        <v>439.15394290667945</v>
      </c>
      <c r="CE172" s="59">
        <f t="shared" si="148"/>
        <v>423.56554025351068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8.65624801472595</v>
      </c>
      <c r="CL172" s="21">
        <f>EXP(-LN(2)/25)*CL171+(1-EXP(-LN(2)/25))/(LN(2)/25)*Calculateur!CG172*Calculateur!CI172*VLOOKUP('Données projet'!$B$12,Paramètres!$A$1:$I$89,3,0)*0.475*44/12</f>
        <v>4.2228321025801661</v>
      </c>
      <c r="CM172" s="21">
        <f>EXP(-LN(2)/2)*CM171+(1-EXP(-LN(2)/2))/(LN(2)/2)*CG172*CJ172*VLOOKUP('Données projet'!$B$12,Paramètres!$A$1:$I$89,3,0)*0.475*44/12</f>
        <v>3.0009434286333867E-12</v>
      </c>
      <c r="CN172" s="22">
        <f t="shared" si="172"/>
        <v>12.879080117309117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>
        <f>CT172*VLOOKUP('Données projet'!$B$13,Paramètres!$A$1:$I$89,3,0)*VLOOKUP('Données projet'!$B$13,Paramètres!$A$1:$I$89,5,0)</f>
        <v>0</v>
      </c>
      <c r="CV172" s="13" t="e">
        <f t="shared" si="173"/>
        <v>#NUM!</v>
      </c>
      <c r="CW172" s="20" t="e">
        <f t="shared" si="174"/>
        <v>#NUM!</v>
      </c>
      <c r="CX172" s="59" t="e">
        <f t="shared" si="122"/>
        <v>#NUM!</v>
      </c>
      <c r="CY172" s="59">
        <f ca="1">AVERAGE(OFFSET($CX$3,0,0,'Données projet'!$E$13+1,1))-AVERAGE(OFFSET($H$3,0,0,'Données projet'!$E$13+1,1))</f>
        <v>408.246209980743</v>
      </c>
      <c r="CZ172" s="59">
        <f t="shared" si="150"/>
        <v>394.10236303013903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>
        <f>EXP(-LN(2)/35)*DF171+(1-EXP(-LN(2)/35))/(LN(2)/35)*DB172*DC172*VLOOKUP('Données projet'!$B$13,Paramètres!$A$1:$I$89,3,0)*0.475*44/12</f>
        <v>9.7947937886796268</v>
      </c>
      <c r="DG172" s="21">
        <f>EXP(-LN(2)/25)*DG171+(1-EXP(-LN(2)/25))/(LN(2)/25)*Calculateur!DB172*Calculateur!DD172*VLOOKUP('Données projet'!$B$13,Paramètres!$A$1:$I$89,3,0)*0.475*44/12</f>
        <v>4.778256073373214</v>
      </c>
      <c r="DH172" s="21">
        <f>EXP(-LN(2)/2)*DH171+(1-EXP(-LN(2)/2))/(LN(2)/2)*DB172*DE172*VLOOKUP('Données projet'!$B$13,Paramètres!$A$1:$I$89,3,0)*0.475*44/12</f>
        <v>2.7549644590732738E-12</v>
      </c>
      <c r="DI172" s="22">
        <f t="shared" si="175"/>
        <v>14.573049862055596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>
        <f>DO172*VLOOKUP('Données projet'!$B$14,Paramètres!$A$1:$I$89,3,0)*VLOOKUP('Données projet'!$B$14,Paramètres!$A$1:$I$89,5,0)</f>
        <v>0</v>
      </c>
      <c r="DQ172" s="13" t="e">
        <f t="shared" si="176"/>
        <v>#NUM!</v>
      </c>
      <c r="DR172" s="20" t="e">
        <f t="shared" si="177"/>
        <v>#NUM!</v>
      </c>
      <c r="DS172" s="59" t="e">
        <f t="shared" si="125"/>
        <v>#NUM!</v>
      </c>
      <c r="DT172" s="59">
        <f ca="1">AVERAGE(OFFSET($DS$3,0,0,'Données projet'!$E$14+1,1))-AVERAGE(OFFSET($H$3,0,0,'Données projet'!$E$14+1,1))</f>
        <v>371.07993287480366</v>
      </c>
      <c r="DU172" s="59">
        <f t="shared" si="152"/>
        <v>358.67120540290637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>
        <f>EXP(-LN(2)/35)*EA171+(1-EXP(-LN(2)/35))/(LN(2)/35)*DW172*DX172*VLOOKUP('Données projet'!$B$14,Paramètres!$A$1:$I$89,3,0)*0.475*44/12</f>
        <v>7.0952852579720869</v>
      </c>
      <c r="EB172" s="21">
        <f>EXP(-LN(2)/25)*EB171+(1-EXP(-LN(2)/25))/(LN(2)/25)*Calculateur!DW172*Calculateur!DY172*VLOOKUP('Données projet'!$B$14,Paramètres!$A$1:$I$89,3,0)*0.475*44/12</f>
        <v>3.4613377890001349</v>
      </c>
      <c r="EC172" s="21">
        <f>EXP(-LN(2)/2)*EC171+(1-EXP(-LN(2)/2))/(LN(2)/2)*DW172*DZ172*VLOOKUP('Données projet'!$B$14,Paramètres!$A$1:$I$89,3,0)*0.475*44/12</f>
        <v>2.4597896956011417E-12</v>
      </c>
      <c r="ED172" s="22">
        <f t="shared" si="178"/>
        <v>10.556623046974682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45">
      <c r="A173" s="10">
        <f t="shared" si="161"/>
        <v>170</v>
      </c>
      <c r="B173" s="73">
        <f>'Scénario référence'!$B$16*5+'Scénario référence'!$B$17*0+'Scénario référence'!$B$18*5</f>
        <v>5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1">
        <f t="shared" si="140"/>
        <v>0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18.333333333333332</v>
      </c>
      <c r="H173" s="67">
        <f t="shared" si="110"/>
        <v>183.33333333333334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9.6220000000000034</v>
      </c>
      <c r="N173" s="13">
        <f>IF('Données projet'!$A$36&gt;35,N172+M173-V172,IF(A173&lt;'Données projet'!$A$36,$K$205^A173,IF(A173='Données projet'!$A$36,'Données projet'!$B$36,N172+M173-V172)))</f>
        <v>572.03200000000106</v>
      </c>
      <c r="O173" s="13">
        <f>N173*VLOOKUP('Données projet'!$B$9,Paramètres!$A$1:$I$89,3,0)*VLOOKUP('Données projet'!$B$9,Paramètres!$A$1:$I$89,5,0)</f>
        <v>517.57455360000097</v>
      </c>
      <c r="P173" s="13">
        <f t="shared" si="141"/>
        <v>115.24405568945055</v>
      </c>
      <c r="Q173" s="20">
        <f t="shared" si="162"/>
        <v>1102.1590778457946</v>
      </c>
      <c r="R173" s="59">
        <f t="shared" si="109"/>
        <v>1390.8130630620806</v>
      </c>
      <c r="S173" s="59">
        <f ca="1">AVERAGE(OFFSET($R$3,0,0,'Données projet'!$E$9+1,1))-AVERAGE(OFFSET($H$3,0,0,'Données projet'!$E$9+1,1))</f>
        <v>681.47578137804555</v>
      </c>
      <c r="T173" s="59">
        <f t="shared" si="142"/>
        <v>300.88511065995885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52.046207706943505</v>
      </c>
      <c r="AA173" s="21">
        <f>EXP(-LN(2)/25)*AA172+(1-EXP(-LN(2)/25))/(LN(2)/25)*Calculateur!V173*Calculateur!X173*VLOOKUP('Données projet'!$B$9,Paramètres!$A$1:$I$89,3,0)*0.475*44/12</f>
        <v>19.481978179792311</v>
      </c>
      <c r="AB173" s="21">
        <f>EXP(-LN(2)/2)*AB172+(1-EXP(-LN(2)/2))/(LN(2)/2)*V173*Y173*VLOOKUP('Données projet'!$B$9,Paramètres!$A$1:$I$89,3,0)*0.475*44/12</f>
        <v>6.0868028849656974E-7</v>
      </c>
      <c r="AC173" s="22">
        <f t="shared" si="163"/>
        <v>71.528186495416108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3.4106051316484809E-13</v>
      </c>
      <c r="AJ173" s="13">
        <f>AI173*VLOOKUP('Données projet'!$B$10,Paramètres!$A$1:$I$89,3,0)*VLOOKUP('Données projet'!$B$10,Paramètres!$A$1:$I$89,5,0)</f>
        <v>1.5961632016114892E-13</v>
      </c>
      <c r="AK173" s="13">
        <f t="shared" si="164"/>
        <v>2.2708641912150958E-12</v>
      </c>
      <c r="AL173" s="20">
        <f t="shared" si="165"/>
        <v>4.2330868906469593E-12</v>
      </c>
      <c r="AM173" s="59">
        <f t="shared" si="113"/>
        <v>288.6539852162901</v>
      </c>
      <c r="AN173" s="59">
        <f ca="1">AVERAGE(OFFSET($AM$3,0,0,'Données projet'!$E$10+1,1))-AVERAGE(OFFSET($H$3,0,0,'Données projet'!$E$10+1,1))</f>
        <v>325.45940224919184</v>
      </c>
      <c r="AO173" s="59">
        <f t="shared" si="144"/>
        <v>256.30046621034876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39.205763639721447</v>
      </c>
      <c r="AV173" s="21">
        <f>EXP(-LN(2)/25)*AV172+(1-EXP(-LN(2)/25))/(LN(2)/25)*Calculateur!AQ173*Calculateur!AS173*VLOOKUP('Données projet'!$B$10,Paramètres!$A$1:$I$89,3,0)*0.475*44/12</f>
        <v>7.7184294228334309</v>
      </c>
      <c r="AW173" s="21">
        <f>EXP(-LN(2)/2)*AW172+(1-EXP(-LN(2)/2))/(LN(2)/2)*AQ173*AT173*VLOOKUP('Données projet'!$B$10,Paramètres!$A$1:$I$89,3,0)*0.475*44/12</f>
        <v>2.0736182966766752E-8</v>
      </c>
      <c r="AX173" s="21">
        <f t="shared" si="166"/>
        <v>46.924193083291058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7.688333333333337</v>
      </c>
      <c r="BD173" s="12">
        <f>IF('Données projet'!$A$88&gt;35,BD172+BC173-BL172,IF(A173&lt;'Données projet'!$A$88,$BA$205^A173,IF(A173='Données projet'!$A$88,'Données projet'!$B$88,BD172+BC173-BL172)))</f>
        <v>379.65666666666635</v>
      </c>
      <c r="BE173" s="13">
        <f>BD173*VLOOKUP('Données projet'!$B$11,Paramètres!$A$1:$I$89,3,0)*VLOOKUP('Données projet'!$B$11,Paramètres!$A$1:$I$89,5,0)</f>
        <v>384.97185999999971</v>
      </c>
      <c r="BF173" s="13">
        <f t="shared" si="167"/>
        <v>88.723183476832745</v>
      </c>
      <c r="BG173" s="20">
        <f t="shared" si="168"/>
        <v>825.01886738881649</v>
      </c>
      <c r="BH173" s="59">
        <f t="shared" si="116"/>
        <v>1113.6728526051024</v>
      </c>
      <c r="BI173" s="59">
        <f ca="1">AVERAGE(OFFSET($BH$3,0,0,'Données projet'!$E$11+1,1))-AVERAGE(OFFSET($H$3,0,0,'Données projet'!$E$11+1,1))</f>
        <v>580.02848304986492</v>
      </c>
      <c r="BJ173" s="59">
        <f t="shared" si="146"/>
        <v>281.68891895586728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48.416612279942733</v>
      </c>
      <c r="BQ173" s="21">
        <f>EXP(-LN(2)/25)*BQ172+(1-EXP(-LN(2)/25))/(LN(2)/25)*Calculateur!BL173*Calculateur!BN173*VLOOKUP('Données projet'!$B$11,Paramètres!$A$1:$I$89,3,0)*0.475*44/12</f>
        <v>21.990455362939315</v>
      </c>
      <c r="BR173" s="21">
        <f>EXP(-LN(2)/2)*BR172+(1-EXP(-LN(2)/2))/(LN(2)/2)*BL173*BO173*VLOOKUP('Données projet'!$B$11,Paramètres!$A$1:$I$89,3,0)*0.475*44/12</f>
        <v>7.2098877766750026E-4</v>
      </c>
      <c r="BS173" s="22">
        <f t="shared" si="169"/>
        <v>70.407788631659727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>
        <f>BY173*VLOOKUP('Données projet'!$B$12,Paramètres!$A$1:$I$89,3,0)*VLOOKUP('Données projet'!$B$12,Paramètres!$A$1:$I$89,5,0)</f>
        <v>0</v>
      </c>
      <c r="CA173" s="13" t="e">
        <f t="shared" si="170"/>
        <v>#NUM!</v>
      </c>
      <c r="CB173" s="20" t="e">
        <f t="shared" si="171"/>
        <v>#NUM!</v>
      </c>
      <c r="CC173" s="59" t="e">
        <f t="shared" si="119"/>
        <v>#NUM!</v>
      </c>
      <c r="CD173" s="59">
        <f ca="1">AVERAGE(OFFSET($CC$3,0,0,'Données projet'!$E$12+1,1))-AVERAGE(OFFSET($H$3,0,0,'Données projet'!$E$12+1,1))</f>
        <v>439.15394290667945</v>
      </c>
      <c r="CE173" s="59">
        <f t="shared" si="148"/>
        <v>423.56554025351068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8.4865042709471279</v>
      </c>
      <c r="CL173" s="21">
        <f>EXP(-LN(2)/25)*CL172+(1-EXP(-LN(2)/25))/(LN(2)/25)*Calculateur!CG173*Calculateur!CI173*VLOOKUP('Données projet'!$B$12,Paramètres!$A$1:$I$89,3,0)*0.475*44/12</f>
        <v>4.1073585366660224</v>
      </c>
      <c r="CM173" s="21">
        <f>EXP(-LN(2)/2)*CM172+(1-EXP(-LN(2)/2))/(LN(2)/2)*CG173*CJ173*VLOOKUP('Données projet'!$B$12,Paramètres!$A$1:$I$89,3,0)*0.475*44/12</f>
        <v>2.1219874483438758E-12</v>
      </c>
      <c r="CN173" s="22">
        <f t="shared" si="172"/>
        <v>12.593862807615272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>
        <f>CT173*VLOOKUP('Données projet'!$B$13,Paramètres!$A$1:$I$89,3,0)*VLOOKUP('Données projet'!$B$13,Paramètres!$A$1:$I$89,5,0)</f>
        <v>0</v>
      </c>
      <c r="CV173" s="13" t="e">
        <f t="shared" si="173"/>
        <v>#NUM!</v>
      </c>
      <c r="CW173" s="20" t="e">
        <f t="shared" si="174"/>
        <v>#NUM!</v>
      </c>
      <c r="CX173" s="59" t="e">
        <f t="shared" si="122"/>
        <v>#NUM!</v>
      </c>
      <c r="CY173" s="59">
        <f ca="1">AVERAGE(OFFSET($CX$3,0,0,'Données projet'!$E$13+1,1))-AVERAGE(OFFSET($H$3,0,0,'Données projet'!$E$13+1,1))</f>
        <v>408.246209980743</v>
      </c>
      <c r="CZ173" s="59">
        <f t="shared" si="150"/>
        <v>394.10236303013903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>
        <f>EXP(-LN(2)/35)*DF172+(1-EXP(-LN(2)/35))/(LN(2)/35)*DB173*DC173*VLOOKUP('Données projet'!$B$13,Paramètres!$A$1:$I$89,3,0)*0.475*44/12</f>
        <v>9.6027238567179243</v>
      </c>
      <c r="DG173" s="21">
        <f>EXP(-LN(2)/25)*DG172+(1-EXP(-LN(2)/25))/(LN(2)/25)*Calculateur!DB173*Calculateur!DD173*VLOOKUP('Données projet'!$B$13,Paramètres!$A$1:$I$89,3,0)*0.475*44/12</f>
        <v>4.6475944097692574</v>
      </c>
      <c r="DH173" s="21">
        <f>EXP(-LN(2)/2)*DH172+(1-EXP(-LN(2)/2))/(LN(2)/2)*DB173*DE173*VLOOKUP('Données projet'!$B$13,Paramètres!$A$1:$I$89,3,0)*0.475*44/12</f>
        <v>1.9480540509386407E-12</v>
      </c>
      <c r="DI173" s="22">
        <f t="shared" si="175"/>
        <v>14.250318266489129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>
        <f>DO173*VLOOKUP('Données projet'!$B$14,Paramètres!$A$1:$I$89,3,0)*VLOOKUP('Données projet'!$B$14,Paramètres!$A$1:$I$89,5,0)</f>
        <v>0</v>
      </c>
      <c r="DQ173" s="13" t="e">
        <f t="shared" si="176"/>
        <v>#NUM!</v>
      </c>
      <c r="DR173" s="20" t="e">
        <f t="shared" si="177"/>
        <v>#NUM!</v>
      </c>
      <c r="DS173" s="59" t="e">
        <f t="shared" si="125"/>
        <v>#NUM!</v>
      </c>
      <c r="DT173" s="59">
        <f ca="1">AVERAGE(OFFSET($DS$3,0,0,'Données projet'!$E$14+1,1))-AVERAGE(OFFSET($H$3,0,0,'Données projet'!$E$14+1,1))</f>
        <v>371.07993287480366</v>
      </c>
      <c r="DU173" s="59">
        <f t="shared" si="152"/>
        <v>358.67120540290637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>
        <f>EXP(-LN(2)/35)*EA172+(1-EXP(-LN(2)/35))/(LN(2)/35)*DW173*DX173*VLOOKUP('Données projet'!$B$14,Paramètres!$A$1:$I$89,3,0)*0.475*44/12</f>
        <v>6.956151041759937</v>
      </c>
      <c r="EB173" s="21">
        <f>EXP(-LN(2)/25)*EB172+(1-EXP(-LN(2)/25))/(LN(2)/25)*Calculateur!DW173*Calculateur!DY173*VLOOKUP('Données projet'!$B$14,Paramètres!$A$1:$I$89,3,0)*0.475*44/12</f>
        <v>3.3666873251360827</v>
      </c>
      <c r="EC173" s="21">
        <f>EXP(-LN(2)/2)*EC172+(1-EXP(-LN(2)/2))/(LN(2)/2)*DW173*DZ173*VLOOKUP('Données projet'!$B$14,Paramètres!$A$1:$I$89,3,0)*0.475*44/12</f>
        <v>1.7393339740523609E-12</v>
      </c>
      <c r="ED173" s="22">
        <f t="shared" si="178"/>
        <v>10.322838366897759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45">
      <c r="A174" s="10">
        <f t="shared" si="161"/>
        <v>171</v>
      </c>
      <c r="B174" s="73">
        <f>'Scénario référence'!$B$16*5+'Scénario référence'!$B$17*0+'Scénario référence'!$B$18*5</f>
        <v>5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1">
        <f t="shared" si="140"/>
        <v>0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18.333333333333332</v>
      </c>
      <c r="H174" s="67">
        <f t="shared" si="110"/>
        <v>183.33333333333334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9.6220000000000034</v>
      </c>
      <c r="N174" s="13">
        <f>IF('Données projet'!$A$36&gt;35,N173+M174-V173,IF(A174&lt;'Données projet'!$A$36,$K$205^A174,IF(A174='Données projet'!$A$36,'Données projet'!$B$36,N173+M174-V173)))</f>
        <v>581.65400000000102</v>
      </c>
      <c r="O174" s="13">
        <f>N174*VLOOKUP('Données projet'!$B$9,Paramètres!$A$1:$I$89,3,0)*VLOOKUP('Données projet'!$B$9,Paramètres!$A$1:$I$89,5,0)</f>
        <v>526.28053920000093</v>
      </c>
      <c r="P174" s="13">
        <f t="shared" si="141"/>
        <v>116.95523902184036</v>
      </c>
      <c r="Q174" s="20">
        <f t="shared" si="162"/>
        <v>1120.3023137363737</v>
      </c>
      <c r="R174" s="59">
        <f t="shared" si="109"/>
        <v>1409.0374751810352</v>
      </c>
      <c r="S174" s="59">
        <f ca="1">AVERAGE(OFFSET($R$3,0,0,'Données projet'!$E$9+1,1))-AVERAGE(OFFSET($H$3,0,0,'Données projet'!$E$9+1,1))</f>
        <v>681.47578137804555</v>
      </c>
      <c r="T174" s="59">
        <f t="shared" si="142"/>
        <v>300.88511065995885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51.025613318862483</v>
      </c>
      <c r="AA174" s="21">
        <f>EXP(-LN(2)/25)*AA173+(1-EXP(-LN(2)/25))/(LN(2)/25)*Calculateur!V174*Calculateur!X174*VLOOKUP('Données projet'!$B$9,Paramètres!$A$1:$I$89,3,0)*0.475*44/12</f>
        <v>18.949242461953183</v>
      </c>
      <c r="AB174" s="21">
        <f>EXP(-LN(2)/2)*AB173+(1-EXP(-LN(2)/2))/(LN(2)/2)*V174*Y174*VLOOKUP('Données projet'!$B$9,Paramètres!$A$1:$I$89,3,0)*0.475*44/12</f>
        <v>4.3040195957050856E-7</v>
      </c>
      <c r="AC174" s="22">
        <f t="shared" si="163"/>
        <v>69.974856211217613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3.4106051316484809E-13</v>
      </c>
      <c r="AJ174" s="13">
        <f>AI174*VLOOKUP('Données projet'!$B$10,Paramètres!$A$1:$I$89,3,0)*VLOOKUP('Données projet'!$B$10,Paramètres!$A$1:$I$89,5,0)</f>
        <v>1.5961632016114892E-13</v>
      </c>
      <c r="AK174" s="13">
        <f t="shared" si="164"/>
        <v>2.2708641912150958E-12</v>
      </c>
      <c r="AL174" s="20">
        <f t="shared" si="165"/>
        <v>4.2330868906469593E-12</v>
      </c>
      <c r="AM174" s="59">
        <f t="shared" si="113"/>
        <v>288.73516144466572</v>
      </c>
      <c r="AN174" s="59">
        <f ca="1">AVERAGE(OFFSET($AM$3,0,0,'Données projet'!$E$10+1,1))-AVERAGE(OFFSET($H$3,0,0,'Données projet'!$E$10+1,1))</f>
        <v>325.45940224919184</v>
      </c>
      <c r="AO174" s="59">
        <f t="shared" si="144"/>
        <v>256.30046621034876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38.436962527901102</v>
      </c>
      <c r="AV174" s="21">
        <f>EXP(-LN(2)/25)*AV173+(1-EXP(-LN(2)/25))/(LN(2)/25)*Calculateur!AQ174*Calculateur!AS174*VLOOKUP('Données projet'!$B$10,Paramètres!$A$1:$I$89,3,0)*0.475*44/12</f>
        <v>7.5073685643714878</v>
      </c>
      <c r="AW174" s="21">
        <f>EXP(-LN(2)/2)*AW173+(1-EXP(-LN(2)/2))/(LN(2)/2)*AQ174*AT174*VLOOKUP('Données projet'!$B$10,Paramètres!$A$1:$I$89,3,0)*0.475*44/12</f>
        <v>1.4662695591725753E-8</v>
      </c>
      <c r="AX174" s="21">
        <f t="shared" si="166"/>
        <v>45.944331106935287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7.688333333333337</v>
      </c>
      <c r="BD174" s="12">
        <f>IF('Données projet'!$A$88&gt;35,BD173+BC174-BL173,IF(A174&lt;'Données projet'!$A$88,$BA$205^A174,IF(A174='Données projet'!$A$88,'Données projet'!$B$88,BD173+BC174-BL173)))</f>
        <v>387.34499999999969</v>
      </c>
      <c r="BE174" s="13">
        <f>BD174*VLOOKUP('Données projet'!$B$11,Paramètres!$A$1:$I$89,3,0)*VLOOKUP('Données projet'!$B$11,Paramètres!$A$1:$I$89,5,0)</f>
        <v>392.76782999999972</v>
      </c>
      <c r="BF174" s="13">
        <f t="shared" si="167"/>
        <v>90.308900394988783</v>
      </c>
      <c r="BG174" s="20">
        <f t="shared" si="168"/>
        <v>841.35863877127156</v>
      </c>
      <c r="BH174" s="59">
        <f t="shared" si="116"/>
        <v>1130.093800215933</v>
      </c>
      <c r="BI174" s="59">
        <f ca="1">AVERAGE(OFFSET($BH$3,0,0,'Données projet'!$E$11+1,1))-AVERAGE(OFFSET($H$3,0,0,'Données projet'!$E$11+1,1))</f>
        <v>580.02848304986492</v>
      </c>
      <c r="BJ174" s="59">
        <f t="shared" si="146"/>
        <v>281.68891895586728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47.467192044350583</v>
      </c>
      <c r="BQ174" s="21">
        <f>EXP(-LN(2)/25)*BQ173+(1-EXP(-LN(2)/25))/(LN(2)/25)*Calculateur!BL174*Calculateur!BN174*VLOOKUP('Données projet'!$B$11,Paramètres!$A$1:$I$89,3,0)*0.475*44/12</f>
        <v>21.38912520461195</v>
      </c>
      <c r="BR174" s="21">
        <f>EXP(-LN(2)/2)*BR173+(1-EXP(-LN(2)/2))/(LN(2)/2)*BL174*BO174*VLOOKUP('Données projet'!$B$11,Paramètres!$A$1:$I$89,3,0)*0.475*44/12</f>
        <v>5.0981605384808947E-4</v>
      </c>
      <c r="BS174" s="22">
        <f t="shared" si="169"/>
        <v>68.85682706501639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>
        <f>BY174*VLOOKUP('Données projet'!$B$12,Paramètres!$A$1:$I$89,3,0)*VLOOKUP('Données projet'!$B$12,Paramètres!$A$1:$I$89,5,0)</f>
        <v>0</v>
      </c>
      <c r="CA174" s="13" t="e">
        <f t="shared" si="170"/>
        <v>#NUM!</v>
      </c>
      <c r="CB174" s="20" t="e">
        <f t="shared" si="171"/>
        <v>#NUM!</v>
      </c>
      <c r="CC174" s="59" t="e">
        <f t="shared" si="119"/>
        <v>#NUM!</v>
      </c>
      <c r="CD174" s="59">
        <f ca="1">AVERAGE(OFFSET($CC$3,0,0,'Données projet'!$E$12+1,1))-AVERAGE(OFFSET($H$3,0,0,'Données projet'!$E$12+1,1))</f>
        <v>439.15394290667945</v>
      </c>
      <c r="CE174" s="59">
        <f t="shared" si="148"/>
        <v>423.56554025351068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8.3200890984503477</v>
      </c>
      <c r="CL174" s="21">
        <f>EXP(-LN(2)/25)*CL173+(1-EXP(-LN(2)/25))/(LN(2)/25)*Calculateur!CG174*Calculateur!CI174*VLOOKUP('Données projet'!$B$12,Paramètres!$A$1:$I$89,3,0)*0.475*44/12</f>
        <v>3.9950426014842919</v>
      </c>
      <c r="CM174" s="21">
        <f>EXP(-LN(2)/2)*CM173+(1-EXP(-LN(2)/2))/(LN(2)/2)*CG174*CJ174*VLOOKUP('Données projet'!$B$12,Paramètres!$A$1:$I$89,3,0)*0.475*44/12</f>
        <v>1.5004717143166933E-12</v>
      </c>
      <c r="CN174" s="22">
        <f t="shared" si="172"/>
        <v>12.31513169993614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>
        <f>CT174*VLOOKUP('Données projet'!$B$13,Paramètres!$A$1:$I$89,3,0)*VLOOKUP('Données projet'!$B$13,Paramètres!$A$1:$I$89,5,0)</f>
        <v>0</v>
      </c>
      <c r="CV174" s="13" t="e">
        <f t="shared" si="173"/>
        <v>#NUM!</v>
      </c>
      <c r="CW174" s="20" t="e">
        <f t="shared" si="174"/>
        <v>#NUM!</v>
      </c>
      <c r="CX174" s="59" t="e">
        <f t="shared" si="122"/>
        <v>#NUM!</v>
      </c>
      <c r="CY174" s="59">
        <f ca="1">AVERAGE(OFFSET($CX$3,0,0,'Données projet'!$E$13+1,1))-AVERAGE(OFFSET($H$3,0,0,'Données projet'!$E$13+1,1))</f>
        <v>408.246209980743</v>
      </c>
      <c r="CZ174" s="59">
        <f t="shared" si="150"/>
        <v>394.10236303013903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>
        <f>EXP(-LN(2)/35)*DF173+(1-EXP(-LN(2)/35))/(LN(2)/35)*DB174*DC174*VLOOKUP('Données projet'!$B$13,Paramètres!$A$1:$I$89,3,0)*0.475*44/12</f>
        <v>9.4144202989708994</v>
      </c>
      <c r="DG174" s="21">
        <f>EXP(-LN(2)/25)*DG173+(1-EXP(-LN(2)/25))/(LN(2)/25)*Calculateur!DB174*Calculateur!DD174*VLOOKUP('Données projet'!$B$13,Paramètres!$A$1:$I$89,3,0)*0.475*44/12</f>
        <v>4.5205056962277492</v>
      </c>
      <c r="DH174" s="21">
        <f>EXP(-LN(2)/2)*DH173+(1-EXP(-LN(2)/2))/(LN(2)/2)*DB174*DE174*VLOOKUP('Données projet'!$B$13,Paramètres!$A$1:$I$89,3,0)*0.475*44/12</f>
        <v>1.3774822295366369E-12</v>
      </c>
      <c r="DI174" s="22">
        <f t="shared" si="175"/>
        <v>13.934925995200025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>
        <f>DO174*VLOOKUP('Données projet'!$B$14,Paramètres!$A$1:$I$89,3,0)*VLOOKUP('Données projet'!$B$14,Paramètres!$A$1:$I$89,5,0)</f>
        <v>0</v>
      </c>
      <c r="DQ174" s="13" t="e">
        <f t="shared" si="176"/>
        <v>#NUM!</v>
      </c>
      <c r="DR174" s="20" t="e">
        <f t="shared" si="177"/>
        <v>#NUM!</v>
      </c>
      <c r="DS174" s="59" t="e">
        <f t="shared" si="125"/>
        <v>#NUM!</v>
      </c>
      <c r="DT174" s="59">
        <f ca="1">AVERAGE(OFFSET($DS$3,0,0,'Données projet'!$E$14+1,1))-AVERAGE(OFFSET($H$3,0,0,'Données projet'!$E$14+1,1))</f>
        <v>371.07993287480366</v>
      </c>
      <c r="DU174" s="59">
        <f t="shared" si="152"/>
        <v>358.67120540290637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>
        <f>EXP(-LN(2)/35)*EA173+(1-EXP(-LN(2)/35))/(LN(2)/35)*DW174*DX174*VLOOKUP('Données projet'!$B$14,Paramètres!$A$1:$I$89,3,0)*0.475*44/12</f>
        <v>6.8197451626642156</v>
      </c>
      <c r="EB174" s="21">
        <f>EXP(-LN(2)/25)*EB173+(1-EXP(-LN(2)/25))/(LN(2)/25)*Calculateur!DW174*Calculateur!DY174*VLOOKUP('Données projet'!$B$14,Paramètres!$A$1:$I$89,3,0)*0.475*44/12</f>
        <v>3.2746250831838446</v>
      </c>
      <c r="EC174" s="21">
        <f>EXP(-LN(2)/2)*EC173+(1-EXP(-LN(2)/2))/(LN(2)/2)*DW174*DZ174*VLOOKUP('Données projet'!$B$14,Paramètres!$A$1:$I$89,3,0)*0.475*44/12</f>
        <v>1.2298948478005709E-12</v>
      </c>
      <c r="ED174" s="22">
        <f t="shared" si="178"/>
        <v>10.094370245849289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45">
      <c r="A175" s="10">
        <f t="shared" si="161"/>
        <v>172</v>
      </c>
      <c r="B175" s="73">
        <f>'Scénario référence'!$B$16*5+'Scénario référence'!$B$17*0+'Scénario référence'!$B$18*5</f>
        <v>5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1">
        <f t="shared" si="140"/>
        <v>0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18.333333333333332</v>
      </c>
      <c r="H175" s="67">
        <f t="shared" si="110"/>
        <v>183.33333333333334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9.6220000000000034</v>
      </c>
      <c r="N175" s="13">
        <f>IF('Données projet'!$A$36&gt;35,N174+M175-V174,IF(A175&lt;'Données projet'!$A$36,$K$205^A175,IF(A175='Données projet'!$A$36,'Données projet'!$B$36,N174+M175-V174)))</f>
        <v>591.27600000000098</v>
      </c>
      <c r="O175" s="13">
        <f>N175*VLOOKUP('Données projet'!$B$9,Paramètres!$A$1:$I$89,3,0)*VLOOKUP('Données projet'!$B$9,Paramètres!$A$1:$I$89,5,0)</f>
        <v>534.98652480000089</v>
      </c>
      <c r="P175" s="13">
        <f t="shared" si="141"/>
        <v>118.66313040568902</v>
      </c>
      <c r="Q175" s="20">
        <f t="shared" si="162"/>
        <v>1138.4398161499098</v>
      </c>
      <c r="R175" s="59">
        <f t="shared" si="109"/>
        <v>1427.2547455968675</v>
      </c>
      <c r="S175" s="59">
        <f ca="1">AVERAGE(OFFSET($R$3,0,0,'Données projet'!$E$9+1,1))-AVERAGE(OFFSET($H$3,0,0,'Données projet'!$E$9+1,1))</f>
        <v>681.47578137804555</v>
      </c>
      <c r="T175" s="59">
        <f t="shared" si="142"/>
        <v>300.88511065995885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50.025032164230616</v>
      </c>
      <c r="AA175" s="21">
        <f>EXP(-LN(2)/25)*AA174+(1-EXP(-LN(2)/25))/(LN(2)/25)*Calculateur!V175*Calculateur!X175*VLOOKUP('Données projet'!$B$9,Paramètres!$A$1:$I$89,3,0)*0.475*44/12</f>
        <v>18.431074430333723</v>
      </c>
      <c r="AB175" s="21">
        <f>EXP(-LN(2)/2)*AB174+(1-EXP(-LN(2)/2))/(LN(2)/2)*V175*Y175*VLOOKUP('Données projet'!$B$9,Paramètres!$A$1:$I$89,3,0)*0.475*44/12</f>
        <v>3.0434014424828487E-7</v>
      </c>
      <c r="AC175" s="22">
        <f t="shared" si="163"/>
        <v>68.456106898904494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3.4106051316484809E-13</v>
      </c>
      <c r="AJ175" s="13">
        <f>AI175*VLOOKUP('Données projet'!$B$10,Paramètres!$A$1:$I$89,3,0)*VLOOKUP('Données projet'!$B$10,Paramètres!$A$1:$I$89,5,0)</f>
        <v>1.5961632016114892E-13</v>
      </c>
      <c r="AK175" s="13">
        <f t="shared" si="164"/>
        <v>2.2708641912150958E-12</v>
      </c>
      <c r="AL175" s="20">
        <f t="shared" si="165"/>
        <v>4.2330868906469593E-12</v>
      </c>
      <c r="AM175" s="59">
        <f t="shared" si="113"/>
        <v>288.81492944696186</v>
      </c>
      <c r="AN175" s="59">
        <f ca="1">AVERAGE(OFFSET($AM$3,0,0,'Données projet'!$E$10+1,1))-AVERAGE(OFFSET($H$3,0,0,'Données projet'!$E$10+1,1))</f>
        <v>325.45940224919184</v>
      </c>
      <c r="AO175" s="59">
        <f t="shared" si="144"/>
        <v>256.30046621034876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37.683237136961175</v>
      </c>
      <c r="AV175" s="21">
        <f>EXP(-LN(2)/25)*AV174+(1-EXP(-LN(2)/25))/(LN(2)/25)*Calculateur!AQ175*Calculateur!AS175*VLOOKUP('Données projet'!$B$10,Paramètres!$A$1:$I$89,3,0)*0.475*44/12</f>
        <v>7.302079176183395</v>
      </c>
      <c r="AW175" s="21">
        <f>EXP(-LN(2)/2)*AW174+(1-EXP(-LN(2)/2))/(LN(2)/2)*AQ175*AT175*VLOOKUP('Données projet'!$B$10,Paramètres!$A$1:$I$89,3,0)*0.475*44/12</f>
        <v>1.0368091483383377E-8</v>
      </c>
      <c r="AX175" s="21">
        <f t="shared" si="166"/>
        <v>44.985316323512663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7.688333333333337</v>
      </c>
      <c r="BD175" s="12">
        <f>IF('Données projet'!$A$88&gt;35,BD174+BC175-BL174,IF(A175&lt;'Données projet'!$A$88,$BA$205^A175,IF(A175='Données projet'!$A$88,'Données projet'!$B$88,BD174+BC175-BL174)))</f>
        <v>395.03333333333302</v>
      </c>
      <c r="BE175" s="13">
        <f>BD175*VLOOKUP('Données projet'!$B$11,Paramètres!$A$1:$I$89,3,0)*VLOOKUP('Données projet'!$B$11,Paramètres!$A$1:$I$89,5,0)</f>
        <v>400.56379999999973</v>
      </c>
      <c r="BF175" s="13">
        <f t="shared" si="167"/>
        <v>91.890957647280629</v>
      </c>
      <c r="BG175" s="20">
        <f t="shared" si="168"/>
        <v>857.69203623567989</v>
      </c>
      <c r="BH175" s="59">
        <f t="shared" si="116"/>
        <v>1146.5069656826377</v>
      </c>
      <c r="BI175" s="59">
        <f ca="1">AVERAGE(OFFSET($BH$3,0,0,'Données projet'!$E$11+1,1))-AVERAGE(OFFSET($H$3,0,0,'Données projet'!$E$11+1,1))</f>
        <v>580.02848304986492</v>
      </c>
      <c r="BJ175" s="59">
        <f t="shared" si="146"/>
        <v>281.68891895586728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46.536389360489231</v>
      </c>
      <c r="BQ175" s="21">
        <f>EXP(-LN(2)/25)*BQ174+(1-EXP(-LN(2)/25))/(LN(2)/25)*Calculateur!BL175*Calculateur!BN175*VLOOKUP('Données projet'!$B$11,Paramètres!$A$1:$I$89,3,0)*0.475*44/12</f>
        <v>20.804238451086629</v>
      </c>
      <c r="BR175" s="21">
        <f>EXP(-LN(2)/2)*BR174+(1-EXP(-LN(2)/2))/(LN(2)/2)*BL175*BO175*VLOOKUP('Données projet'!$B$11,Paramètres!$A$1:$I$89,3,0)*0.475*44/12</f>
        <v>3.6049438883375013E-4</v>
      </c>
      <c r="BS175" s="22">
        <f t="shared" si="169"/>
        <v>67.340988305964686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>
        <f>BY175*VLOOKUP('Données projet'!$B$12,Paramètres!$A$1:$I$89,3,0)*VLOOKUP('Données projet'!$B$12,Paramètres!$A$1:$I$89,5,0)</f>
        <v>0</v>
      </c>
      <c r="CA175" s="13" t="e">
        <f t="shared" si="170"/>
        <v>#NUM!</v>
      </c>
      <c r="CB175" s="20" t="e">
        <f t="shared" si="171"/>
        <v>#NUM!</v>
      </c>
      <c r="CC175" s="59" t="e">
        <f t="shared" si="119"/>
        <v>#NUM!</v>
      </c>
      <c r="CD175" s="59">
        <f ca="1">AVERAGE(OFFSET($CC$3,0,0,'Données projet'!$E$12+1,1))-AVERAGE(OFFSET($H$3,0,0,'Données projet'!$E$12+1,1))</f>
        <v>439.15394290667945</v>
      </c>
      <c r="CE175" s="59">
        <f t="shared" si="148"/>
        <v>423.56554025351068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8.1569372259829969</v>
      </c>
      <c r="CL175" s="21">
        <f>EXP(-LN(2)/25)*CL174+(1-EXP(-LN(2)/25))/(LN(2)/25)*Calculateur!CG175*Calculateur!CI175*VLOOKUP('Données projet'!$B$12,Paramètres!$A$1:$I$89,3,0)*0.475*44/12</f>
        <v>3.8857979514565444</v>
      </c>
      <c r="CM175" s="21">
        <f>EXP(-LN(2)/2)*CM174+(1-EXP(-LN(2)/2))/(LN(2)/2)*CG175*CJ175*VLOOKUP('Données projet'!$B$12,Paramètres!$A$1:$I$89,3,0)*0.475*44/12</f>
        <v>1.0609937241719379E-12</v>
      </c>
      <c r="CN175" s="22">
        <f t="shared" si="172"/>
        <v>12.042735177440601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>
        <f>CT175*VLOOKUP('Données projet'!$B$13,Paramètres!$A$1:$I$89,3,0)*VLOOKUP('Données projet'!$B$13,Paramètres!$A$1:$I$89,5,0)</f>
        <v>0</v>
      </c>
      <c r="CV175" s="13" t="e">
        <f t="shared" si="173"/>
        <v>#NUM!</v>
      </c>
      <c r="CW175" s="20" t="e">
        <f t="shared" si="174"/>
        <v>#NUM!</v>
      </c>
      <c r="CX175" s="59" t="e">
        <f t="shared" si="122"/>
        <v>#NUM!</v>
      </c>
      <c r="CY175" s="59">
        <f ca="1">AVERAGE(OFFSET($CX$3,0,0,'Données projet'!$E$13+1,1))-AVERAGE(OFFSET($H$3,0,0,'Données projet'!$E$13+1,1))</f>
        <v>408.246209980743</v>
      </c>
      <c r="CZ175" s="59">
        <f t="shared" si="150"/>
        <v>394.10236303013903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>
        <f>EXP(-LN(2)/35)*DF174+(1-EXP(-LN(2)/35))/(LN(2)/35)*DB175*DC175*VLOOKUP('Données projet'!$B$13,Paramètres!$A$1:$I$89,3,0)*0.475*44/12</f>
        <v>9.2298092591374647</v>
      </c>
      <c r="DG175" s="21">
        <f>EXP(-LN(2)/25)*DG174+(1-EXP(-LN(2)/25))/(LN(2)/25)*Calculateur!DB175*Calculateur!DD175*VLOOKUP('Données projet'!$B$13,Paramètres!$A$1:$I$89,3,0)*0.475*44/12</f>
        <v>4.3968922302413382</v>
      </c>
      <c r="DH175" s="21">
        <f>EXP(-LN(2)/2)*DH174+(1-EXP(-LN(2)/2))/(LN(2)/2)*DB175*DE175*VLOOKUP('Données projet'!$B$13,Paramètres!$A$1:$I$89,3,0)*0.475*44/12</f>
        <v>9.7402702546932033E-13</v>
      </c>
      <c r="DI175" s="22">
        <f t="shared" si="175"/>
        <v>13.626701489379776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>
        <f>DO175*VLOOKUP('Données projet'!$B$14,Paramètres!$A$1:$I$89,3,0)*VLOOKUP('Données projet'!$B$14,Paramètres!$A$1:$I$89,5,0)</f>
        <v>0</v>
      </c>
      <c r="DQ175" s="13" t="e">
        <f t="shared" si="176"/>
        <v>#NUM!</v>
      </c>
      <c r="DR175" s="20" t="e">
        <f t="shared" si="177"/>
        <v>#NUM!</v>
      </c>
      <c r="DS175" s="59" t="e">
        <f t="shared" si="125"/>
        <v>#NUM!</v>
      </c>
      <c r="DT175" s="59">
        <f ca="1">AVERAGE(OFFSET($DS$3,0,0,'Données projet'!$E$14+1,1))-AVERAGE(OFFSET($H$3,0,0,'Données projet'!$E$14+1,1))</f>
        <v>371.07993287480366</v>
      </c>
      <c r="DU175" s="59">
        <f t="shared" si="152"/>
        <v>358.67120540290637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>
        <f>EXP(-LN(2)/35)*EA174+(1-EXP(-LN(2)/35))/(LN(2)/35)*DW175*DX175*VLOOKUP('Données projet'!$B$14,Paramètres!$A$1:$I$89,3,0)*0.475*44/12</f>
        <v>6.6860141196581901</v>
      </c>
      <c r="EB175" s="21">
        <f>EXP(-LN(2)/25)*EB174+(1-EXP(-LN(2)/25))/(LN(2)/25)*Calculateur!DW175*Calculateur!DY175*VLOOKUP('Données projet'!$B$14,Paramètres!$A$1:$I$89,3,0)*0.475*44/12</f>
        <v>3.1850802880791336</v>
      </c>
      <c r="EC175" s="21">
        <f>EXP(-LN(2)/2)*EC174+(1-EXP(-LN(2)/2))/(LN(2)/2)*DW175*DZ175*VLOOKUP('Données projet'!$B$14,Paramètres!$A$1:$I$89,3,0)*0.475*44/12</f>
        <v>8.6966698702618045E-13</v>
      </c>
      <c r="ED175" s="22">
        <f t="shared" si="178"/>
        <v>9.8710944077381946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45">
      <c r="A176" s="10">
        <f t="shared" si="161"/>
        <v>173</v>
      </c>
      <c r="B176" s="73">
        <f>'Scénario référence'!$B$16*5+'Scénario référence'!$B$17*0+'Scénario référence'!$B$18*5</f>
        <v>5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1">
        <f t="shared" si="140"/>
        <v>0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18.333333333333332</v>
      </c>
      <c r="H176" s="67">
        <f t="shared" si="110"/>
        <v>183.33333333333334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9.6220000000000034</v>
      </c>
      <c r="N176" s="13">
        <f>IF('Données projet'!$A$36&gt;35,N175+M176-V175,IF(A176&lt;'Données projet'!$A$36,$K$205^A176,IF(A176='Données projet'!$A$36,'Données projet'!$B$36,N175+M176-V175)))</f>
        <v>600.89800000000093</v>
      </c>
      <c r="O176" s="13">
        <f>N176*VLOOKUP('Données projet'!$B$9,Paramètres!$A$1:$I$89,3,0)*VLOOKUP('Données projet'!$B$9,Paramètres!$A$1:$I$89,5,0)</f>
        <v>543.69251040000086</v>
      </c>
      <c r="P176" s="13">
        <f t="shared" si="141"/>
        <v>120.36778959614513</v>
      </c>
      <c r="Q176" s="20">
        <f t="shared" si="162"/>
        <v>1156.5716891599543</v>
      </c>
      <c r="R176" s="59">
        <f t="shared" si="109"/>
        <v>1445.4650028127028</v>
      </c>
      <c r="S176" s="59">
        <f ca="1">AVERAGE(OFFSET($R$3,0,0,'Données projet'!$E$9+1,1))-AVERAGE(OFFSET($H$3,0,0,'Données projet'!$E$9+1,1))</f>
        <v>681.47578137804555</v>
      </c>
      <c r="T176" s="59">
        <f t="shared" si="142"/>
        <v>300.88511065995885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49.044071795746838</v>
      </c>
      <c r="AA176" s="21">
        <f>EXP(-LN(2)/25)*AA175+(1-EXP(-LN(2)/25))/(LN(2)/25)*Calculateur!V176*Calculateur!X176*VLOOKUP('Données projet'!$B$9,Paramètres!$A$1:$I$89,3,0)*0.475*44/12</f>
        <v>17.927075730788168</v>
      </c>
      <c r="AB176" s="21">
        <f>EXP(-LN(2)/2)*AB175+(1-EXP(-LN(2)/2))/(LN(2)/2)*V176*Y176*VLOOKUP('Données projet'!$B$9,Paramètres!$A$1:$I$89,3,0)*0.475*44/12</f>
        <v>2.1520097978525428E-7</v>
      </c>
      <c r="AC176" s="22">
        <f t="shared" si="163"/>
        <v>66.97114774173599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3.4106051316484809E-13</v>
      </c>
      <c r="AJ176" s="13">
        <f>AI176*VLOOKUP('Données projet'!$B$10,Paramètres!$A$1:$I$89,3,0)*VLOOKUP('Données projet'!$B$10,Paramètres!$A$1:$I$89,5,0)</f>
        <v>1.5961632016114892E-13</v>
      </c>
      <c r="AK176" s="13">
        <f t="shared" si="164"/>
        <v>2.2708641912150958E-12</v>
      </c>
      <c r="AL176" s="20">
        <f t="shared" si="165"/>
        <v>4.2330868906469593E-12</v>
      </c>
      <c r="AM176" s="59">
        <f t="shared" si="113"/>
        <v>288.89331365275268</v>
      </c>
      <c r="AN176" s="59">
        <f ca="1">AVERAGE(OFFSET($AM$3,0,0,'Données projet'!$E$10+1,1))-AVERAGE(OFFSET($H$3,0,0,'Données projet'!$E$10+1,1))</f>
        <v>325.45940224919184</v>
      </c>
      <c r="AO176" s="59">
        <f t="shared" si="144"/>
        <v>256.30046621034876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36.944291841210486</v>
      </c>
      <c r="AV176" s="21">
        <f>EXP(-LN(2)/25)*AV175+(1-EXP(-LN(2)/25))/(LN(2)/25)*Calculateur!AQ176*Calculateur!AS176*VLOOKUP('Données projet'!$B$10,Paramètres!$A$1:$I$89,3,0)*0.475*44/12</f>
        <v>7.102403437111005</v>
      </c>
      <c r="AW176" s="21">
        <f>EXP(-LN(2)/2)*AW175+(1-EXP(-LN(2)/2))/(LN(2)/2)*AQ176*AT176*VLOOKUP('Données projet'!$B$10,Paramètres!$A$1:$I$89,3,0)*0.475*44/12</f>
        <v>7.3313477958628773E-9</v>
      </c>
      <c r="AX176" s="21">
        <f t="shared" si="166"/>
        <v>44.046695285652838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7.688333333333337</v>
      </c>
      <c r="BD176" s="12">
        <f>IF('Données projet'!$A$88&gt;35,BD175+BC176-BL175,IF(A176&lt;'Données projet'!$A$88,$BA$205^A176,IF(A176='Données projet'!$A$88,'Données projet'!$B$88,BD175+BC176-BL175)))</f>
        <v>402.72166666666635</v>
      </c>
      <c r="BE176" s="13">
        <f>BD176*VLOOKUP('Données projet'!$B$11,Paramètres!$A$1:$I$89,3,0)*VLOOKUP('Données projet'!$B$11,Paramètres!$A$1:$I$89,5,0)</f>
        <v>408.35976999999968</v>
      </c>
      <c r="BF176" s="13">
        <f t="shared" si="167"/>
        <v>93.469434670776693</v>
      </c>
      <c r="BG176" s="20">
        <f t="shared" si="168"/>
        <v>874.01919813493544</v>
      </c>
      <c r="BH176" s="59">
        <f t="shared" si="116"/>
        <v>1162.9125117876838</v>
      </c>
      <c r="BI176" s="59">
        <f ca="1">AVERAGE(OFFSET($BH$3,0,0,'Données projet'!$E$11+1,1))-AVERAGE(OFFSET($H$3,0,0,'Données projet'!$E$11+1,1))</f>
        <v>580.02848304986492</v>
      </c>
      <c r="BJ176" s="59">
        <f t="shared" si="146"/>
        <v>281.68891895586728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45.623839149524819</v>
      </c>
      <c r="BQ176" s="21">
        <f>EXP(-LN(2)/25)*BQ175+(1-EXP(-LN(2)/25))/(LN(2)/25)*Calculateur!BL176*Calculateur!BN176*VLOOKUP('Données projet'!$B$11,Paramètres!$A$1:$I$89,3,0)*0.475*44/12</f>
        <v>20.235345456594313</v>
      </c>
      <c r="BR176" s="21">
        <f>EXP(-LN(2)/2)*BR175+(1-EXP(-LN(2)/2))/(LN(2)/2)*BL176*BO176*VLOOKUP('Données projet'!$B$11,Paramètres!$A$1:$I$89,3,0)*0.475*44/12</f>
        <v>2.5490802692404473E-4</v>
      </c>
      <c r="BS176" s="22">
        <f t="shared" si="169"/>
        <v>65.859439514146047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>
        <f>BY176*VLOOKUP('Données projet'!$B$12,Paramètres!$A$1:$I$89,3,0)*VLOOKUP('Données projet'!$B$12,Paramètres!$A$1:$I$89,5,0)</f>
        <v>0</v>
      </c>
      <c r="CA176" s="13" t="e">
        <f t="shared" si="170"/>
        <v>#NUM!</v>
      </c>
      <c r="CB176" s="20" t="e">
        <f t="shared" si="171"/>
        <v>#NUM!</v>
      </c>
      <c r="CC176" s="59" t="e">
        <f t="shared" si="119"/>
        <v>#NUM!</v>
      </c>
      <c r="CD176" s="59">
        <f ca="1">AVERAGE(OFFSET($CC$3,0,0,'Données projet'!$E$12+1,1))-AVERAGE(OFFSET($H$3,0,0,'Données projet'!$E$12+1,1))</f>
        <v>439.15394290667945</v>
      </c>
      <c r="CE176" s="59">
        <f t="shared" si="148"/>
        <v>423.56554025351068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7.9969846622219141</v>
      </c>
      <c r="CL176" s="21">
        <f>EXP(-LN(2)/25)*CL175+(1-EXP(-LN(2)/25))/(LN(2)/25)*Calculateur!CG176*Calculateur!CI176*VLOOKUP('Données projet'!$B$12,Paramètres!$A$1:$I$89,3,0)*0.475*44/12</f>
        <v>3.7795406021287321</v>
      </c>
      <c r="CM176" s="21">
        <f>EXP(-LN(2)/2)*CM175+(1-EXP(-LN(2)/2))/(LN(2)/2)*CG176*CJ176*VLOOKUP('Données projet'!$B$12,Paramètres!$A$1:$I$89,3,0)*0.475*44/12</f>
        <v>7.5023585715834667E-13</v>
      </c>
      <c r="CN176" s="22">
        <f t="shared" si="172"/>
        <v>11.776525264351395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>
        <f>CT176*VLOOKUP('Données projet'!$B$13,Paramètres!$A$1:$I$89,3,0)*VLOOKUP('Données projet'!$B$13,Paramètres!$A$1:$I$89,5,0)</f>
        <v>0</v>
      </c>
      <c r="CV176" s="13" t="e">
        <f t="shared" si="173"/>
        <v>#NUM!</v>
      </c>
      <c r="CW176" s="20" t="e">
        <f t="shared" si="174"/>
        <v>#NUM!</v>
      </c>
      <c r="CX176" s="59" t="e">
        <f t="shared" si="122"/>
        <v>#NUM!</v>
      </c>
      <c r="CY176" s="59">
        <f ca="1">AVERAGE(OFFSET($CX$3,0,0,'Données projet'!$E$13+1,1))-AVERAGE(OFFSET($H$3,0,0,'Données projet'!$E$13+1,1))</f>
        <v>408.246209980743</v>
      </c>
      <c r="CZ176" s="59">
        <f t="shared" si="150"/>
        <v>394.10236303013903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>
        <f>EXP(-LN(2)/35)*DF175+(1-EXP(-LN(2)/35))/(LN(2)/35)*DB176*DC176*VLOOKUP('Données projet'!$B$13,Paramètres!$A$1:$I$89,3,0)*0.475*44/12</f>
        <v>9.0488183291935478</v>
      </c>
      <c r="DG176" s="21">
        <f>EXP(-LN(2)/25)*DG175+(1-EXP(-LN(2)/25))/(LN(2)/25)*Calculateur!DB176*Calculateur!DD176*VLOOKUP('Données projet'!$B$13,Paramètres!$A$1:$I$89,3,0)*0.475*44/12</f>
        <v>4.2766589809828757</v>
      </c>
      <c r="DH176" s="21">
        <f>EXP(-LN(2)/2)*DH175+(1-EXP(-LN(2)/2))/(LN(2)/2)*DB176*DE176*VLOOKUP('Données projet'!$B$13,Paramètres!$A$1:$I$89,3,0)*0.475*44/12</f>
        <v>6.8874111476831845E-13</v>
      </c>
      <c r="DI176" s="22">
        <f t="shared" si="175"/>
        <v>13.325477310177114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>
        <f>DO176*VLOOKUP('Données projet'!$B$14,Paramètres!$A$1:$I$89,3,0)*VLOOKUP('Données projet'!$B$14,Paramètres!$A$1:$I$89,5,0)</f>
        <v>0</v>
      </c>
      <c r="DQ176" s="13" t="e">
        <f t="shared" si="176"/>
        <v>#NUM!</v>
      </c>
      <c r="DR176" s="20" t="e">
        <f t="shared" si="177"/>
        <v>#NUM!</v>
      </c>
      <c r="DS176" s="59" t="e">
        <f t="shared" si="125"/>
        <v>#NUM!</v>
      </c>
      <c r="DT176" s="59">
        <f ca="1">AVERAGE(OFFSET($DS$3,0,0,'Données projet'!$E$14+1,1))-AVERAGE(OFFSET($H$3,0,0,'Données projet'!$E$14+1,1))</f>
        <v>371.07993287480366</v>
      </c>
      <c r="DU176" s="59">
        <f t="shared" si="152"/>
        <v>358.67120540290637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>
        <f>EXP(-LN(2)/35)*EA175+(1-EXP(-LN(2)/35))/(LN(2)/35)*DW176*DX176*VLOOKUP('Données projet'!$B$14,Paramètres!$A$1:$I$89,3,0)*0.475*44/12</f>
        <v>6.55490546083763</v>
      </c>
      <c r="EB176" s="21">
        <f>EXP(-LN(2)/25)*EB175+(1-EXP(-LN(2)/25))/(LN(2)/25)*Calculateur!DW176*Calculateur!DY176*VLOOKUP('Données projet'!$B$14,Paramètres!$A$1:$I$89,3,0)*0.475*44/12</f>
        <v>3.0979841001055171</v>
      </c>
      <c r="EC176" s="21">
        <f>EXP(-LN(2)/2)*EC175+(1-EXP(-LN(2)/2))/(LN(2)/2)*DW176*DZ176*VLOOKUP('Données projet'!$B$14,Paramètres!$A$1:$I$89,3,0)*0.475*44/12</f>
        <v>6.1494742390028544E-13</v>
      </c>
      <c r="ED176" s="22">
        <f t="shared" si="178"/>
        <v>9.6528895609437626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45">
      <c r="A177" s="10">
        <f t="shared" si="161"/>
        <v>174</v>
      </c>
      <c r="B177" s="73">
        <f>'Scénario référence'!$B$16*5+'Scénario référence'!$B$17*0+'Scénario référence'!$B$18*5</f>
        <v>5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1">
        <f t="shared" si="140"/>
        <v>0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18.333333333333332</v>
      </c>
      <c r="H177" s="67">
        <f t="shared" si="110"/>
        <v>183.33333333333334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>
        <f>VLOOKUP(A177,'Données projet'!$A$35:$I$55,2,0)</f>
        <v>610.52</v>
      </c>
      <c r="L177" s="12">
        <f>VLOOKUP(A177,'Données projet'!$A$35:$I$55,9,0)</f>
        <v>9.6220000000000034</v>
      </c>
      <c r="M177" s="12">
        <f t="array" ref="M177">INDEX(L:L,MIN(IF(ISNUMBER(L177:L373),ROW(L177:L373),"")))</f>
        <v>9.6220000000000034</v>
      </c>
      <c r="N177" s="13">
        <f>IF('Données projet'!$A$36&gt;35,N176+M177-V176,IF(A177&lt;'Données projet'!$A$36,$K$205^A177,IF(A177='Données projet'!$A$36,'Données projet'!$B$36,N176+M177-V176)))</f>
        <v>610.52000000000089</v>
      </c>
      <c r="O177" s="13">
        <f>N177*VLOOKUP('Données projet'!$B$9,Paramètres!$A$1:$I$89,3,0)*VLOOKUP('Données projet'!$B$9,Paramètres!$A$1:$I$89,5,0)</f>
        <v>552.3984960000007</v>
      </c>
      <c r="P177" s="13">
        <f t="shared" si="141"/>
        <v>122.06927432492597</v>
      </c>
      <c r="Q177" s="20">
        <f t="shared" si="162"/>
        <v>1174.698033315914</v>
      </c>
      <c r="R177" s="59">
        <f t="shared" si="109"/>
        <v>1463.6683713837238</v>
      </c>
      <c r="S177" s="59">
        <f ca="1">AVERAGE(OFFSET($R$3,0,0,'Données projet'!$E$9+1,1))-AVERAGE(OFFSET($H$3,0,0,'Données projet'!$E$9+1,1))</f>
        <v>681.47578137804555</v>
      </c>
      <c r="T177" s="59">
        <f t="shared" si="142"/>
        <v>300.88511065995885</v>
      </c>
      <c r="U177" s="15">
        <f>IF(ISNA(VLOOKUP(A177,'Données projet'!$A$35:$I$55,3,0)),0,VLOOKUP(A177,'Données projet'!$A$35:$I$55,3,0))</f>
        <v>15</v>
      </c>
      <c r="V177" s="15">
        <f>IF(ISNA(VLOOKUP(A177,'Données projet'!$A$35:$I$55,4,0)),0,VLOOKUP(A177,'Données projet'!$A$35:$I$55,4,0))</f>
        <v>240</v>
      </c>
      <c r="W177" s="16">
        <f>IF(ISNA(VLOOKUP(A177,'Données projet'!$A$35:$I$55,5,0)),0%,VLOOKUP(A177,'Données projet'!$A$35:$I$55,5,0)*VLOOKUP('Données projet'!$B$9,Paramètres!$A$1:$I$89,7,0))</f>
        <v>0.19350000000000001</v>
      </c>
      <c r="X177" s="16">
        <f>IF(ISNA(VLOOKUP(A177,'Données projet'!$A$35:$I$55,6,0)),0%,VLOOKUP(A177,'Données projet'!$A$35:$I$55,6,0)*VLOOKUP('Données projet'!$B$9,Paramètres!$A$1:$I$89,7,0))</f>
        <v>2.1500000000000002E-2</v>
      </c>
      <c r="Y177" s="16">
        <f>IF(ISNA(VLOOKUP(A177,'Données projet'!$A$35:$I$55,7,0)),0%,VLOOKUP(A177,'Données projet'!$A$35:$I$55,7,0))</f>
        <v>0.05</v>
      </c>
      <c r="Z177" s="21">
        <f>EXP(-LN(2)/35)*Z176+(1-EXP(-LN(2)/35))/(LN(2)/35)*V177*W177*VLOOKUP('Données projet'!$B$9,Paramètres!$A$1:$I$89,3,0)*0.475*44/12</f>
        <v>94.533010057963907</v>
      </c>
      <c r="AA177" s="21">
        <f>EXP(-LN(2)/25)*AA176+(1-EXP(-LN(2)/25))/(LN(2)/25)*Calculateur!V177*Calculateur!X177*VLOOKUP('Données projet'!$B$9,Paramètres!$A$1:$I$89,3,0)*0.475*44/12</f>
        <v>22.577722084238086</v>
      </c>
      <c r="AB177" s="21">
        <f>EXP(-LN(2)/2)*AB176+(1-EXP(-LN(2)/2))/(LN(2)/2)*V177*Y177*VLOOKUP('Données projet'!$B$9,Paramètres!$A$1:$I$89,3,0)*0.475*44/12</f>
        <v>10.244437980189536</v>
      </c>
      <c r="AC177" s="22">
        <f t="shared" si="163"/>
        <v>127.35517012239153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3.4106051316484809E-13</v>
      </c>
      <c r="AJ177" s="13">
        <f>AI177*VLOOKUP('Données projet'!$B$10,Paramètres!$A$1:$I$89,3,0)*VLOOKUP('Données projet'!$B$10,Paramètres!$A$1:$I$89,5,0)</f>
        <v>1.5961632016114892E-13</v>
      </c>
      <c r="AK177" s="13">
        <f t="shared" si="164"/>
        <v>2.2708641912150958E-12</v>
      </c>
      <c r="AL177" s="20">
        <f t="shared" si="165"/>
        <v>4.2330868906469593E-12</v>
      </c>
      <c r="AM177" s="59">
        <f t="shared" si="113"/>
        <v>288.97033806781394</v>
      </c>
      <c r="AN177" s="59">
        <f ca="1">AVERAGE(OFFSET($AM$3,0,0,'Données projet'!$E$10+1,1))-AVERAGE(OFFSET($H$3,0,0,'Données projet'!$E$10+1,1))</f>
        <v>325.45940224919184</v>
      </c>
      <c r="AO177" s="59">
        <f t="shared" si="144"/>
        <v>256.30046621034876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36.219836811997347</v>
      </c>
      <c r="AV177" s="21">
        <f>EXP(-LN(2)/25)*AV176+(1-EXP(-LN(2)/25))/(LN(2)/25)*Calculateur!AQ177*Calculateur!AS177*VLOOKUP('Données projet'!$B$10,Paramètres!$A$1:$I$89,3,0)*0.475*44/12</f>
        <v>6.9081878416240405</v>
      </c>
      <c r="AW177" s="21">
        <f>EXP(-LN(2)/2)*AW176+(1-EXP(-LN(2)/2))/(LN(2)/2)*AQ177*AT177*VLOOKUP('Données projet'!$B$10,Paramètres!$A$1:$I$89,3,0)*0.475*44/12</f>
        <v>5.1840457416916896E-9</v>
      </c>
      <c r="AX177" s="21">
        <f t="shared" si="166"/>
        <v>43.128024658805437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7.688333333333337</v>
      </c>
      <c r="BD177" s="12">
        <f>IF('Données projet'!$A$88&gt;35,BD176+BC177-BL176,IF(A177&lt;'Données projet'!$A$88,$BA$205^A177,IF(A177='Données projet'!$A$88,'Données projet'!$B$88,BD176+BC177-BL176)))</f>
        <v>410.40999999999968</v>
      </c>
      <c r="BE177" s="13">
        <f>BD177*VLOOKUP('Données projet'!$B$11,Paramètres!$A$1:$I$89,3,0)*VLOOKUP('Données projet'!$B$11,Paramètres!$A$1:$I$89,5,0)</f>
        <v>416.1557399999997</v>
      </c>
      <c r="BF177" s="13">
        <f t="shared" si="167"/>
        <v>95.044407695945651</v>
      </c>
      <c r="BG177" s="20">
        <f t="shared" si="168"/>
        <v>890.34025723710477</v>
      </c>
      <c r="BH177" s="59">
        <f t="shared" si="116"/>
        <v>1179.3105953049144</v>
      </c>
      <c r="BI177" s="59">
        <f ca="1">AVERAGE(OFFSET($BH$3,0,0,'Données projet'!$E$11+1,1))-AVERAGE(OFFSET($H$3,0,0,'Données projet'!$E$11+1,1))</f>
        <v>580.02848304986492</v>
      </c>
      <c r="BJ177" s="59">
        <f t="shared" si="146"/>
        <v>281.68891895586728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44.72918349159675</v>
      </c>
      <c r="BQ177" s="21">
        <f>EXP(-LN(2)/25)*BQ176+(1-EXP(-LN(2)/25))/(LN(2)/25)*Calculateur!BL177*Calculateur!BN177*VLOOKUP('Données projet'!$B$11,Paramètres!$A$1:$I$89,3,0)*0.475*44/12</f>
        <v>19.682008870953172</v>
      </c>
      <c r="BR177" s="21">
        <f>EXP(-LN(2)/2)*BR176+(1-EXP(-LN(2)/2))/(LN(2)/2)*BL177*BO177*VLOOKUP('Données projet'!$B$11,Paramètres!$A$1:$I$89,3,0)*0.475*44/12</f>
        <v>1.8024719441687507E-4</v>
      </c>
      <c r="BS177" s="22">
        <f t="shared" si="169"/>
        <v>64.411372609744348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>
        <f>BY177*VLOOKUP('Données projet'!$B$12,Paramètres!$A$1:$I$89,3,0)*VLOOKUP('Données projet'!$B$12,Paramètres!$A$1:$I$89,5,0)</f>
        <v>0</v>
      </c>
      <c r="CA177" s="13" t="e">
        <f t="shared" si="170"/>
        <v>#NUM!</v>
      </c>
      <c r="CB177" s="20" t="e">
        <f t="shared" si="171"/>
        <v>#NUM!</v>
      </c>
      <c r="CC177" s="59" t="e">
        <f t="shared" si="119"/>
        <v>#NUM!</v>
      </c>
      <c r="CD177" s="59">
        <f ca="1">AVERAGE(OFFSET($CC$3,0,0,'Données projet'!$E$12+1,1))-AVERAGE(OFFSET($H$3,0,0,'Données projet'!$E$12+1,1))</f>
        <v>439.15394290667945</v>
      </c>
      <c r="CE177" s="59">
        <f t="shared" si="148"/>
        <v>423.56554025351068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7.8401686706747551</v>
      </c>
      <c r="CL177" s="21">
        <f>EXP(-LN(2)/25)*CL176+(1-EXP(-LN(2)/25))/(LN(2)/25)*Calculateur!CG177*Calculateur!CI177*VLOOKUP('Données projet'!$B$12,Paramètres!$A$1:$I$89,3,0)*0.475*44/12</f>
        <v>3.6761888656061199</v>
      </c>
      <c r="CM177" s="21">
        <f>EXP(-LN(2)/2)*CM176+(1-EXP(-LN(2)/2))/(LN(2)/2)*CG177*CJ177*VLOOKUP('Données projet'!$B$12,Paramètres!$A$1:$I$89,3,0)*0.475*44/12</f>
        <v>5.3049686208596896E-13</v>
      </c>
      <c r="CN177" s="22">
        <f t="shared" si="172"/>
        <v>11.516357536281406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>
        <f>CT177*VLOOKUP('Données projet'!$B$13,Paramètres!$A$1:$I$89,3,0)*VLOOKUP('Données projet'!$B$13,Paramètres!$A$1:$I$89,5,0)</f>
        <v>0</v>
      </c>
      <c r="CV177" s="13" t="e">
        <f t="shared" si="173"/>
        <v>#NUM!</v>
      </c>
      <c r="CW177" s="20" t="e">
        <f t="shared" si="174"/>
        <v>#NUM!</v>
      </c>
      <c r="CX177" s="59" t="e">
        <f t="shared" si="122"/>
        <v>#NUM!</v>
      </c>
      <c r="CY177" s="59">
        <f ca="1">AVERAGE(OFFSET($CX$3,0,0,'Données projet'!$E$13+1,1))-AVERAGE(OFFSET($H$3,0,0,'Données projet'!$E$13+1,1))</f>
        <v>408.246209980743</v>
      </c>
      <c r="CZ177" s="59">
        <f t="shared" si="150"/>
        <v>394.10236303013903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>
        <f>EXP(-LN(2)/35)*DF176+(1-EXP(-LN(2)/35))/(LN(2)/35)*DB177*DC177*VLOOKUP('Données projet'!$B$13,Paramètres!$A$1:$I$89,3,0)*0.475*44/12</f>
        <v>8.8713765209922641</v>
      </c>
      <c r="DG177" s="21">
        <f>EXP(-LN(2)/25)*DG176+(1-EXP(-LN(2)/25))/(LN(2)/25)*Calculateur!DB177*Calculateur!DD177*VLOOKUP('Données projet'!$B$13,Paramètres!$A$1:$I$89,3,0)*0.475*44/12</f>
        <v>4.1597135162481775</v>
      </c>
      <c r="DH177" s="21">
        <f>EXP(-LN(2)/2)*DH176+(1-EXP(-LN(2)/2))/(LN(2)/2)*DB177*DE177*VLOOKUP('Données projet'!$B$13,Paramètres!$A$1:$I$89,3,0)*0.475*44/12</f>
        <v>4.8701351273466016E-13</v>
      </c>
      <c r="DI177" s="22">
        <f t="shared" si="175"/>
        <v>13.031090037240929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>
        <f>DO177*VLOOKUP('Données projet'!$B$14,Paramètres!$A$1:$I$89,3,0)*VLOOKUP('Données projet'!$B$14,Paramètres!$A$1:$I$89,5,0)</f>
        <v>0</v>
      </c>
      <c r="DQ177" s="13" t="e">
        <f t="shared" si="176"/>
        <v>#NUM!</v>
      </c>
      <c r="DR177" s="20" t="e">
        <f t="shared" si="177"/>
        <v>#NUM!</v>
      </c>
      <c r="DS177" s="59" t="e">
        <f t="shared" si="125"/>
        <v>#NUM!</v>
      </c>
      <c r="DT177" s="59">
        <f ca="1">AVERAGE(OFFSET($DS$3,0,0,'Données projet'!$E$14+1,1))-AVERAGE(OFFSET($H$3,0,0,'Données projet'!$E$14+1,1))</f>
        <v>371.07993287480366</v>
      </c>
      <c r="DU177" s="59">
        <f t="shared" si="152"/>
        <v>358.67120540290637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>
        <f>EXP(-LN(2)/35)*EA176+(1-EXP(-LN(2)/35))/(LN(2)/35)*DW177*DX177*VLOOKUP('Données projet'!$B$14,Paramètres!$A$1:$I$89,3,0)*0.475*44/12</f>
        <v>6.4263677628481561</v>
      </c>
      <c r="EB177" s="21">
        <f>EXP(-LN(2)/25)*EB176+(1-EXP(-LN(2)/25))/(LN(2)/25)*Calculateur!DW177*Calculateur!DY177*VLOOKUP('Données projet'!$B$14,Paramètres!$A$1:$I$89,3,0)*0.475*44/12</f>
        <v>3.0132695619722285</v>
      </c>
      <c r="EC177" s="21">
        <f>EXP(-LN(2)/2)*EC176+(1-EXP(-LN(2)/2))/(LN(2)/2)*DW177*DZ177*VLOOKUP('Données projet'!$B$14,Paramètres!$A$1:$I$89,3,0)*0.475*44/12</f>
        <v>4.3483349351309023E-13</v>
      </c>
      <c r="ED177" s="22">
        <f t="shared" si="178"/>
        <v>9.4396373248208203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45">
      <c r="A178" s="10">
        <f t="shared" si="161"/>
        <v>175</v>
      </c>
      <c r="B178" s="73">
        <f>'Scénario référence'!$B$16*5+'Scénario référence'!$B$17*0+'Scénario référence'!$B$18*5</f>
        <v>5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1">
        <f t="shared" si="140"/>
        <v>0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18.333333333333332</v>
      </c>
      <c r="H178" s="67">
        <f t="shared" si="110"/>
        <v>183.33333333333334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6.140000000000005</v>
      </c>
      <c r="N178" s="13">
        <f>IF('Données projet'!$A$36&gt;35,N177+M178-V177,IF(A178&lt;'Données projet'!$A$36,$K$205^A178,IF(A178='Données projet'!$A$36,'Données projet'!$B$36,N177+M178-V177)))</f>
        <v>376.66000000000088</v>
      </c>
      <c r="O178" s="13">
        <f>N178*VLOOKUP('Données projet'!$B$9,Paramètres!$A$1:$I$89,3,0)*VLOOKUP('Données projet'!$B$9,Paramètres!$A$1:$I$89,5,0)</f>
        <v>340.80196800000078</v>
      </c>
      <c r="P178" s="13">
        <f t="shared" si="141"/>
        <v>79.665615362245418</v>
      </c>
      <c r="Q178" s="20">
        <f t="shared" si="162"/>
        <v>732.31437435591215</v>
      </c>
      <c r="R178" s="59">
        <f t="shared" si="109"/>
        <v>1021.3604006373826</v>
      </c>
      <c r="S178" s="59">
        <f ca="1">AVERAGE(OFFSET($R$3,0,0,'Données projet'!$E$9+1,1))-AVERAGE(OFFSET($H$3,0,0,'Données projet'!$E$9+1,1))</f>
        <v>681.47578137804555</v>
      </c>
      <c r="T178" s="59">
        <f t="shared" si="142"/>
        <v>300.88511065995885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92.679275390169977</v>
      </c>
      <c r="AA178" s="21">
        <f>EXP(-LN(2)/25)*AA177+(1-EXP(-LN(2)/25))/(LN(2)/25)*Calculateur!V178*Calculateur!X178*VLOOKUP('Données projet'!$B$9,Paramètres!$A$1:$I$89,3,0)*0.475*44/12</f>
        <v>21.960333086533794</v>
      </c>
      <c r="AB178" s="21">
        <f>EXP(-LN(2)/2)*AB177+(1-EXP(-LN(2)/2))/(LN(2)/2)*V178*Y178*VLOOKUP('Données projet'!$B$9,Paramètres!$A$1:$I$89,3,0)*0.475*44/12</f>
        <v>7.2439115652370401</v>
      </c>
      <c r="AC178" s="22">
        <f t="shared" si="163"/>
        <v>121.88352004194081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3.4106051316484809E-13</v>
      </c>
      <c r="AJ178" s="13">
        <f>AI178*VLOOKUP('Données projet'!$B$10,Paramètres!$A$1:$I$89,3,0)*VLOOKUP('Données projet'!$B$10,Paramètres!$A$1:$I$89,5,0)</f>
        <v>1.5961632016114892E-13</v>
      </c>
      <c r="AK178" s="13">
        <f t="shared" si="164"/>
        <v>2.2708641912150958E-12</v>
      </c>
      <c r="AL178" s="20">
        <f t="shared" si="165"/>
        <v>4.2330868906469593E-12</v>
      </c>
      <c r="AM178" s="59">
        <f t="shared" si="113"/>
        <v>289.04602628147461</v>
      </c>
      <c r="AN178" s="59">
        <f ca="1">AVERAGE(OFFSET($AM$3,0,0,'Données projet'!$E$10+1,1))-AVERAGE(OFFSET($H$3,0,0,'Données projet'!$E$10+1,1))</f>
        <v>325.45940224919184</v>
      </c>
      <c r="AO178" s="59">
        <f t="shared" si="144"/>
        <v>256.30046621034876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35.50958790403314</v>
      </c>
      <c r="AV178" s="21">
        <f>EXP(-LN(2)/25)*AV177+(1-EXP(-LN(2)/25))/(LN(2)/25)*Calculateur!AQ178*Calculateur!AS178*VLOOKUP('Données projet'!$B$10,Paramètres!$A$1:$I$89,3,0)*0.475*44/12</f>
        <v>6.7192830818090217</v>
      </c>
      <c r="AW178" s="21">
        <f>EXP(-LN(2)/2)*AW177+(1-EXP(-LN(2)/2))/(LN(2)/2)*AQ178*AT178*VLOOKUP('Données projet'!$B$10,Paramètres!$A$1:$I$89,3,0)*0.475*44/12</f>
        <v>3.6656738979314391E-9</v>
      </c>
      <c r="AX178" s="21">
        <f t="shared" si="166"/>
        <v>42.22887098950784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7.688333333333337</v>
      </c>
      <c r="BD178" s="12">
        <f>IF('Données projet'!$A$88&gt;35,BD177+BC178-BL177,IF(A178&lt;'Données projet'!$A$88,$BA$205^A178,IF(A178='Données projet'!$A$88,'Données projet'!$B$88,BD177+BC178-BL177)))</f>
        <v>418.09833333333302</v>
      </c>
      <c r="BE178" s="13">
        <f>BD178*VLOOKUP('Données projet'!$B$11,Paramètres!$A$1:$I$89,3,0)*VLOOKUP('Données projet'!$B$11,Paramètres!$A$1:$I$89,5,0)</f>
        <v>423.95170999999976</v>
      </c>
      <c r="BF178" s="13">
        <f t="shared" si="167"/>
        <v>96.615949933698687</v>
      </c>
      <c r="BG178" s="20">
        <f t="shared" si="168"/>
        <v>906.65534105119139</v>
      </c>
      <c r="BH178" s="59">
        <f t="shared" si="116"/>
        <v>1195.7013673326619</v>
      </c>
      <c r="BI178" s="59">
        <f ca="1">AVERAGE(OFFSET($BH$3,0,0,'Données projet'!$E$11+1,1))-AVERAGE(OFFSET($H$3,0,0,'Données projet'!$E$11+1,1))</f>
        <v>580.02848304986492</v>
      </c>
      <c r="BJ178" s="59">
        <f t="shared" si="146"/>
        <v>281.68891895586728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43.852071485434585</v>
      </c>
      <c r="BQ178" s="21">
        <f>EXP(-LN(2)/25)*BQ177+(1-EXP(-LN(2)/25))/(LN(2)/25)*Calculateur!BL178*Calculateur!BN178*VLOOKUP('Données projet'!$B$11,Paramètres!$A$1:$I$89,3,0)*0.475*44/12</f>
        <v>19.143803303345095</v>
      </c>
      <c r="BR178" s="21">
        <f>EXP(-LN(2)/2)*BR177+(1-EXP(-LN(2)/2))/(LN(2)/2)*BL178*BO178*VLOOKUP('Données projet'!$B$11,Paramètres!$A$1:$I$89,3,0)*0.475*44/12</f>
        <v>1.2745401346202237E-4</v>
      </c>
      <c r="BS178" s="22">
        <f t="shared" si="169"/>
        <v>62.996002242793139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>
        <f>BY178*VLOOKUP('Données projet'!$B$12,Paramètres!$A$1:$I$89,3,0)*VLOOKUP('Données projet'!$B$12,Paramètres!$A$1:$I$89,5,0)</f>
        <v>0</v>
      </c>
      <c r="CA178" s="13" t="e">
        <f t="shared" si="170"/>
        <v>#NUM!</v>
      </c>
      <c r="CB178" s="20" t="e">
        <f t="shared" si="171"/>
        <v>#NUM!</v>
      </c>
      <c r="CC178" s="59" t="e">
        <f t="shared" si="119"/>
        <v>#NUM!</v>
      </c>
      <c r="CD178" s="59">
        <f ca="1">AVERAGE(OFFSET($CC$3,0,0,'Données projet'!$E$12+1,1))-AVERAGE(OFFSET($H$3,0,0,'Données projet'!$E$12+1,1))</f>
        <v>439.15394290667945</v>
      </c>
      <c r="CE178" s="59">
        <f t="shared" si="148"/>
        <v>423.56554025351068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7.6864277450735257</v>
      </c>
      <c r="CL178" s="21">
        <f>EXP(-LN(2)/25)*CL177+(1-EXP(-LN(2)/25))/(LN(2)/25)*Calculateur!CG178*Calculateur!CI178*VLOOKUP('Données projet'!$B$12,Paramètres!$A$1:$I$89,3,0)*0.475*44/12</f>
        <v>3.5756632877537502</v>
      </c>
      <c r="CM178" s="21">
        <f>EXP(-LN(2)/2)*CM177+(1-EXP(-LN(2)/2))/(LN(2)/2)*CG178*CJ178*VLOOKUP('Données projet'!$B$12,Paramètres!$A$1:$I$89,3,0)*0.475*44/12</f>
        <v>3.7511792857917334E-13</v>
      </c>
      <c r="CN178" s="22">
        <f t="shared" si="172"/>
        <v>11.26209103282765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>
        <f>CT178*VLOOKUP('Données projet'!$B$13,Paramètres!$A$1:$I$89,3,0)*VLOOKUP('Données projet'!$B$13,Paramètres!$A$1:$I$89,5,0)</f>
        <v>0</v>
      </c>
      <c r="CV178" s="13" t="e">
        <f t="shared" si="173"/>
        <v>#NUM!</v>
      </c>
      <c r="CW178" s="20" t="e">
        <f t="shared" si="174"/>
        <v>#NUM!</v>
      </c>
      <c r="CX178" s="59" t="e">
        <f t="shared" si="122"/>
        <v>#NUM!</v>
      </c>
      <c r="CY178" s="59">
        <f ca="1">AVERAGE(OFFSET($CX$3,0,0,'Données projet'!$E$13+1,1))-AVERAGE(OFFSET($H$3,0,0,'Données projet'!$E$13+1,1))</f>
        <v>408.246209980743</v>
      </c>
      <c r="CZ178" s="59">
        <f t="shared" si="150"/>
        <v>394.10236303013903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>
        <f>EXP(-LN(2)/35)*DF177+(1-EXP(-LN(2)/35))/(LN(2)/35)*DB178*DC178*VLOOKUP('Données projet'!$B$13,Paramètres!$A$1:$I$89,3,0)*0.475*44/12</f>
        <v>8.6974142384209916</v>
      </c>
      <c r="DG178" s="21">
        <f>EXP(-LN(2)/25)*DG177+(1-EXP(-LN(2)/25))/(LN(2)/25)*Calculateur!DB178*Calculateur!DD178*VLOOKUP('Données projet'!$B$13,Paramètres!$A$1:$I$89,3,0)*0.475*44/12</f>
        <v>4.0459659313965446</v>
      </c>
      <c r="DH178" s="21">
        <f>EXP(-LN(2)/2)*DH177+(1-EXP(-LN(2)/2))/(LN(2)/2)*DB178*DE178*VLOOKUP('Données projet'!$B$13,Paramètres!$A$1:$I$89,3,0)*0.475*44/12</f>
        <v>3.4437055738415923E-13</v>
      </c>
      <c r="DI178" s="22">
        <f t="shared" si="175"/>
        <v>12.743380169817881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>
        <f>DO178*VLOOKUP('Données projet'!$B$14,Paramètres!$A$1:$I$89,3,0)*VLOOKUP('Données projet'!$B$14,Paramètres!$A$1:$I$89,5,0)</f>
        <v>0</v>
      </c>
      <c r="DQ178" s="13" t="e">
        <f t="shared" si="176"/>
        <v>#NUM!</v>
      </c>
      <c r="DR178" s="20" t="e">
        <f t="shared" si="177"/>
        <v>#NUM!</v>
      </c>
      <c r="DS178" s="59" t="e">
        <f t="shared" si="125"/>
        <v>#NUM!</v>
      </c>
      <c r="DT178" s="59">
        <f ca="1">AVERAGE(OFFSET($DS$3,0,0,'Données projet'!$E$14+1,1))-AVERAGE(OFFSET($H$3,0,0,'Données projet'!$E$14+1,1))</f>
        <v>371.07993287480366</v>
      </c>
      <c r="DU178" s="59">
        <f t="shared" si="152"/>
        <v>358.67120540290637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>
        <f>EXP(-LN(2)/35)*EA177+(1-EXP(-LN(2)/35))/(LN(2)/35)*DW178*DX178*VLOOKUP('Données projet'!$B$14,Paramètres!$A$1:$I$89,3,0)*0.475*44/12</f>
        <v>6.3003506107160012</v>
      </c>
      <c r="EB178" s="21">
        <f>EXP(-LN(2)/25)*EB177+(1-EXP(-LN(2)/25))/(LN(2)/25)*Calculateur!DW178*Calculateur!DY178*VLOOKUP('Données projet'!$B$14,Paramètres!$A$1:$I$89,3,0)*0.475*44/12</f>
        <v>2.9308715473391387</v>
      </c>
      <c r="EC178" s="21">
        <f>EXP(-LN(2)/2)*EC177+(1-EXP(-LN(2)/2))/(LN(2)/2)*DW178*DZ178*VLOOKUP('Données projet'!$B$14,Paramètres!$A$1:$I$89,3,0)*0.475*44/12</f>
        <v>3.0747371195014272E-13</v>
      </c>
      <c r="ED178" s="22">
        <f t="shared" si="178"/>
        <v>9.2312221580554468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45">
      <c r="A179" s="10">
        <f t="shared" si="161"/>
        <v>176</v>
      </c>
      <c r="B179" s="73">
        <f>'Scénario référence'!$B$16*5+'Scénario référence'!$B$17*0+'Scénario référence'!$B$18*5</f>
        <v>5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1">
        <f t="shared" si="140"/>
        <v>0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18.333333333333332</v>
      </c>
      <c r="H179" s="67">
        <f t="shared" si="110"/>
        <v>183.33333333333334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6.140000000000005</v>
      </c>
      <c r="N179" s="13">
        <f>IF('Données projet'!$A$36&gt;35,N178+M179-V178,IF(A179&lt;'Données projet'!$A$36,$K$205^A179,IF(A179='Données projet'!$A$36,'Données projet'!$B$36,N178+M179-V178)))</f>
        <v>382.80000000000086</v>
      </c>
      <c r="O179" s="13">
        <f>N179*VLOOKUP('Données projet'!$B$9,Paramètres!$A$1:$I$89,3,0)*VLOOKUP('Données projet'!$B$9,Paramètres!$A$1:$I$89,5,0)</f>
        <v>346.35744000000079</v>
      </c>
      <c r="P179" s="13">
        <f t="shared" si="141"/>
        <v>80.812014230904367</v>
      </c>
      <c r="Q179" s="20">
        <f t="shared" si="162"/>
        <v>743.98679945215974</v>
      </c>
      <c r="R179" s="59">
        <f t="shared" si="109"/>
        <v>1033.1072009259974</v>
      </c>
      <c r="S179" s="59">
        <f ca="1">AVERAGE(OFFSET($R$3,0,0,'Données projet'!$E$9+1,1))-AVERAGE(OFFSET($H$3,0,0,'Données projet'!$E$9+1,1))</f>
        <v>681.47578137804555</v>
      </c>
      <c r="T179" s="59">
        <f t="shared" si="142"/>
        <v>300.88511065995885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90.861891328544985</v>
      </c>
      <c r="AA179" s="21">
        <f>EXP(-LN(2)/25)*AA178+(1-EXP(-LN(2)/25))/(LN(2)/25)*Calculateur!V179*Calculateur!X179*VLOOKUP('Données projet'!$B$9,Paramètres!$A$1:$I$89,3,0)*0.475*44/12</f>
        <v>21.359826623438803</v>
      </c>
      <c r="AB179" s="21">
        <f>EXP(-LN(2)/2)*AB178+(1-EXP(-LN(2)/2))/(LN(2)/2)*V179*Y179*VLOOKUP('Données projet'!$B$9,Paramètres!$A$1:$I$89,3,0)*0.475*44/12</f>
        <v>5.122218990094769</v>
      </c>
      <c r="AC179" s="22">
        <f t="shared" si="163"/>
        <v>117.34393694207856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3.4106051316484809E-13</v>
      </c>
      <c r="AJ179" s="13">
        <f>AI179*VLOOKUP('Données projet'!$B$10,Paramètres!$A$1:$I$89,3,0)*VLOOKUP('Données projet'!$B$10,Paramètres!$A$1:$I$89,5,0)</f>
        <v>1.5961632016114892E-13</v>
      </c>
      <c r="AK179" s="13">
        <f t="shared" si="164"/>
        <v>2.2708641912150958E-12</v>
      </c>
      <c r="AL179" s="20">
        <f t="shared" si="165"/>
        <v>4.2330868906469593E-12</v>
      </c>
      <c r="AM179" s="59">
        <f t="shared" si="113"/>
        <v>289.12040147384181</v>
      </c>
      <c r="AN179" s="59">
        <f ca="1">AVERAGE(OFFSET($AM$3,0,0,'Données projet'!$E$10+1,1))-AVERAGE(OFFSET($H$3,0,0,'Données projet'!$E$10+1,1))</f>
        <v>325.45940224919184</v>
      </c>
      <c r="AO179" s="59">
        <f t="shared" si="144"/>
        <v>256.30046621034876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34.813266543945055</v>
      </c>
      <c r="AV179" s="21">
        <f>EXP(-LN(2)/25)*AV178+(1-EXP(-LN(2)/25))/(LN(2)/25)*Calculateur!AQ179*Calculateur!AS179*VLOOKUP('Données projet'!$B$10,Paramètres!$A$1:$I$89,3,0)*0.475*44/12</f>
        <v>6.535543932585214</v>
      </c>
      <c r="AW179" s="21">
        <f>EXP(-LN(2)/2)*AW178+(1-EXP(-LN(2)/2))/(LN(2)/2)*AQ179*AT179*VLOOKUP('Données projet'!$B$10,Paramètres!$A$1:$I$89,3,0)*0.475*44/12</f>
        <v>2.5920228708458452E-9</v>
      </c>
      <c r="AX179" s="21">
        <f t="shared" si="166"/>
        <v>41.348810479122292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7.688333333333337</v>
      </c>
      <c r="BD179" s="12">
        <f>IF('Données projet'!$A$88&gt;35,BD178+BC179-BL178,IF(A179&lt;'Données projet'!$A$88,$BA$205^A179,IF(A179='Données projet'!$A$88,'Données projet'!$B$88,BD178+BC179-BL178)))</f>
        <v>425.78666666666635</v>
      </c>
      <c r="BE179" s="13">
        <f>BD179*VLOOKUP('Données projet'!$B$11,Paramètres!$A$1:$I$89,3,0)*VLOOKUP('Données projet'!$B$11,Paramètres!$A$1:$I$89,5,0)</f>
        <v>431.74767999999972</v>
      </c>
      <c r="BF179" s="13">
        <f t="shared" si="167"/>
        <v>98.184131748284557</v>
      </c>
      <c r="BG179" s="20">
        <f t="shared" si="168"/>
        <v>922.96457212826181</v>
      </c>
      <c r="BH179" s="59">
        <f t="shared" si="116"/>
        <v>1212.0849736020994</v>
      </c>
      <c r="BI179" s="59">
        <f ca="1">AVERAGE(OFFSET($BH$3,0,0,'Données projet'!$E$11+1,1))-AVERAGE(OFFSET($H$3,0,0,'Données projet'!$E$11+1,1))</f>
        <v>580.02848304986492</v>
      </c>
      <c r="BJ179" s="59">
        <f t="shared" si="146"/>
        <v>281.68891895586728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42.992159110727762</v>
      </c>
      <c r="BQ179" s="21">
        <f>EXP(-LN(2)/25)*BQ178+(1-EXP(-LN(2)/25))/(LN(2)/25)*Calculateur!BL179*Calculateur!BN179*VLOOKUP('Données projet'!$B$11,Paramètres!$A$1:$I$89,3,0)*0.475*44/12</f>
        <v>18.620314995286261</v>
      </c>
      <c r="BR179" s="21">
        <f>EXP(-LN(2)/2)*BR178+(1-EXP(-LN(2)/2))/(LN(2)/2)*BL179*BO179*VLOOKUP('Données projet'!$B$11,Paramètres!$A$1:$I$89,3,0)*0.475*44/12</f>
        <v>9.0123597208437533E-5</v>
      </c>
      <c r="BS179" s="22">
        <f t="shared" si="169"/>
        <v>61.61256422961123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>
        <f>BY179*VLOOKUP('Données projet'!$B$12,Paramètres!$A$1:$I$89,3,0)*VLOOKUP('Données projet'!$B$12,Paramètres!$A$1:$I$89,5,0)</f>
        <v>0</v>
      </c>
      <c r="CA179" s="13" t="e">
        <f t="shared" si="170"/>
        <v>#NUM!</v>
      </c>
      <c r="CB179" s="20" t="e">
        <f t="shared" si="171"/>
        <v>#NUM!</v>
      </c>
      <c r="CC179" s="59" t="e">
        <f t="shared" si="119"/>
        <v>#NUM!</v>
      </c>
      <c r="CD179" s="59">
        <f ca="1">AVERAGE(OFFSET($CC$3,0,0,'Données projet'!$E$12+1,1))-AVERAGE(OFFSET($H$3,0,0,'Données projet'!$E$12+1,1))</f>
        <v>439.15394290667945</v>
      </c>
      <c r="CE179" s="59">
        <f t="shared" si="148"/>
        <v>423.56554025351068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7.5357015852506315</v>
      </c>
      <c r="CL179" s="21">
        <f>EXP(-LN(2)/25)*CL178+(1-EXP(-LN(2)/25))/(LN(2)/25)*Calculateur!CG179*Calculateur!CI179*VLOOKUP('Données projet'!$B$12,Paramètres!$A$1:$I$89,3,0)*0.475*44/12</f>
        <v>3.4778865871141638</v>
      </c>
      <c r="CM179" s="21">
        <f>EXP(-LN(2)/2)*CM178+(1-EXP(-LN(2)/2))/(LN(2)/2)*CG179*CJ179*VLOOKUP('Données projet'!$B$12,Paramètres!$A$1:$I$89,3,0)*0.475*44/12</f>
        <v>2.6524843104298448E-13</v>
      </c>
      <c r="CN179" s="22">
        <f t="shared" si="172"/>
        <v>11.013588172365059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>
        <f>CT179*VLOOKUP('Données projet'!$B$13,Paramètres!$A$1:$I$89,3,0)*VLOOKUP('Données projet'!$B$13,Paramètres!$A$1:$I$89,5,0)</f>
        <v>0</v>
      </c>
      <c r="CV179" s="13" t="e">
        <f t="shared" si="173"/>
        <v>#NUM!</v>
      </c>
      <c r="CW179" s="20" t="e">
        <f t="shared" si="174"/>
        <v>#NUM!</v>
      </c>
      <c r="CX179" s="59" t="e">
        <f t="shared" si="122"/>
        <v>#NUM!</v>
      </c>
      <c r="CY179" s="59">
        <f ca="1">AVERAGE(OFFSET($CX$3,0,0,'Données projet'!$E$13+1,1))-AVERAGE(OFFSET($H$3,0,0,'Données projet'!$E$13+1,1))</f>
        <v>408.246209980743</v>
      </c>
      <c r="CZ179" s="59">
        <f t="shared" si="150"/>
        <v>394.10236303013903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>
        <f>EXP(-LN(2)/35)*DF178+(1-EXP(-LN(2)/35))/(LN(2)/35)*DB179*DC179*VLOOKUP('Données projet'!$B$13,Paramètres!$A$1:$I$89,3,0)*0.475*44/12</f>
        <v>8.5268632501044266</v>
      </c>
      <c r="DG179" s="21">
        <f>EXP(-LN(2)/25)*DG178+(1-EXP(-LN(2)/25))/(LN(2)/25)*Calculateur!DB179*Calculateur!DD179*VLOOKUP('Données projet'!$B$13,Paramètres!$A$1:$I$89,3,0)*0.475*44/12</f>
        <v>3.9353287802344048</v>
      </c>
      <c r="DH179" s="21">
        <f>EXP(-LN(2)/2)*DH178+(1-EXP(-LN(2)/2))/(LN(2)/2)*DB179*DE179*VLOOKUP('Données projet'!$B$13,Paramètres!$A$1:$I$89,3,0)*0.475*44/12</f>
        <v>2.4350675636733008E-13</v>
      </c>
      <c r="DI179" s="22">
        <f t="shared" si="175"/>
        <v>12.462192030339075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>
        <f>DO179*VLOOKUP('Données projet'!$B$14,Paramètres!$A$1:$I$89,3,0)*VLOOKUP('Données projet'!$B$14,Paramètres!$A$1:$I$89,5,0)</f>
        <v>0</v>
      </c>
      <c r="DQ179" s="13" t="e">
        <f t="shared" si="176"/>
        <v>#NUM!</v>
      </c>
      <c r="DR179" s="20" t="e">
        <f t="shared" si="177"/>
        <v>#NUM!</v>
      </c>
      <c r="DS179" s="59" t="e">
        <f t="shared" si="125"/>
        <v>#NUM!</v>
      </c>
      <c r="DT179" s="59">
        <f ca="1">AVERAGE(OFFSET($DS$3,0,0,'Données projet'!$E$14+1,1))-AVERAGE(OFFSET($H$3,0,0,'Données projet'!$E$14+1,1))</f>
        <v>371.07993287480366</v>
      </c>
      <c r="DU179" s="59">
        <f t="shared" si="152"/>
        <v>358.67120540290637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>
        <f>EXP(-LN(2)/35)*EA178+(1-EXP(-LN(2)/35))/(LN(2)/35)*DW179*DX179*VLOOKUP('Données projet'!$B$14,Paramètres!$A$1:$I$89,3,0)*0.475*44/12</f>
        <v>6.1768045780742842</v>
      </c>
      <c r="EB179" s="21">
        <f>EXP(-LN(2)/25)*EB178+(1-EXP(-LN(2)/25))/(LN(2)/25)*Calculateur!DW179*Calculateur!DY179*VLOOKUP('Données projet'!$B$14,Paramètres!$A$1:$I$89,3,0)*0.475*44/12</f>
        <v>2.8507267107493139</v>
      </c>
      <c r="EC179" s="21">
        <f>EXP(-LN(2)/2)*EC178+(1-EXP(-LN(2)/2))/(LN(2)/2)*DW179*DZ179*VLOOKUP('Données projet'!$B$14,Paramètres!$A$1:$I$89,3,0)*0.475*44/12</f>
        <v>2.1741674675654511E-13</v>
      </c>
      <c r="ED179" s="22">
        <f t="shared" si="178"/>
        <v>9.0275312888238144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45">
      <c r="A180" s="10">
        <f t="shared" si="161"/>
        <v>177</v>
      </c>
      <c r="B180" s="73">
        <f>'Scénario référence'!$B$16*5+'Scénario référence'!$B$17*0+'Scénario référence'!$B$18*5</f>
        <v>5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1">
        <f t="shared" si="140"/>
        <v>0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18.333333333333332</v>
      </c>
      <c r="H180" s="67">
        <f t="shared" si="110"/>
        <v>183.33333333333334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>
        <f>VLOOKUP(A180,'Données projet'!$A$35:$I$55,2,0)</f>
        <v>388.94</v>
      </c>
      <c r="L180" s="12">
        <f>VLOOKUP(A180,'Données projet'!$A$35:$I$55,9,0)</f>
        <v>6.140000000000005</v>
      </c>
      <c r="M180" s="12">
        <f t="array" ref="M180">INDEX(L:L,MIN(IF(ISNUMBER(L180:L376),ROW(L180:L376),"")))</f>
        <v>6.140000000000005</v>
      </c>
      <c r="N180" s="13">
        <f>IF('Données projet'!$A$36&gt;35,N179+M180-V179,IF(A180&lt;'Données projet'!$A$36,$K$205^A180,IF(A180='Données projet'!$A$36,'Données projet'!$B$36,N179+M180-V179)))</f>
        <v>388.94000000000085</v>
      </c>
      <c r="O180" s="13">
        <f>N180*VLOOKUP('Données projet'!$B$9,Paramètres!$A$1:$I$89,3,0)*VLOOKUP('Données projet'!$B$9,Paramètres!$A$1:$I$89,5,0)</f>
        <v>351.91291200000074</v>
      </c>
      <c r="P180" s="13">
        <f t="shared" si="141"/>
        <v>81.956274647572329</v>
      </c>
      <c r="Q180" s="20">
        <f t="shared" si="162"/>
        <v>755.65550007785635</v>
      </c>
      <c r="R180" s="59">
        <f t="shared" si="109"/>
        <v>1044.8489865007516</v>
      </c>
      <c r="S180" s="59">
        <f ca="1">AVERAGE(OFFSET($R$3,0,0,'Données projet'!$E$9+1,1))-AVERAGE(OFFSET($H$3,0,0,'Données projet'!$E$9+1,1))</f>
        <v>681.47578137804555</v>
      </c>
      <c r="T180" s="59">
        <f t="shared" si="142"/>
        <v>300.88511065995885</v>
      </c>
      <c r="U180" s="15">
        <f>IF(ISNA(VLOOKUP(A180,'Données projet'!$A$35:$I$55,3,0)),0,VLOOKUP(A180,'Données projet'!$A$35:$I$55,3,0))</f>
        <v>16</v>
      </c>
      <c r="V180" s="15">
        <f>IF(ISNA(VLOOKUP(A180,'Données projet'!$A$35:$I$55,4,0)),0,VLOOKUP(A180,'Données projet'!$A$35:$I$55,4,0))</f>
        <v>128.66000000000003</v>
      </c>
      <c r="W180" s="16">
        <f>IF(ISNA(VLOOKUP(A180,'Données projet'!$A$35:$I$55,5,0)),0%,VLOOKUP(A180,'Données projet'!$A$35:$I$55,5,0)*VLOOKUP('Données projet'!$B$9,Paramètres!$A$1:$I$89,7,0))</f>
        <v>0.19350000000000001</v>
      </c>
      <c r="X180" s="16">
        <f>IF(ISNA(VLOOKUP(A180,'Données projet'!$A$35:$I$55,6,0)),0%,VLOOKUP(A180,'Données projet'!$A$35:$I$55,6,0)*VLOOKUP('Données projet'!$B$9,Paramètres!$A$1:$I$89,7,0))</f>
        <v>2.1500000000000002E-2</v>
      </c>
      <c r="Y180" s="16">
        <f>IF(ISNA(VLOOKUP(A180,'Données projet'!$A$35:$I$55,7,0)),0%,VLOOKUP(A180,'Données projet'!$A$35:$I$55,7,0))</f>
        <v>0.05</v>
      </c>
      <c r="Z180" s="21">
        <f>EXP(-LN(2)/35)*Z179+(1-EXP(-LN(2)/35))/(LN(2)/35)*V180*W180*VLOOKUP('Données projet'!$B$9,Paramètres!$A$1:$I$89,3,0)*0.475*44/12</f>
        <v>113.98157109998739</v>
      </c>
      <c r="AA180" s="21">
        <f>EXP(-LN(2)/25)*AA179+(1-EXP(-LN(2)/25))/(LN(2)/25)*Calculateur!V180*Calculateur!X180*VLOOKUP('Données projet'!$B$9,Paramètres!$A$1:$I$89,3,0)*0.475*44/12</f>
        <v>23.531672112001587</v>
      </c>
      <c r="AB180" s="21">
        <f>EXP(-LN(2)/2)*AB179+(1-EXP(-LN(2)/2))/(LN(2)/2)*V180*Y180*VLOOKUP('Données projet'!$B$9,Paramètres!$A$1:$I$89,3,0)*0.475*44/12</f>
        <v>9.1138281615892875</v>
      </c>
      <c r="AC180" s="22">
        <f t="shared" si="163"/>
        <v>146.62707137357827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3.4106051316484809E-13</v>
      </c>
      <c r="AJ180" s="13">
        <f>AI180*VLOOKUP('Données projet'!$B$10,Paramètres!$A$1:$I$89,3,0)*VLOOKUP('Données projet'!$B$10,Paramètres!$A$1:$I$89,5,0)</f>
        <v>1.5961632016114892E-13</v>
      </c>
      <c r="AK180" s="13">
        <f t="shared" si="164"/>
        <v>2.2708641912150958E-12</v>
      </c>
      <c r="AL180" s="20">
        <f t="shared" si="165"/>
        <v>4.2330868906469593E-12</v>
      </c>
      <c r="AM180" s="59">
        <f t="shared" si="113"/>
        <v>289.19348642289947</v>
      </c>
      <c r="AN180" s="59">
        <f ca="1">AVERAGE(OFFSET($AM$3,0,0,'Données projet'!$E$10+1,1))-AVERAGE(OFFSET($H$3,0,0,'Données projet'!$E$10+1,1))</f>
        <v>325.45940224919184</v>
      </c>
      <c r="AO180" s="59">
        <f t="shared" si="144"/>
        <v>256.30046621034876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34.130599621014198</v>
      </c>
      <c r="AV180" s="21">
        <f>EXP(-LN(2)/25)*AV179+(1-EXP(-LN(2)/25))/(LN(2)/25)*Calculateur!AQ180*Calculateur!AS180*VLOOKUP('Données projet'!$B$10,Paramètres!$A$1:$I$89,3,0)*0.475*44/12</f>
        <v>6.3568291400593528</v>
      </c>
      <c r="AW180" s="21">
        <f>EXP(-LN(2)/2)*AW179+(1-EXP(-LN(2)/2))/(LN(2)/2)*AQ180*AT180*VLOOKUP('Données projet'!$B$10,Paramètres!$A$1:$I$89,3,0)*0.475*44/12</f>
        <v>1.8328369489657199E-9</v>
      </c>
      <c r="AX180" s="21">
        <f t="shared" si="166"/>
        <v>40.48742876290639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7.688333333333337</v>
      </c>
      <c r="BD180" s="12">
        <f>IF('Données projet'!$A$88&gt;35,BD179+BC180-BL179,IF(A180&lt;'Données projet'!$A$88,$BA$205^A180,IF(A180='Données projet'!$A$88,'Données projet'!$B$88,BD179+BC180-BL179)))</f>
        <v>433.47499999999968</v>
      </c>
      <c r="BE180" s="13">
        <f>BD180*VLOOKUP('Données projet'!$B$11,Paramètres!$A$1:$I$89,3,0)*VLOOKUP('Données projet'!$B$11,Paramètres!$A$1:$I$89,5,0)</f>
        <v>439.54364999999967</v>
      </c>
      <c r="BF180" s="13">
        <f t="shared" si="167"/>
        <v>99.749020817344601</v>
      </c>
      <c r="BG180" s="20">
        <f t="shared" si="168"/>
        <v>939.26806834020806</v>
      </c>
      <c r="BH180" s="59">
        <f t="shared" si="116"/>
        <v>1228.4615547631033</v>
      </c>
      <c r="BI180" s="59">
        <f ca="1">AVERAGE(OFFSET($BH$3,0,0,'Données projet'!$E$11+1,1))-AVERAGE(OFFSET($H$3,0,0,'Données projet'!$E$11+1,1))</f>
        <v>580.02848304986492</v>
      </c>
      <c r="BJ180" s="59">
        <f t="shared" si="146"/>
        <v>281.68891895586728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42.149109093194177</v>
      </c>
      <c r="BQ180" s="21">
        <f>EXP(-LN(2)/25)*BQ179+(1-EXP(-LN(2)/25))/(LN(2)/25)*Calculateur!BL180*Calculateur!BN180*VLOOKUP('Données projet'!$B$11,Paramètres!$A$1:$I$89,3,0)*0.475*44/12</f>
        <v>18.111141502540349</v>
      </c>
      <c r="BR180" s="21">
        <f>EXP(-LN(2)/2)*BR179+(1-EXP(-LN(2)/2))/(LN(2)/2)*BL180*BO180*VLOOKUP('Données projet'!$B$11,Paramètres!$A$1:$I$89,3,0)*0.475*44/12</f>
        <v>6.3727006731011183E-5</v>
      </c>
      <c r="BS180" s="22">
        <f t="shared" si="169"/>
        <v>60.260314322741259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>
        <f>BY180*VLOOKUP('Données projet'!$B$12,Paramètres!$A$1:$I$89,3,0)*VLOOKUP('Données projet'!$B$12,Paramètres!$A$1:$I$89,5,0)</f>
        <v>0</v>
      </c>
      <c r="CA180" s="13" t="e">
        <f t="shared" si="170"/>
        <v>#NUM!</v>
      </c>
      <c r="CB180" s="20" t="e">
        <f t="shared" si="171"/>
        <v>#NUM!</v>
      </c>
      <c r="CC180" s="59" t="e">
        <f t="shared" si="119"/>
        <v>#NUM!</v>
      </c>
      <c r="CD180" s="59">
        <f ca="1">AVERAGE(OFFSET($CC$3,0,0,'Données projet'!$E$12+1,1))-AVERAGE(OFFSET($H$3,0,0,'Données projet'!$E$12+1,1))</f>
        <v>439.15394290667945</v>
      </c>
      <c r="CE180" s="59">
        <f t="shared" si="148"/>
        <v>423.56554025351068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7.3879310734879846</v>
      </c>
      <c r="CL180" s="21">
        <f>EXP(-LN(2)/25)*CL179+(1-EXP(-LN(2)/25))/(LN(2)/25)*Calculateur!CG180*Calculateur!CI180*VLOOKUP('Données projet'!$B$12,Paramètres!$A$1:$I$89,3,0)*0.475*44/12</f>
        <v>3.38278359549542</v>
      </c>
      <c r="CM180" s="21">
        <f>EXP(-LN(2)/2)*CM179+(1-EXP(-LN(2)/2))/(LN(2)/2)*CG180*CJ180*VLOOKUP('Données projet'!$B$12,Paramètres!$A$1:$I$89,3,0)*0.475*44/12</f>
        <v>1.8755896428958667E-13</v>
      </c>
      <c r="CN180" s="22">
        <f t="shared" si="172"/>
        <v>10.770714668983594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>
        <f>CT180*VLOOKUP('Données projet'!$B$13,Paramètres!$A$1:$I$89,3,0)*VLOOKUP('Données projet'!$B$13,Paramètres!$A$1:$I$89,5,0)</f>
        <v>0</v>
      </c>
      <c r="CV180" s="13" t="e">
        <f t="shared" si="173"/>
        <v>#NUM!</v>
      </c>
      <c r="CW180" s="20" t="e">
        <f t="shared" si="174"/>
        <v>#NUM!</v>
      </c>
      <c r="CX180" s="59" t="e">
        <f t="shared" si="122"/>
        <v>#NUM!</v>
      </c>
      <c r="CY180" s="59">
        <f ca="1">AVERAGE(OFFSET($CX$3,0,0,'Données projet'!$E$13+1,1))-AVERAGE(OFFSET($H$3,0,0,'Données projet'!$E$13+1,1))</f>
        <v>408.246209980743</v>
      </c>
      <c r="CZ180" s="59">
        <f t="shared" si="150"/>
        <v>394.10236303013903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>
        <f>EXP(-LN(2)/35)*DF179+(1-EXP(-LN(2)/35))/(LN(2)/35)*DB180*DC180*VLOOKUP('Données projet'!$B$13,Paramètres!$A$1:$I$89,3,0)*0.475*44/12</f>
        <v>8.3596566626429176</v>
      </c>
      <c r="DG180" s="21">
        <f>EXP(-LN(2)/25)*DG179+(1-EXP(-LN(2)/25))/(LN(2)/25)*Calculateur!DB180*Calculateur!DD180*VLOOKUP('Données projet'!$B$13,Paramètres!$A$1:$I$89,3,0)*0.475*44/12</f>
        <v>3.8277170077889489</v>
      </c>
      <c r="DH180" s="21">
        <f>EXP(-LN(2)/2)*DH179+(1-EXP(-LN(2)/2))/(LN(2)/2)*DB180*DE180*VLOOKUP('Données projet'!$B$13,Paramètres!$A$1:$I$89,3,0)*0.475*44/12</f>
        <v>1.7218527869207961E-13</v>
      </c>
      <c r="DI180" s="22">
        <f t="shared" si="175"/>
        <v>12.18737367043204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>
        <f>DO180*VLOOKUP('Données projet'!$B$14,Paramètres!$A$1:$I$89,3,0)*VLOOKUP('Données projet'!$B$14,Paramètres!$A$1:$I$89,5,0)</f>
        <v>0</v>
      </c>
      <c r="DQ180" s="13" t="e">
        <f t="shared" si="176"/>
        <v>#NUM!</v>
      </c>
      <c r="DR180" s="20" t="e">
        <f t="shared" si="177"/>
        <v>#NUM!</v>
      </c>
      <c r="DS180" s="59" t="e">
        <f t="shared" si="125"/>
        <v>#NUM!</v>
      </c>
      <c r="DT180" s="59">
        <f ca="1">AVERAGE(OFFSET($DS$3,0,0,'Données projet'!$E$14+1,1))-AVERAGE(OFFSET($H$3,0,0,'Données projet'!$E$14+1,1))</f>
        <v>371.07993287480366</v>
      </c>
      <c r="DU180" s="59">
        <f t="shared" si="152"/>
        <v>358.67120540290637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>
        <f>EXP(-LN(2)/35)*EA179+(1-EXP(-LN(2)/35))/(LN(2)/35)*DW180*DX180*VLOOKUP('Données projet'!$B$14,Paramètres!$A$1:$I$89,3,0)*0.475*44/12</f>
        <v>6.0556812077770328</v>
      </c>
      <c r="EB180" s="21">
        <f>EXP(-LN(2)/25)*EB179+(1-EXP(-LN(2)/25))/(LN(2)/25)*Calculateur!DW180*Calculateur!DY180*VLOOKUP('Données projet'!$B$14,Paramètres!$A$1:$I$89,3,0)*0.475*44/12</f>
        <v>2.7727734389306717</v>
      </c>
      <c r="EC180" s="21">
        <f>EXP(-LN(2)/2)*EC179+(1-EXP(-LN(2)/2))/(LN(2)/2)*DW180*DZ180*VLOOKUP('Données projet'!$B$14,Paramètres!$A$1:$I$89,3,0)*0.475*44/12</f>
        <v>1.5373685597507136E-13</v>
      </c>
      <c r="ED180" s="22">
        <f t="shared" si="178"/>
        <v>8.8284546467078595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45">
      <c r="A181" s="10">
        <f t="shared" si="161"/>
        <v>178</v>
      </c>
      <c r="B181" s="73">
        <f>'Scénario référence'!$B$16*5+'Scénario référence'!$B$17*0+'Scénario référence'!$B$18*5</f>
        <v>5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1">
        <f t="shared" si="140"/>
        <v>0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18.333333333333332</v>
      </c>
      <c r="H181" s="67">
        <f t="shared" si="110"/>
        <v>183.33333333333334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3.76000000000001</v>
      </c>
      <c r="N181" s="13">
        <f>IF('Données projet'!$A$36&gt;35,N180+M181-V180,IF(A181&lt;'Données projet'!$A$36,$K$205^A181,IF(A181='Données projet'!$A$36,'Données projet'!$B$36,N180+M181-V180)))</f>
        <v>264.04000000000082</v>
      </c>
      <c r="O181" s="13">
        <f>N181*VLOOKUP('Données projet'!$B$9,Paramètres!$A$1:$I$89,3,0)*VLOOKUP('Données projet'!$B$9,Paramètres!$A$1:$I$89,5,0)</f>
        <v>238.90339200000074</v>
      </c>
      <c r="P181" s="13">
        <f t="shared" si="141"/>
        <v>58.203527078995975</v>
      </c>
      <c r="Q181" s="20">
        <f t="shared" si="162"/>
        <v>517.46121739591933</v>
      </c>
      <c r="R181" s="59">
        <f t="shared" si="109"/>
        <v>806.7265209073995</v>
      </c>
      <c r="S181" s="59">
        <f ca="1">AVERAGE(OFFSET($R$3,0,0,'Données projet'!$E$9+1,1))-AVERAGE(OFFSET($H$3,0,0,'Données projet'!$E$9+1,1))</f>
        <v>681.47578137804555</v>
      </c>
      <c r="T181" s="59">
        <f t="shared" si="142"/>
        <v>300.88511065995885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111.74646201261029</v>
      </c>
      <c r="AA181" s="21">
        <f>EXP(-LN(2)/25)*AA180+(1-EXP(-LN(2)/25))/(LN(2)/25)*Calculateur!V181*Calculateur!X181*VLOOKUP('Données projet'!$B$9,Paramètres!$A$1:$I$89,3,0)*0.475*44/12</f>
        <v>22.88819730062205</v>
      </c>
      <c r="AB181" s="21">
        <f>EXP(-LN(2)/2)*AB180+(1-EXP(-LN(2)/2))/(LN(2)/2)*V181*Y181*VLOOKUP('Données projet'!$B$9,Paramètres!$A$1:$I$89,3,0)*0.475*44/12</f>
        <v>6.4444496956287116</v>
      </c>
      <c r="AC181" s="22">
        <f t="shared" si="163"/>
        <v>141.07910900886105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3.4106051316484809E-13</v>
      </c>
      <c r="AJ181" s="13">
        <f>AI181*VLOOKUP('Données projet'!$B$10,Paramètres!$A$1:$I$89,3,0)*VLOOKUP('Données projet'!$B$10,Paramètres!$A$1:$I$89,5,0)</f>
        <v>1.5961632016114892E-13</v>
      </c>
      <c r="AK181" s="13">
        <f t="shared" si="164"/>
        <v>2.2708641912150958E-12</v>
      </c>
      <c r="AL181" s="20">
        <f t="shared" si="165"/>
        <v>4.2330868906469593E-12</v>
      </c>
      <c r="AM181" s="59">
        <f t="shared" si="113"/>
        <v>289.26530351148438</v>
      </c>
      <c r="AN181" s="59">
        <f ca="1">AVERAGE(OFFSET($AM$3,0,0,'Données projet'!$E$10+1,1))-AVERAGE(OFFSET($H$3,0,0,'Données projet'!$E$10+1,1))</f>
        <v>325.45940224919184</v>
      </c>
      <c r="AO181" s="59">
        <f t="shared" si="144"/>
        <v>256.30046621034876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33.46131938005631</v>
      </c>
      <c r="AV181" s="21">
        <f>EXP(-LN(2)/25)*AV180+(1-EXP(-LN(2)/25))/(LN(2)/25)*Calculateur!AQ181*Calculateur!AS181*VLOOKUP('Données projet'!$B$10,Paramètres!$A$1:$I$89,3,0)*0.475*44/12</f>
        <v>6.1830013129333139</v>
      </c>
      <c r="AW181" s="21">
        <f>EXP(-LN(2)/2)*AW180+(1-EXP(-LN(2)/2))/(LN(2)/2)*AQ181*AT181*VLOOKUP('Données projet'!$B$10,Paramètres!$A$1:$I$89,3,0)*0.475*44/12</f>
        <v>1.2960114354229228E-9</v>
      </c>
      <c r="AX181" s="21">
        <f t="shared" si="166"/>
        <v>39.644320694285632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7.688333333333337</v>
      </c>
      <c r="BD181" s="12">
        <f>IF('Données projet'!$A$88&gt;35,BD180+BC181-BL180,IF(A181&lt;'Données projet'!$A$88,$BA$205^A181,IF(A181='Données projet'!$A$88,'Données projet'!$B$88,BD180+BC181-BL180)))</f>
        <v>441.16333333333301</v>
      </c>
      <c r="BE181" s="13">
        <f>BD181*VLOOKUP('Données projet'!$B$11,Paramètres!$A$1:$I$89,3,0)*VLOOKUP('Données projet'!$B$11,Paramètres!$A$1:$I$89,5,0)</f>
        <v>447.33961999999968</v>
      </c>
      <c r="BF181" s="13">
        <f t="shared" si="167"/>
        <v>101.31068228028938</v>
      </c>
      <c r="BG181" s="20">
        <f t="shared" si="168"/>
        <v>955.56594313817016</v>
      </c>
      <c r="BH181" s="59">
        <f t="shared" si="116"/>
        <v>1244.8312466496504</v>
      </c>
      <c r="BI181" s="59">
        <f ca="1">AVERAGE(OFFSET($BH$3,0,0,'Données projet'!$E$11+1,1))-AVERAGE(OFFSET($H$3,0,0,'Données projet'!$E$11+1,1))</f>
        <v>580.02848304986492</v>
      </c>
      <c r="BJ181" s="59">
        <f t="shared" si="146"/>
        <v>281.68891895586728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41.322590772294689</v>
      </c>
      <c r="BQ181" s="21">
        <f>EXP(-LN(2)/25)*BQ180+(1-EXP(-LN(2)/25))/(LN(2)/25)*Calculateur!BL181*Calculateur!BN181*VLOOKUP('Données projet'!$B$11,Paramètres!$A$1:$I$89,3,0)*0.475*44/12</f>
        <v>17.615891385729846</v>
      </c>
      <c r="BR181" s="21">
        <f>EXP(-LN(2)/2)*BR180+(1-EXP(-LN(2)/2))/(LN(2)/2)*BL181*BO181*VLOOKUP('Données projet'!$B$11,Paramètres!$A$1:$I$89,3,0)*0.475*44/12</f>
        <v>4.5061798604218766E-5</v>
      </c>
      <c r="BS181" s="22">
        <f t="shared" si="169"/>
        <v>58.938527219823136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>
        <f>BY181*VLOOKUP('Données projet'!$B$12,Paramètres!$A$1:$I$89,3,0)*VLOOKUP('Données projet'!$B$12,Paramètres!$A$1:$I$89,5,0)</f>
        <v>0</v>
      </c>
      <c r="CA181" s="13" t="e">
        <f t="shared" si="170"/>
        <v>#NUM!</v>
      </c>
      <c r="CB181" s="20" t="e">
        <f t="shared" si="171"/>
        <v>#NUM!</v>
      </c>
      <c r="CC181" s="59" t="e">
        <f t="shared" si="119"/>
        <v>#NUM!</v>
      </c>
      <c r="CD181" s="59">
        <f ca="1">AVERAGE(OFFSET($CC$3,0,0,'Données projet'!$E$12+1,1))-AVERAGE(OFFSET($H$3,0,0,'Données projet'!$E$12+1,1))</f>
        <v>439.15394290667945</v>
      </c>
      <c r="CE181" s="59">
        <f t="shared" si="148"/>
        <v>423.56554025351068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7.2430582513298907</v>
      </c>
      <c r="CL181" s="21">
        <f>EXP(-LN(2)/25)*CL180+(1-EXP(-LN(2)/25))/(LN(2)/25)*Calculateur!CG181*Calculateur!CI181*VLOOKUP('Données projet'!$B$12,Paramètres!$A$1:$I$89,3,0)*0.475*44/12</f>
        <v>3.29028120018374</v>
      </c>
      <c r="CM181" s="21">
        <f>EXP(-LN(2)/2)*CM180+(1-EXP(-LN(2)/2))/(LN(2)/2)*CG181*CJ181*VLOOKUP('Données projet'!$B$12,Paramètres!$A$1:$I$89,3,0)*0.475*44/12</f>
        <v>1.3262421552149224E-13</v>
      </c>
      <c r="CN181" s="22">
        <f t="shared" si="172"/>
        <v>10.533339451513763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>
        <f>CT181*VLOOKUP('Données projet'!$B$13,Paramètres!$A$1:$I$89,3,0)*VLOOKUP('Données projet'!$B$13,Paramètres!$A$1:$I$89,5,0)</f>
        <v>0</v>
      </c>
      <c r="CV181" s="13" t="e">
        <f t="shared" si="173"/>
        <v>#NUM!</v>
      </c>
      <c r="CW181" s="20" t="e">
        <f t="shared" si="174"/>
        <v>#NUM!</v>
      </c>
      <c r="CX181" s="59" t="e">
        <f t="shared" si="122"/>
        <v>#NUM!</v>
      </c>
      <c r="CY181" s="59">
        <f ca="1">AVERAGE(OFFSET($CX$3,0,0,'Données projet'!$E$13+1,1))-AVERAGE(OFFSET($H$3,0,0,'Données projet'!$E$13+1,1))</f>
        <v>408.246209980743</v>
      </c>
      <c r="CZ181" s="59">
        <f t="shared" si="150"/>
        <v>394.10236303013903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>
        <f>EXP(-LN(2)/35)*DF180+(1-EXP(-LN(2)/35))/(LN(2)/35)*DB181*DC181*VLOOKUP('Données projet'!$B$13,Paramètres!$A$1:$I$89,3,0)*0.475*44/12</f>
        <v>8.1957288943755806</v>
      </c>
      <c r="DG181" s="21">
        <f>EXP(-LN(2)/25)*DG180+(1-EXP(-LN(2)/25))/(LN(2)/25)*Calculateur!DB181*Calculateur!DD181*VLOOKUP('Données projet'!$B$13,Paramètres!$A$1:$I$89,3,0)*0.475*44/12</f>
        <v>3.7230478849200708</v>
      </c>
      <c r="DH181" s="21">
        <f>EXP(-LN(2)/2)*DH180+(1-EXP(-LN(2)/2))/(LN(2)/2)*DB181*DE181*VLOOKUP('Données projet'!$B$13,Paramètres!$A$1:$I$89,3,0)*0.475*44/12</f>
        <v>1.2175337818366504E-13</v>
      </c>
      <c r="DI181" s="22">
        <f t="shared" si="175"/>
        <v>11.918776779295774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>
        <f>DO181*VLOOKUP('Données projet'!$B$14,Paramètres!$A$1:$I$89,3,0)*VLOOKUP('Données projet'!$B$14,Paramètres!$A$1:$I$89,5,0)</f>
        <v>0</v>
      </c>
      <c r="DQ181" s="13" t="e">
        <f t="shared" si="176"/>
        <v>#NUM!</v>
      </c>
      <c r="DR181" s="20" t="e">
        <f t="shared" si="177"/>
        <v>#NUM!</v>
      </c>
      <c r="DS181" s="59" t="e">
        <f t="shared" si="125"/>
        <v>#NUM!</v>
      </c>
      <c r="DT181" s="59">
        <f ca="1">AVERAGE(OFFSET($DS$3,0,0,'Données projet'!$E$14+1,1))-AVERAGE(OFFSET($H$3,0,0,'Données projet'!$E$14+1,1))</f>
        <v>371.07993287480366</v>
      </c>
      <c r="DU181" s="59">
        <f t="shared" si="152"/>
        <v>358.67120540290637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>
        <f>EXP(-LN(2)/35)*EA180+(1-EXP(-LN(2)/35))/(LN(2)/35)*DW181*DX181*VLOOKUP('Données projet'!$B$14,Paramètres!$A$1:$I$89,3,0)*0.475*44/12</f>
        <v>5.9369329928933494</v>
      </c>
      <c r="EB181" s="21">
        <f>EXP(-LN(2)/25)*EB180+(1-EXP(-LN(2)/25))/(LN(2)/25)*Calculateur!DW181*Calculateur!DY181*VLOOKUP('Données projet'!$B$14,Paramètres!$A$1:$I$89,3,0)*0.475*44/12</f>
        <v>2.6969518034292945</v>
      </c>
      <c r="EC181" s="21">
        <f>EXP(-LN(2)/2)*EC180+(1-EXP(-LN(2)/2))/(LN(2)/2)*DW181*DZ181*VLOOKUP('Données projet'!$B$14,Paramètres!$A$1:$I$89,3,0)*0.475*44/12</f>
        <v>1.0870837337827256E-13</v>
      </c>
      <c r="ED181" s="22">
        <f t="shared" si="178"/>
        <v>8.6338847963227519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45">
      <c r="A182" s="10">
        <f t="shared" si="161"/>
        <v>179</v>
      </c>
      <c r="B182" s="73">
        <f>'Scénario référence'!$B$16*5+'Scénario référence'!$B$17*0+'Scénario référence'!$B$18*5</f>
        <v>5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1">
        <f t="shared" si="140"/>
        <v>0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18.333333333333332</v>
      </c>
      <c r="H182" s="67">
        <f t="shared" si="110"/>
        <v>183.33333333333334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3.76000000000001</v>
      </c>
      <c r="N182" s="13">
        <f>IF('Données projet'!$A$36&gt;35,N181+M182-V181,IF(A182&lt;'Données projet'!$A$36,$K$205^A182,IF(A182='Données projet'!$A$36,'Données projet'!$B$36,N181+M182-V181)))</f>
        <v>267.80000000000081</v>
      </c>
      <c r="O182" s="13">
        <f>N182*VLOOKUP('Données projet'!$B$9,Paramètres!$A$1:$I$89,3,0)*VLOOKUP('Données projet'!$B$9,Paramètres!$A$1:$I$89,5,0)</f>
        <v>242.30544000000074</v>
      </c>
      <c r="P182" s="13">
        <f t="shared" si="141"/>
        <v>58.935280802002858</v>
      </c>
      <c r="Q182" s="20">
        <f t="shared" si="162"/>
        <v>524.66092206348958</v>
      </c>
      <c r="R182" s="59">
        <f t="shared" si="109"/>
        <v>813.99679679762676</v>
      </c>
      <c r="S182" s="59">
        <f ca="1">AVERAGE(OFFSET($R$3,0,0,'Données projet'!$E$9+1,1))-AVERAGE(OFFSET($H$3,0,0,'Données projet'!$E$9+1,1))</f>
        <v>681.47578137804555</v>
      </c>
      <c r="T182" s="59">
        <f t="shared" si="142"/>
        <v>300.88511065995885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109.55518205115473</v>
      </c>
      <c r="AA182" s="21">
        <f>EXP(-LN(2)/25)*AA181+(1-EXP(-LN(2)/25))/(LN(2)/25)*Calculateur!V182*Calculateur!X182*VLOOKUP('Données projet'!$B$9,Paramètres!$A$1:$I$89,3,0)*0.475*44/12</f>
        <v>22.262318341798554</v>
      </c>
      <c r="AB182" s="21">
        <f>EXP(-LN(2)/2)*AB181+(1-EXP(-LN(2)/2))/(LN(2)/2)*V182*Y182*VLOOKUP('Données projet'!$B$9,Paramètres!$A$1:$I$89,3,0)*0.475*44/12</f>
        <v>4.5569140807946447</v>
      </c>
      <c r="AC182" s="22">
        <f t="shared" si="163"/>
        <v>136.37441447374795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3.4106051316484809E-13</v>
      </c>
      <c r="AJ182" s="13">
        <f>AI182*VLOOKUP('Données projet'!$B$10,Paramètres!$A$1:$I$89,3,0)*VLOOKUP('Données projet'!$B$10,Paramètres!$A$1:$I$89,5,0)</f>
        <v>1.5961632016114892E-13</v>
      </c>
      <c r="AK182" s="13">
        <f t="shared" si="164"/>
        <v>2.2708641912150958E-12</v>
      </c>
      <c r="AL182" s="20">
        <f t="shared" si="165"/>
        <v>4.2330868906469593E-12</v>
      </c>
      <c r="AM182" s="59">
        <f t="shared" si="113"/>
        <v>289.33587473414133</v>
      </c>
      <c r="AN182" s="59">
        <f ca="1">AVERAGE(OFFSET($AM$3,0,0,'Données projet'!$E$10+1,1))-AVERAGE(OFFSET($H$3,0,0,'Données projet'!$E$10+1,1))</f>
        <v>325.45940224919184</v>
      </c>
      <c r="AO182" s="59">
        <f t="shared" si="144"/>
        <v>256.30046621034876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32.805163316402968</v>
      </c>
      <c r="AV182" s="21">
        <f>EXP(-LN(2)/25)*AV181+(1-EXP(-LN(2)/25))/(LN(2)/25)*Calculateur!AQ182*Calculateur!AS182*VLOOKUP('Données projet'!$B$10,Paramètres!$A$1:$I$89,3,0)*0.475*44/12</f>
        <v>6.013926816881245</v>
      </c>
      <c r="AW182" s="21">
        <f>EXP(-LN(2)/2)*AW181+(1-EXP(-LN(2)/2))/(LN(2)/2)*AQ182*AT182*VLOOKUP('Données projet'!$B$10,Paramètres!$A$1:$I$89,3,0)*0.475*44/12</f>
        <v>9.1641847448286008E-10</v>
      </c>
      <c r="AX182" s="21">
        <f t="shared" si="166"/>
        <v>38.819090134200628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7.688333333333337</v>
      </c>
      <c r="BD182" s="12">
        <f>IF('Données projet'!$A$88&gt;35,BD181+BC182-BL181,IF(A182&lt;'Données projet'!$A$88,$BA$205^A182,IF(A182='Données projet'!$A$88,'Données projet'!$B$88,BD181+BC182-BL181)))</f>
        <v>448.85166666666635</v>
      </c>
      <c r="BE182" s="13">
        <f>BD182*VLOOKUP('Données projet'!$B$11,Paramètres!$A$1:$I$89,3,0)*VLOOKUP('Données projet'!$B$11,Paramètres!$A$1:$I$89,5,0)</f>
        <v>455.13558999999975</v>
      </c>
      <c r="BF182" s="13">
        <f t="shared" si="167"/>
        <v>102.86917887604061</v>
      </c>
      <c r="BG182" s="20">
        <f t="shared" si="168"/>
        <v>971.85830579243668</v>
      </c>
      <c r="BH182" s="59">
        <f t="shared" si="116"/>
        <v>1261.1941805265737</v>
      </c>
      <c r="BI182" s="59">
        <f ca="1">AVERAGE(OFFSET($BH$3,0,0,'Données projet'!$E$11+1,1))-AVERAGE(OFFSET($H$3,0,0,'Données projet'!$E$11+1,1))</f>
        <v>580.02848304986492</v>
      </c>
      <c r="BJ182" s="59">
        <f t="shared" si="146"/>
        <v>281.68891895586728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40.512279971541645</v>
      </c>
      <c r="BQ182" s="21">
        <f>EXP(-LN(2)/25)*BQ181+(1-EXP(-LN(2)/25))/(LN(2)/25)*Calculateur!BL182*Calculateur!BN182*VLOOKUP('Données projet'!$B$11,Paramètres!$A$1:$I$89,3,0)*0.475*44/12</f>
        <v>17.134183909407597</v>
      </c>
      <c r="BR182" s="21">
        <f>EXP(-LN(2)/2)*BR181+(1-EXP(-LN(2)/2))/(LN(2)/2)*BL182*BO182*VLOOKUP('Données projet'!$B$11,Paramètres!$A$1:$I$89,3,0)*0.475*44/12</f>
        <v>3.1863503365505592E-5</v>
      </c>
      <c r="BS182" s="22">
        <f t="shared" si="169"/>
        <v>57.646495744452608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>
        <f>BY182*VLOOKUP('Données projet'!$B$12,Paramètres!$A$1:$I$89,3,0)*VLOOKUP('Données projet'!$B$12,Paramètres!$A$1:$I$89,5,0)</f>
        <v>0</v>
      </c>
      <c r="CA182" s="13" t="e">
        <f t="shared" si="170"/>
        <v>#NUM!</v>
      </c>
      <c r="CB182" s="20" t="e">
        <f t="shared" si="171"/>
        <v>#NUM!</v>
      </c>
      <c r="CC182" s="59" t="e">
        <f t="shared" si="119"/>
        <v>#NUM!</v>
      </c>
      <c r="CD182" s="59">
        <f ca="1">AVERAGE(OFFSET($CC$3,0,0,'Données projet'!$E$12+1,1))-AVERAGE(OFFSET($H$3,0,0,'Données projet'!$E$12+1,1))</f>
        <v>439.15394290667945</v>
      </c>
      <c r="CE182" s="59">
        <f t="shared" si="148"/>
        <v>423.56554025351068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7.1010262968506206</v>
      </c>
      <c r="CL182" s="21">
        <f>EXP(-LN(2)/25)*CL181+(1-EXP(-LN(2)/25))/(LN(2)/25)*Calculateur!CG182*Calculateur!CI182*VLOOKUP('Données projet'!$B$12,Paramètres!$A$1:$I$89,3,0)*0.475*44/12</f>
        <v>3.2003082877363473</v>
      </c>
      <c r="CM182" s="21">
        <f>EXP(-LN(2)/2)*CM181+(1-EXP(-LN(2)/2))/(LN(2)/2)*CG182*CJ182*VLOOKUP('Données projet'!$B$12,Paramètres!$A$1:$I$89,3,0)*0.475*44/12</f>
        <v>9.3779482144793334E-14</v>
      </c>
      <c r="CN182" s="22">
        <f t="shared" si="172"/>
        <v>10.301334584587062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>
        <f>CT182*VLOOKUP('Données projet'!$B$13,Paramètres!$A$1:$I$89,3,0)*VLOOKUP('Données projet'!$B$13,Paramètres!$A$1:$I$89,5,0)</f>
        <v>0</v>
      </c>
      <c r="CV182" s="13" t="e">
        <f t="shared" si="173"/>
        <v>#NUM!</v>
      </c>
      <c r="CW182" s="20" t="e">
        <f t="shared" si="174"/>
        <v>#NUM!</v>
      </c>
      <c r="CX182" s="59" t="e">
        <f t="shared" si="122"/>
        <v>#NUM!</v>
      </c>
      <c r="CY182" s="59">
        <f ca="1">AVERAGE(OFFSET($CX$3,0,0,'Données projet'!$E$13+1,1))-AVERAGE(OFFSET($H$3,0,0,'Données projet'!$E$13+1,1))</f>
        <v>408.246209980743</v>
      </c>
      <c r="CZ182" s="59">
        <f t="shared" si="150"/>
        <v>394.10236303013903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>
        <f>EXP(-LN(2)/35)*DF181+(1-EXP(-LN(2)/35))/(LN(2)/35)*DB182*DC182*VLOOKUP('Données projet'!$B$13,Paramètres!$A$1:$I$89,3,0)*0.475*44/12</f>
        <v>8.0350156496579004</v>
      </c>
      <c r="DG182" s="21">
        <f>EXP(-LN(2)/25)*DG181+(1-EXP(-LN(2)/25))/(LN(2)/25)*Calculateur!DB182*Calculateur!DD182*VLOOKUP('Données projet'!$B$13,Paramètres!$A$1:$I$89,3,0)*0.475*44/12</f>
        <v>3.6212409447203524</v>
      </c>
      <c r="DH182" s="21">
        <f>EXP(-LN(2)/2)*DH181+(1-EXP(-LN(2)/2))/(LN(2)/2)*DB182*DE182*VLOOKUP('Données projet'!$B$13,Paramètres!$A$1:$I$89,3,0)*0.475*44/12</f>
        <v>8.6092639346039807E-14</v>
      </c>
      <c r="DI182" s="22">
        <f t="shared" si="175"/>
        <v>11.656256594378338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>
        <f>DO182*VLOOKUP('Données projet'!$B$14,Paramètres!$A$1:$I$89,3,0)*VLOOKUP('Données projet'!$B$14,Paramètres!$A$1:$I$89,5,0)</f>
        <v>0</v>
      </c>
      <c r="DQ182" s="13" t="e">
        <f t="shared" si="176"/>
        <v>#NUM!</v>
      </c>
      <c r="DR182" s="20" t="e">
        <f t="shared" si="177"/>
        <v>#NUM!</v>
      </c>
      <c r="DS182" s="59" t="e">
        <f t="shared" si="125"/>
        <v>#NUM!</v>
      </c>
      <c r="DT182" s="59">
        <f ca="1">AVERAGE(OFFSET($DS$3,0,0,'Données projet'!$E$14+1,1))-AVERAGE(OFFSET($H$3,0,0,'Données projet'!$E$14+1,1))</f>
        <v>371.07993287480366</v>
      </c>
      <c r="DU182" s="59">
        <f t="shared" si="152"/>
        <v>358.67120540290637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>
        <f>EXP(-LN(2)/35)*EA181+(1-EXP(-LN(2)/35))/(LN(2)/35)*DW182*DX182*VLOOKUP('Données projet'!$B$14,Paramètres!$A$1:$I$89,3,0)*0.475*44/12</f>
        <v>5.8205133580742752</v>
      </c>
      <c r="EB182" s="21">
        <f>EXP(-LN(2)/25)*EB181+(1-EXP(-LN(2)/25))/(LN(2)/25)*Calculateur!DW182*Calculateur!DY182*VLOOKUP('Données projet'!$B$14,Paramètres!$A$1:$I$89,3,0)*0.475*44/12</f>
        <v>2.6232035145379893</v>
      </c>
      <c r="EC182" s="21">
        <f>EXP(-LN(2)/2)*EC181+(1-EXP(-LN(2)/2))/(LN(2)/2)*DW182*DZ182*VLOOKUP('Données projet'!$B$14,Paramètres!$A$1:$I$89,3,0)*0.475*44/12</f>
        <v>7.686842798753568E-14</v>
      </c>
      <c r="ED182" s="22">
        <f t="shared" si="178"/>
        <v>8.4437168726123399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45">
      <c r="A183" s="10">
        <f t="shared" si="161"/>
        <v>180</v>
      </c>
      <c r="B183" s="73">
        <f>'Scénario référence'!$B$16*5+'Scénario référence'!$B$17*0+'Scénario référence'!$B$18*5</f>
        <v>5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1">
        <f t="shared" si="140"/>
        <v>0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18.333333333333332</v>
      </c>
      <c r="H183" s="67">
        <f t="shared" si="110"/>
        <v>183.33333333333334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>
        <f>VLOOKUP(A183,'Données projet'!$A$35:$I$55,2,0)</f>
        <v>271.56</v>
      </c>
      <c r="L183" s="12">
        <f>VLOOKUP(A183,'Données projet'!$A$35:$I$55,9,0)</f>
        <v>3.76000000000001</v>
      </c>
      <c r="M183" s="12">
        <f t="array" ref="M183">INDEX(L:L,MIN(IF(ISNUMBER(L183:L379),ROW(L183:L379),"")))</f>
        <v>3.76000000000001</v>
      </c>
      <c r="N183" s="13">
        <f>IF('Données projet'!$A$36&gt;35,N182+M183-V182,IF(A183&lt;'Données projet'!$A$36,$K$205^A183,IF(A183='Données projet'!$A$36,'Données projet'!$B$36,N182+M183-V182)))</f>
        <v>271.5600000000008</v>
      </c>
      <c r="O183" s="13">
        <f>N183*VLOOKUP('Données projet'!$B$9,Paramètres!$A$1:$I$89,3,0)*VLOOKUP('Données projet'!$B$9,Paramètres!$A$1:$I$89,5,0)</f>
        <v>245.70748800000069</v>
      </c>
      <c r="P183" s="13">
        <f t="shared" si="141"/>
        <v>59.665839559289225</v>
      </c>
      <c r="Q183" s="20">
        <f t="shared" si="162"/>
        <v>531.85854549909652</v>
      </c>
      <c r="R183" s="59">
        <f t="shared" si="109"/>
        <v>821.26376720295116</v>
      </c>
      <c r="S183" s="59">
        <f ca="1">AVERAGE(OFFSET($R$3,0,0,'Données projet'!$E$9+1,1))-AVERAGE(OFFSET($H$3,0,0,'Données projet'!$E$9+1,1))</f>
        <v>681.47578137804555</v>
      </c>
      <c r="T183" s="59">
        <f t="shared" si="142"/>
        <v>300.88511065995885</v>
      </c>
      <c r="U183" s="15">
        <f>IF(ISNA(VLOOKUP(A183,'Données projet'!$A$35:$I$55,3,0)),0,VLOOKUP(A183,'Données projet'!$A$35:$I$55,3,0))</f>
        <v>17</v>
      </c>
      <c r="V183" s="15">
        <f>IF(ISNA(VLOOKUP(A183,'Données projet'!$A$35:$I$55,4,0)),0,VLOOKUP(A183,'Données projet'!$A$35:$I$55,4,0))</f>
        <v>86.97</v>
      </c>
      <c r="W183" s="16">
        <f>IF(ISNA(VLOOKUP(A183,'Données projet'!$A$35:$I$55,5,0)),0%,VLOOKUP(A183,'Données projet'!$A$35:$I$55,5,0)*VLOOKUP('Données projet'!$B$9,Paramètres!$A$1:$I$89,7,0))</f>
        <v>0.19350000000000001</v>
      </c>
      <c r="X183" s="16">
        <f>IF(ISNA(VLOOKUP(A183,'Données projet'!$A$35:$I$55,6,0)),0%,VLOOKUP(A183,'Données projet'!$A$35:$I$55,6,0)*VLOOKUP('Données projet'!$B$9,Paramètres!$A$1:$I$89,7,0))</f>
        <v>2.1500000000000002E-2</v>
      </c>
      <c r="Y183" s="16">
        <f>IF(ISNA(VLOOKUP(A183,'Données projet'!$A$35:$I$55,7,0)),0%,VLOOKUP(A183,'Données projet'!$A$35:$I$55,7,0))</f>
        <v>0.05</v>
      </c>
      <c r="Z183" s="21">
        <f>EXP(-LN(2)/35)*Z182+(1-EXP(-LN(2)/35))/(LN(2)/35)*V183*W183*VLOOKUP('Données projet'!$B$9,Paramètres!$A$1:$I$89,3,0)*0.475*44/12</f>
        <v>124.23943061149308</v>
      </c>
      <c r="AA183" s="21">
        <f>EXP(-LN(2)/25)*AA182+(1-EXP(-LN(2)/25))/(LN(2)/25)*Calculateur!V183*Calculateur!X183*VLOOKUP('Données projet'!$B$9,Paramètres!$A$1:$I$89,3,0)*0.475*44/12</f>
        <v>23.516474371613818</v>
      </c>
      <c r="AB183" s="21">
        <f>EXP(-LN(2)/2)*AB182+(1-EXP(-LN(2)/2))/(LN(2)/2)*V183*Y183*VLOOKUP('Données projet'!$B$9,Paramètres!$A$1:$I$89,3,0)*0.475*44/12</f>
        <v>6.9345530057429094</v>
      </c>
      <c r="AC183" s="22">
        <f t="shared" si="163"/>
        <v>154.6904579888498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3.4106051316484809E-13</v>
      </c>
      <c r="AJ183" s="13">
        <f>AI183*VLOOKUP('Données projet'!$B$10,Paramètres!$A$1:$I$89,3,0)*VLOOKUP('Données projet'!$B$10,Paramètres!$A$1:$I$89,5,0)</f>
        <v>1.5961632016114892E-13</v>
      </c>
      <c r="AK183" s="13">
        <f t="shared" si="164"/>
        <v>2.2708641912150958E-12</v>
      </c>
      <c r="AL183" s="20">
        <f t="shared" si="165"/>
        <v>4.2330868906469593E-12</v>
      </c>
      <c r="AM183" s="59">
        <f t="shared" si="113"/>
        <v>289.40522170385884</v>
      </c>
      <c r="AN183" s="59">
        <f ca="1">AVERAGE(OFFSET($AM$3,0,0,'Données projet'!$E$10+1,1))-AVERAGE(OFFSET($H$3,0,0,'Données projet'!$E$10+1,1))</f>
        <v>325.45940224919184</v>
      </c>
      <c r="AO183" s="59">
        <f t="shared" si="144"/>
        <v>256.30046621034876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32.16187407294219</v>
      </c>
      <c r="AV183" s="21">
        <f>EXP(-LN(2)/25)*AV182+(1-EXP(-LN(2)/25))/(LN(2)/25)*Calculateur!AQ183*Calculateur!AS183*VLOOKUP('Données projet'!$B$10,Paramètres!$A$1:$I$89,3,0)*0.475*44/12</f>
        <v>5.849475671814961</v>
      </c>
      <c r="AW183" s="21">
        <f>EXP(-LN(2)/2)*AW182+(1-EXP(-LN(2)/2))/(LN(2)/2)*AQ183*AT183*VLOOKUP('Données projet'!$B$10,Paramètres!$A$1:$I$89,3,0)*0.475*44/12</f>
        <v>6.480057177114615E-10</v>
      </c>
      <c r="AX183" s="21">
        <f t="shared" si="166"/>
        <v>38.011349745405163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>
        <f>VLOOKUP(A183,'Données projet'!$A$87:$I$107,2,0)</f>
        <v>456.54</v>
      </c>
      <c r="BB183" s="12">
        <f>VLOOKUP(A183,'Données projet'!$A$87:$I$107,9,0)</f>
        <v>7.688333333333337</v>
      </c>
      <c r="BC183" s="12">
        <f t="array" ref="BC183">INDEX(BB:BB,MIN(IF(ISNUMBER(BB183:BB379),ROW(BB183:BB379),"")))</f>
        <v>7.688333333333337</v>
      </c>
      <c r="BD183" s="12">
        <f>IF('Données projet'!$A$88&gt;35,BD182+BC183-BL182,IF(A183&lt;'Données projet'!$A$88,$BA$205^A183,IF(A183='Données projet'!$A$88,'Données projet'!$B$88,BD182+BC183-BL182)))</f>
        <v>456.53999999999968</v>
      </c>
      <c r="BE183" s="13">
        <f>BD183*VLOOKUP('Données projet'!$B$11,Paramètres!$A$1:$I$89,3,0)*VLOOKUP('Données projet'!$B$11,Paramètres!$A$1:$I$89,5,0)</f>
        <v>462.93155999999971</v>
      </c>
      <c r="BF183" s="13">
        <f t="shared" si="167"/>
        <v>104.42457107106746</v>
      </c>
      <c r="BG183" s="20">
        <f t="shared" si="168"/>
        <v>988.145261615442</v>
      </c>
      <c r="BH183" s="59">
        <f t="shared" si="116"/>
        <v>1277.5504833192967</v>
      </c>
      <c r="BI183" s="59">
        <f ca="1">AVERAGE(OFFSET($BH$3,0,0,'Données projet'!$E$11+1,1))-AVERAGE(OFFSET($H$3,0,0,'Données projet'!$E$11+1,1))</f>
        <v>580.02848304986492</v>
      </c>
      <c r="BJ183" s="59">
        <f t="shared" si="146"/>
        <v>281.68891895586728</v>
      </c>
      <c r="BK183" s="15">
        <f>IF(ISNA(VLOOKUP(A183,'Données projet'!$A$87:$I$107,3,0)),0,VLOOKUP(A183,'Données projet'!$A$87:$I$107,3,0))</f>
        <v>13</v>
      </c>
      <c r="BL183" s="15">
        <f>IF(ISNA(VLOOKUP(A183,'Données projet'!$A$87:$I$107,4,0)),0,VLOOKUP(A183,'Données projet'!$A$87:$I$107,4,0))</f>
        <v>175.59000000000003</v>
      </c>
      <c r="BM183" s="16">
        <f>IF(ISNA(VLOOKUP(A183,'Données projet'!$A$87:$I$107,5,0)),0%,VLOOKUP(A183,'Données projet'!$A$87:$I$107,5,0)*VLOOKUP('Données projet'!$B$11,Paramètres!$A$1:$I$89,7,0))</f>
        <v>0.215</v>
      </c>
      <c r="BN183" s="16">
        <f>IF(ISNA(VLOOKUP(A183,'Données projet'!$A$87:$I$107,6,0)),0%,VLOOKUP(A183,'Données projet'!$A$87:$I$107,6,0)*VLOOKUP('Données projet'!$B$11,Paramètres!$A$1:$I$89,7,0))</f>
        <v>8.6000000000000007E-2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82.035680546187592</v>
      </c>
      <c r="BQ183" s="21">
        <f>EXP(-LN(2)/25)*BQ182+(1-EXP(-LN(2)/25))/(LN(2)/25)*Calculateur!BL183*Calculateur!BN183*VLOOKUP('Données projet'!$B$11,Paramètres!$A$1:$I$89,3,0)*0.475*44/12</f>
        <v>33.526128863976865</v>
      </c>
      <c r="BR183" s="21">
        <f>EXP(-LN(2)/2)*BR182+(1-EXP(-LN(2)/2))/(LN(2)/2)*BL183*BO183*VLOOKUP('Données projet'!$B$11,Paramètres!$A$1:$I$89,3,0)*0.475*44/12</f>
        <v>2.2530899302109383E-5</v>
      </c>
      <c r="BS183" s="22">
        <f t="shared" si="169"/>
        <v>115.56183194106376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>
        <f>BY183*VLOOKUP('Données projet'!$B$12,Paramètres!$A$1:$I$89,3,0)*VLOOKUP('Données projet'!$B$12,Paramètres!$A$1:$I$89,5,0)</f>
        <v>0</v>
      </c>
      <c r="CA183" s="13" t="e">
        <f t="shared" si="170"/>
        <v>#NUM!</v>
      </c>
      <c r="CB183" s="20" t="e">
        <f t="shared" si="171"/>
        <v>#NUM!</v>
      </c>
      <c r="CC183" s="59" t="e">
        <f t="shared" si="119"/>
        <v>#NUM!</v>
      </c>
      <c r="CD183" s="59">
        <f ca="1">AVERAGE(OFFSET($CC$3,0,0,'Données projet'!$E$12+1,1))-AVERAGE(OFFSET($H$3,0,0,'Données projet'!$E$12+1,1))</f>
        <v>439.15394290667945</v>
      </c>
      <c r="CE183" s="59">
        <f t="shared" si="148"/>
        <v>423.56554025351068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6.9617795023677509</v>
      </c>
      <c r="CL183" s="21">
        <f>EXP(-LN(2)/25)*CL182+(1-EXP(-LN(2)/25))/(LN(2)/25)*Calculateur!CG183*Calculateur!CI183*VLOOKUP('Données projet'!$B$12,Paramètres!$A$1:$I$89,3,0)*0.475*44/12</f>
        <v>3.1127956893112985</v>
      </c>
      <c r="CM183" s="21">
        <f>EXP(-LN(2)/2)*CM182+(1-EXP(-LN(2)/2))/(LN(2)/2)*CG183*CJ183*VLOOKUP('Données projet'!$B$12,Paramètres!$A$1:$I$89,3,0)*0.475*44/12</f>
        <v>6.631210776074612E-14</v>
      </c>
      <c r="CN183" s="22">
        <f t="shared" si="172"/>
        <v>10.074575191679115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>
        <f>CT183*VLOOKUP('Données projet'!$B$13,Paramètres!$A$1:$I$89,3,0)*VLOOKUP('Données projet'!$B$13,Paramètres!$A$1:$I$89,5,0)</f>
        <v>0</v>
      </c>
      <c r="CV183" s="13" t="e">
        <f t="shared" si="173"/>
        <v>#NUM!</v>
      </c>
      <c r="CW183" s="20" t="e">
        <f t="shared" si="174"/>
        <v>#NUM!</v>
      </c>
      <c r="CX183" s="59" t="e">
        <f t="shared" si="122"/>
        <v>#NUM!</v>
      </c>
      <c r="CY183" s="59">
        <f ca="1">AVERAGE(OFFSET($CX$3,0,0,'Données projet'!$E$13+1,1))-AVERAGE(OFFSET($H$3,0,0,'Données projet'!$E$13+1,1))</f>
        <v>408.246209980743</v>
      </c>
      <c r="CZ183" s="59">
        <f t="shared" si="150"/>
        <v>394.10236303013903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>
        <f>EXP(-LN(2)/35)*DF182+(1-EXP(-LN(2)/35))/(LN(2)/35)*DB183*DC183*VLOOKUP('Données projet'!$B$13,Paramètres!$A$1:$I$89,3,0)*0.475*44/12</f>
        <v>7.8774538936437342</v>
      </c>
      <c r="DG183" s="21">
        <f>EXP(-LN(2)/25)*DG182+(1-EXP(-LN(2)/25))/(LN(2)/25)*Calculateur!DB183*Calculateur!DD183*VLOOKUP('Données projet'!$B$13,Paramètres!$A$1:$I$89,3,0)*0.475*44/12</f>
        <v>3.5222179206541897</v>
      </c>
      <c r="DH183" s="21">
        <f>EXP(-LN(2)/2)*DH182+(1-EXP(-LN(2)/2))/(LN(2)/2)*DB183*DE183*VLOOKUP('Données projet'!$B$13,Paramètres!$A$1:$I$89,3,0)*0.475*44/12</f>
        <v>6.087668909183252E-14</v>
      </c>
      <c r="DI183" s="22">
        <f t="shared" si="175"/>
        <v>11.399671814297985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>
        <f>DO183*VLOOKUP('Données projet'!$B$14,Paramètres!$A$1:$I$89,3,0)*VLOOKUP('Données projet'!$B$14,Paramètres!$A$1:$I$89,5,0)</f>
        <v>0</v>
      </c>
      <c r="DQ183" s="13" t="e">
        <f t="shared" si="176"/>
        <v>#NUM!</v>
      </c>
      <c r="DR183" s="20" t="e">
        <f t="shared" si="177"/>
        <v>#NUM!</v>
      </c>
      <c r="DS183" s="59" t="e">
        <f t="shared" si="125"/>
        <v>#NUM!</v>
      </c>
      <c r="DT183" s="59">
        <f ca="1">AVERAGE(OFFSET($DS$3,0,0,'Données projet'!$E$14+1,1))-AVERAGE(OFFSET($H$3,0,0,'Données projet'!$E$14+1,1))</f>
        <v>371.07993287480366</v>
      </c>
      <c r="DU183" s="59">
        <f t="shared" si="152"/>
        <v>358.67120540290637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>
        <f>EXP(-LN(2)/35)*EA182+(1-EXP(-LN(2)/35))/(LN(2)/35)*DW183*DX183*VLOOKUP('Données projet'!$B$14,Paramètres!$A$1:$I$89,3,0)*0.475*44/12</f>
        <v>5.7063766412850372</v>
      </c>
      <c r="EB183" s="21">
        <f>EXP(-LN(2)/25)*EB182+(1-EXP(-LN(2)/25))/(LN(2)/25)*Calculateur!DW183*Calculateur!DY183*VLOOKUP('Données projet'!$B$14,Paramètres!$A$1:$I$89,3,0)*0.475*44/12</f>
        <v>2.5514718764846704</v>
      </c>
      <c r="EC183" s="21">
        <f>EXP(-LN(2)/2)*EC182+(1-EXP(-LN(2)/2))/(LN(2)/2)*DW183*DZ183*VLOOKUP('Données projet'!$B$14,Paramètres!$A$1:$I$89,3,0)*0.475*44/12</f>
        <v>5.4354186689136278E-14</v>
      </c>
      <c r="ED183" s="22">
        <f t="shared" si="178"/>
        <v>8.2578485177697623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45">
      <c r="A184" s="10">
        <f t="shared" si="161"/>
        <v>181</v>
      </c>
      <c r="B184" s="73">
        <f>'Scénario référence'!$B$16*5+'Scénario référence'!$B$17*0+'Scénario référence'!$B$18*5</f>
        <v>5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1">
        <f t="shared" si="140"/>
        <v>0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18.333333333333332</v>
      </c>
      <c r="H184" s="67">
        <f t="shared" si="110"/>
        <v>183.33333333333334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2.2933333333333317</v>
      </c>
      <c r="N184" s="13">
        <f>IF('Données projet'!$A$36&gt;35,N183+M184-V183,IF(A184&lt;'Données projet'!$A$36,$K$205^A184,IF(A184='Données projet'!$A$36,'Données projet'!$B$36,N183+M184-V183)))</f>
        <v>186.88333333333415</v>
      </c>
      <c r="O184" s="13">
        <f>N184*VLOOKUP('Données projet'!$B$9,Paramètres!$A$1:$I$89,3,0)*VLOOKUP('Données projet'!$B$9,Paramètres!$A$1:$I$89,5,0)</f>
        <v>169.09204000000074</v>
      </c>
      <c r="P184" s="13">
        <f t="shared" si="141"/>
        <v>42.886607412438856</v>
      </c>
      <c r="Q184" s="20">
        <f t="shared" si="162"/>
        <v>369.1961442433323</v>
      </c>
      <c r="R184" s="59">
        <f t="shared" si="109"/>
        <v>658.66950990201644</v>
      </c>
      <c r="S184" s="59">
        <f ca="1">AVERAGE(OFFSET($R$3,0,0,'Données projet'!$E$9+1,1))-AVERAGE(OFFSET($H$3,0,0,'Données projet'!$E$9+1,1))</f>
        <v>681.47578137804555</v>
      </c>
      <c r="T184" s="59">
        <f t="shared" si="142"/>
        <v>300.88511065995885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121.80317115577186</v>
      </c>
      <c r="AA184" s="21">
        <f>EXP(-LN(2)/25)*AA183+(1-EXP(-LN(2)/25))/(LN(2)/25)*Calculateur!V184*Calculateur!X184*VLOOKUP('Données projet'!$B$9,Paramètres!$A$1:$I$89,3,0)*0.475*44/12</f>
        <v>22.873415143244397</v>
      </c>
      <c r="AB184" s="21">
        <f>EXP(-LN(2)/2)*AB183+(1-EXP(-LN(2)/2))/(LN(2)/2)*V184*Y184*VLOOKUP('Données projet'!$B$9,Paramètres!$A$1:$I$89,3,0)*0.475*44/12</f>
        <v>4.9034694548583673</v>
      </c>
      <c r="AC184" s="22">
        <f t="shared" si="163"/>
        <v>149.58005575387463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3.4106051316484809E-13</v>
      </c>
      <c r="AJ184" s="13">
        <f>AI184*VLOOKUP('Données projet'!$B$10,Paramètres!$A$1:$I$89,3,0)*VLOOKUP('Données projet'!$B$10,Paramètres!$A$1:$I$89,5,0)</f>
        <v>1.5961632016114892E-13</v>
      </c>
      <c r="AK184" s="13">
        <f t="shared" si="164"/>
        <v>2.2708641912150958E-12</v>
      </c>
      <c r="AL184" s="20">
        <f t="shared" si="165"/>
        <v>4.2330868906469593E-12</v>
      </c>
      <c r="AM184" s="59">
        <f t="shared" si="113"/>
        <v>289.47336565868829</v>
      </c>
      <c r="AN184" s="59">
        <f ca="1">AVERAGE(OFFSET($AM$3,0,0,'Données projet'!$E$10+1,1))-AVERAGE(OFFSET($H$3,0,0,'Données projet'!$E$10+1,1))</f>
        <v>325.45940224919184</v>
      </c>
      <c r="AO184" s="59">
        <f t="shared" si="144"/>
        <v>256.30046621034876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31.531199339177981</v>
      </c>
      <c r="AV184" s="21">
        <f>EXP(-LN(2)/25)*AV183+(1-EXP(-LN(2)/25))/(LN(2)/25)*Calculateur!AQ184*Calculateur!AS184*VLOOKUP('Données projet'!$B$10,Paramètres!$A$1:$I$89,3,0)*0.475*44/12</f>
        <v>5.6895214519586244</v>
      </c>
      <c r="AW184" s="21">
        <f>EXP(-LN(2)/2)*AW183+(1-EXP(-LN(2)/2))/(LN(2)/2)*AQ184*AT184*VLOOKUP('Données projet'!$B$10,Paramètres!$A$1:$I$89,3,0)*0.475*44/12</f>
        <v>4.5820923724143014E-10</v>
      </c>
      <c r="AX184" s="21">
        <f t="shared" si="166"/>
        <v>37.220720791594815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4.7974999999999994</v>
      </c>
      <c r="BD184" s="12">
        <f>IF('Données projet'!$A$88&gt;35,BD183+BC184-BL183,IF(A184&lt;'Données projet'!$A$88,$BA$205^A184,IF(A184='Données projet'!$A$88,'Données projet'!$B$88,BD183+BC184-BL183)))</f>
        <v>285.74749999999966</v>
      </c>
      <c r="BE184" s="13">
        <f>BD184*VLOOKUP('Données projet'!$B$11,Paramètres!$A$1:$I$89,3,0)*VLOOKUP('Données projet'!$B$11,Paramètres!$A$1:$I$89,5,0)</f>
        <v>289.74796499999968</v>
      </c>
      <c r="BF184" s="13">
        <f t="shared" si="167"/>
        <v>69.022913217160536</v>
      </c>
      <c r="BG184" s="20">
        <f t="shared" si="168"/>
        <v>624.85927956155399</v>
      </c>
      <c r="BH184" s="59">
        <f t="shared" si="116"/>
        <v>914.33264522023808</v>
      </c>
      <c r="BI184" s="59">
        <f ca="1">AVERAGE(OFFSET($BH$3,0,0,'Données projet'!$E$11+1,1))-AVERAGE(OFFSET($H$3,0,0,'Données projet'!$E$11+1,1))</f>
        <v>580.02848304986492</v>
      </c>
      <c r="BJ184" s="59">
        <f t="shared" si="146"/>
        <v>281.68891895586728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80.427010887501254</v>
      </c>
      <c r="BQ184" s="21">
        <f>EXP(-LN(2)/25)*BQ183+(1-EXP(-LN(2)/25))/(LN(2)/25)*Calculateur!BL184*Calculateur!BN184*VLOOKUP('Données projet'!$B$11,Paramètres!$A$1:$I$89,3,0)*0.475*44/12</f>
        <v>32.609355107128927</v>
      </c>
      <c r="BR184" s="21">
        <f>EXP(-LN(2)/2)*BR183+(1-EXP(-LN(2)/2))/(LN(2)/2)*BL184*BO184*VLOOKUP('Données projet'!$B$11,Paramètres!$A$1:$I$89,3,0)*0.475*44/12</f>
        <v>1.5931751682752796E-5</v>
      </c>
      <c r="BS184" s="22">
        <f t="shared" si="169"/>
        <v>113.03638192638186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>
        <f>BY184*VLOOKUP('Données projet'!$B$12,Paramètres!$A$1:$I$89,3,0)*VLOOKUP('Données projet'!$B$12,Paramètres!$A$1:$I$89,5,0)</f>
        <v>0</v>
      </c>
      <c r="CA184" s="13" t="e">
        <f t="shared" si="170"/>
        <v>#NUM!</v>
      </c>
      <c r="CB184" s="20" t="e">
        <f t="shared" si="171"/>
        <v>#NUM!</v>
      </c>
      <c r="CC184" s="59" t="e">
        <f t="shared" si="119"/>
        <v>#NUM!</v>
      </c>
      <c r="CD184" s="59">
        <f ca="1">AVERAGE(OFFSET($CC$3,0,0,'Données projet'!$E$12+1,1))-AVERAGE(OFFSET($H$3,0,0,'Données projet'!$E$12+1,1))</f>
        <v>439.15394290667945</v>
      </c>
      <c r="CE184" s="59">
        <f t="shared" si="148"/>
        <v>423.56554025351068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6.8252632525925314</v>
      </c>
      <c r="CL184" s="21">
        <f>EXP(-LN(2)/25)*CL183+(1-EXP(-LN(2)/25))/(LN(2)/25)*Calculateur!CG184*Calculateur!CI184*VLOOKUP('Données projet'!$B$12,Paramètres!$A$1:$I$89,3,0)*0.475*44/12</f>
        <v>3.0276761274922701</v>
      </c>
      <c r="CM184" s="21">
        <f>EXP(-LN(2)/2)*CM183+(1-EXP(-LN(2)/2))/(LN(2)/2)*CG184*CJ184*VLOOKUP('Données projet'!$B$12,Paramètres!$A$1:$I$89,3,0)*0.475*44/12</f>
        <v>4.6889741072396667E-14</v>
      </c>
      <c r="CN184" s="22">
        <f t="shared" si="172"/>
        <v>9.8529393800848482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>
        <f>CT184*VLOOKUP('Données projet'!$B$13,Paramètres!$A$1:$I$89,3,0)*VLOOKUP('Données projet'!$B$13,Paramètres!$A$1:$I$89,5,0)</f>
        <v>0</v>
      </c>
      <c r="CV184" s="13" t="e">
        <f t="shared" si="173"/>
        <v>#NUM!</v>
      </c>
      <c r="CW184" s="20" t="e">
        <f t="shared" si="174"/>
        <v>#NUM!</v>
      </c>
      <c r="CX184" s="59" t="e">
        <f t="shared" si="122"/>
        <v>#NUM!</v>
      </c>
      <c r="CY184" s="59">
        <f ca="1">AVERAGE(OFFSET($CX$3,0,0,'Données projet'!$E$13+1,1))-AVERAGE(OFFSET($H$3,0,0,'Données projet'!$E$13+1,1))</f>
        <v>408.246209980743</v>
      </c>
      <c r="CZ184" s="59">
        <f t="shared" si="150"/>
        <v>394.10236303013903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>
        <f>EXP(-LN(2)/35)*DF183+(1-EXP(-LN(2)/35))/(LN(2)/35)*DB184*DC184*VLOOKUP('Données projet'!$B$13,Paramètres!$A$1:$I$89,3,0)*0.475*44/12</f>
        <v>7.7229818275618234</v>
      </c>
      <c r="DG184" s="21">
        <f>EXP(-LN(2)/25)*DG183+(1-EXP(-LN(2)/25))/(LN(2)/25)*Calculateur!DB184*Calculateur!DD184*VLOOKUP('Données projet'!$B$13,Paramètres!$A$1:$I$89,3,0)*0.475*44/12</f>
        <v>3.4259026863885107</v>
      </c>
      <c r="DH184" s="21">
        <f>EXP(-LN(2)/2)*DH183+(1-EXP(-LN(2)/2))/(LN(2)/2)*DB184*DE184*VLOOKUP('Données projet'!$B$13,Paramètres!$A$1:$I$89,3,0)*0.475*44/12</f>
        <v>4.3046319673019903E-14</v>
      </c>
      <c r="DI184" s="22">
        <f t="shared" si="175"/>
        <v>11.148884513950376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>
        <f>DO184*VLOOKUP('Données projet'!$B$14,Paramètres!$A$1:$I$89,3,0)*VLOOKUP('Données projet'!$B$14,Paramètres!$A$1:$I$89,5,0)</f>
        <v>0</v>
      </c>
      <c r="DQ184" s="13" t="e">
        <f t="shared" si="176"/>
        <v>#NUM!</v>
      </c>
      <c r="DR184" s="20" t="e">
        <f t="shared" si="177"/>
        <v>#NUM!</v>
      </c>
      <c r="DS184" s="59" t="e">
        <f t="shared" si="125"/>
        <v>#NUM!</v>
      </c>
      <c r="DT184" s="59">
        <f ca="1">AVERAGE(OFFSET($DS$3,0,0,'Données projet'!$E$14+1,1))-AVERAGE(OFFSET($H$3,0,0,'Données projet'!$E$14+1,1))</f>
        <v>371.07993287480366</v>
      </c>
      <c r="DU184" s="59">
        <f t="shared" si="152"/>
        <v>358.67120540290637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>
        <f>EXP(-LN(2)/35)*EA183+(1-EXP(-LN(2)/35))/(LN(2)/35)*DW184*DX184*VLOOKUP('Données projet'!$B$14,Paramètres!$A$1:$I$89,3,0)*0.475*44/12</f>
        <v>5.5944780758955135</v>
      </c>
      <c r="EB184" s="21">
        <f>EXP(-LN(2)/25)*EB183+(1-EXP(-LN(2)/25))/(LN(2)/25)*Calculateur!DW184*Calculateur!DY184*VLOOKUP('Données projet'!$B$14,Paramètres!$A$1:$I$89,3,0)*0.475*44/12</f>
        <v>2.4817017438461226</v>
      </c>
      <c r="EC184" s="21">
        <f>EXP(-LN(2)/2)*EC183+(1-EXP(-LN(2)/2))/(LN(2)/2)*DW184*DZ184*VLOOKUP('Données projet'!$B$14,Paramètres!$A$1:$I$89,3,0)*0.475*44/12</f>
        <v>3.843421399376784E-14</v>
      </c>
      <c r="ED184" s="22">
        <f t="shared" si="178"/>
        <v>8.0761798197416752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45">
      <c r="A185" s="10">
        <f t="shared" si="161"/>
        <v>182</v>
      </c>
      <c r="B185" s="73">
        <f>'Scénario référence'!$B$16*5+'Scénario référence'!$B$17*0+'Scénario référence'!$B$18*5</f>
        <v>5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1">
        <f t="shared" si="140"/>
        <v>0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18.333333333333332</v>
      </c>
      <c r="H185" s="67">
        <f t="shared" si="110"/>
        <v>183.33333333333334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2.2933333333333317</v>
      </c>
      <c r="N185" s="13">
        <f>IF('Données projet'!$A$36&gt;35,N184+M185-V184,IF(A185&lt;'Données projet'!$A$36,$K$205^A185,IF(A185='Données projet'!$A$36,'Données projet'!$B$36,N184+M185-V184)))</f>
        <v>189.17666666666747</v>
      </c>
      <c r="O185" s="13">
        <f>N185*VLOOKUP('Données projet'!$B$9,Paramètres!$A$1:$I$89,3,0)*VLOOKUP('Données projet'!$B$9,Paramètres!$A$1:$I$89,5,0)</f>
        <v>171.16704800000073</v>
      </c>
      <c r="P185" s="13">
        <f t="shared" si="141"/>
        <v>43.351299348190551</v>
      </c>
      <c r="Q185" s="20">
        <f t="shared" si="162"/>
        <v>373.61945496476648</v>
      </c>
      <c r="R185" s="59">
        <f t="shared" si="109"/>
        <v>663.15978243301083</v>
      </c>
      <c r="S185" s="59">
        <f ca="1">AVERAGE(OFFSET($R$3,0,0,'Données projet'!$E$9+1,1))-AVERAGE(OFFSET($H$3,0,0,'Données projet'!$E$9+1,1))</f>
        <v>681.47578137804555</v>
      </c>
      <c r="T185" s="59">
        <f t="shared" si="142"/>
        <v>300.88511065995885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119.4146852620058</v>
      </c>
      <c r="AA185" s="21">
        <f>EXP(-LN(2)/25)*AA184+(1-EXP(-LN(2)/25))/(LN(2)/25)*Calculateur!V185*Calculateur!X185*VLOOKUP('Données projet'!$B$9,Paramètres!$A$1:$I$89,3,0)*0.475*44/12</f>
        <v>22.247940403291754</v>
      </c>
      <c r="AB185" s="21">
        <f>EXP(-LN(2)/2)*AB184+(1-EXP(-LN(2)/2))/(LN(2)/2)*V185*Y185*VLOOKUP('Données projet'!$B$9,Paramètres!$A$1:$I$89,3,0)*0.475*44/12</f>
        <v>3.4672765028714552</v>
      </c>
      <c r="AC185" s="22">
        <f t="shared" si="163"/>
        <v>145.129902168169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3.4106051316484809E-13</v>
      </c>
      <c r="AJ185" s="13">
        <f>AI185*VLOOKUP('Données projet'!$B$10,Paramètres!$A$1:$I$89,3,0)*VLOOKUP('Données projet'!$B$10,Paramètres!$A$1:$I$89,5,0)</f>
        <v>1.5961632016114892E-13</v>
      </c>
      <c r="AK185" s="13">
        <f t="shared" si="164"/>
        <v>2.2708641912150958E-12</v>
      </c>
      <c r="AL185" s="20">
        <f t="shared" si="165"/>
        <v>4.2330868906469593E-12</v>
      </c>
      <c r="AM185" s="59">
        <f t="shared" si="113"/>
        <v>289.54032746824862</v>
      </c>
      <c r="AN185" s="59">
        <f ca="1">AVERAGE(OFFSET($AM$3,0,0,'Données projet'!$E$10+1,1))-AVERAGE(OFFSET($H$3,0,0,'Données projet'!$E$10+1,1))</f>
        <v>325.45940224919184</v>
      </c>
      <c r="AO185" s="59">
        <f t="shared" si="144"/>
        <v>256.30046621034876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30.912891752269282</v>
      </c>
      <c r="AV185" s="21">
        <f>EXP(-LN(2)/25)*AV184+(1-EXP(-LN(2)/25))/(LN(2)/25)*Calculateur!AQ185*Calculateur!AS185*VLOOKUP('Données projet'!$B$10,Paramètres!$A$1:$I$89,3,0)*0.475*44/12</f>
        <v>5.533941188655886</v>
      </c>
      <c r="AW185" s="21">
        <f>EXP(-LN(2)/2)*AW184+(1-EXP(-LN(2)/2))/(LN(2)/2)*AQ185*AT185*VLOOKUP('Données projet'!$B$10,Paramètres!$A$1:$I$89,3,0)*0.475*44/12</f>
        <v>3.240028588557308E-10</v>
      </c>
      <c r="AX185" s="21">
        <f t="shared" si="166"/>
        <v>36.44683294124917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4.7974999999999994</v>
      </c>
      <c r="BD185" s="12">
        <f>IF('Données projet'!$A$88&gt;35,BD184+BC185-BL184,IF(A185&lt;'Données projet'!$A$88,$BA$205^A185,IF(A185='Données projet'!$A$88,'Données projet'!$B$88,BD184+BC185-BL184)))</f>
        <v>290.54499999999967</v>
      </c>
      <c r="BE185" s="13">
        <f>BD185*VLOOKUP('Données projet'!$B$11,Paramètres!$A$1:$I$89,3,0)*VLOOKUP('Données projet'!$B$11,Paramètres!$A$1:$I$89,5,0)</f>
        <v>294.61262999999968</v>
      </c>
      <c r="BF185" s="13">
        <f t="shared" si="167"/>
        <v>70.045875436649951</v>
      </c>
      <c r="BG185" s="20">
        <f t="shared" si="168"/>
        <v>635.11356363549817</v>
      </c>
      <c r="BH185" s="59">
        <f t="shared" si="116"/>
        <v>924.65389110374258</v>
      </c>
      <c r="BI185" s="59">
        <f ca="1">AVERAGE(OFFSET($BH$3,0,0,'Données projet'!$E$11+1,1))-AVERAGE(OFFSET($H$3,0,0,'Données projet'!$E$11+1,1))</f>
        <v>580.02848304986492</v>
      </c>
      <c r="BJ185" s="59">
        <f t="shared" si="146"/>
        <v>281.68891895586728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78.849886259630154</v>
      </c>
      <c r="BQ185" s="21">
        <f>EXP(-LN(2)/25)*BQ184+(1-EXP(-LN(2)/25))/(LN(2)/25)*Calculateur!BL185*Calculateur!BN185*VLOOKUP('Données projet'!$B$11,Paramètres!$A$1:$I$89,3,0)*0.475*44/12</f>
        <v>31.71765057687303</v>
      </c>
      <c r="BR185" s="21">
        <f>EXP(-LN(2)/2)*BR184+(1-EXP(-LN(2)/2))/(LN(2)/2)*BL185*BO185*VLOOKUP('Données projet'!$B$11,Paramètres!$A$1:$I$89,3,0)*0.475*44/12</f>
        <v>1.1265449651054692E-5</v>
      </c>
      <c r="BS185" s="22">
        <f t="shared" si="169"/>
        <v>110.56754810195284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>
        <f>BY185*VLOOKUP('Données projet'!$B$12,Paramètres!$A$1:$I$89,3,0)*VLOOKUP('Données projet'!$B$12,Paramètres!$A$1:$I$89,5,0)</f>
        <v>0</v>
      </c>
      <c r="CA185" s="13" t="e">
        <f t="shared" si="170"/>
        <v>#NUM!</v>
      </c>
      <c r="CB185" s="20" t="e">
        <f t="shared" si="171"/>
        <v>#NUM!</v>
      </c>
      <c r="CC185" s="59" t="e">
        <f t="shared" si="119"/>
        <v>#NUM!</v>
      </c>
      <c r="CD185" s="59">
        <f ca="1">AVERAGE(OFFSET($CC$3,0,0,'Données projet'!$E$12+1,1))-AVERAGE(OFFSET($H$3,0,0,'Données projet'!$E$12+1,1))</f>
        <v>439.15394290667945</v>
      </c>
      <c r="CE185" s="59">
        <f t="shared" si="148"/>
        <v>423.56554025351068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6.6914240032087138</v>
      </c>
      <c r="CL185" s="21">
        <f>EXP(-LN(2)/25)*CL184+(1-EXP(-LN(2)/25))/(LN(2)/25)*Calculateur!CG185*Calculateur!CI185*VLOOKUP('Données projet'!$B$12,Paramètres!$A$1:$I$89,3,0)*0.475*44/12</f>
        <v>2.9448841645674264</v>
      </c>
      <c r="CM185" s="21">
        <f>EXP(-LN(2)/2)*CM184+(1-EXP(-LN(2)/2))/(LN(2)/2)*CG185*CJ185*VLOOKUP('Données projet'!$B$12,Paramètres!$A$1:$I$89,3,0)*0.475*44/12</f>
        <v>3.315605388037306E-14</v>
      </c>
      <c r="CN185" s="22">
        <f t="shared" si="172"/>
        <v>9.6363081677761731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>
        <f>CT185*VLOOKUP('Données projet'!$B$13,Paramètres!$A$1:$I$89,3,0)*VLOOKUP('Données projet'!$B$13,Paramètres!$A$1:$I$89,5,0)</f>
        <v>0</v>
      </c>
      <c r="CV185" s="13" t="e">
        <f t="shared" si="173"/>
        <v>#NUM!</v>
      </c>
      <c r="CW185" s="20" t="e">
        <f t="shared" si="174"/>
        <v>#NUM!</v>
      </c>
      <c r="CX185" s="59" t="e">
        <f t="shared" si="122"/>
        <v>#NUM!</v>
      </c>
      <c r="CY185" s="59">
        <f ca="1">AVERAGE(OFFSET($CX$3,0,0,'Données projet'!$E$13+1,1))-AVERAGE(OFFSET($H$3,0,0,'Données projet'!$E$13+1,1))</f>
        <v>408.246209980743</v>
      </c>
      <c r="CZ185" s="59">
        <f t="shared" si="150"/>
        <v>394.10236303013903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>
        <f>EXP(-LN(2)/35)*DF184+(1-EXP(-LN(2)/35))/(LN(2)/35)*DB185*DC185*VLOOKUP('Données projet'!$B$13,Paramètres!$A$1:$I$89,3,0)*0.475*44/12</f>
        <v>7.5715388644771222</v>
      </c>
      <c r="DG185" s="21">
        <f>EXP(-LN(2)/25)*DG184+(1-EXP(-LN(2)/25))/(LN(2)/25)*Calculateur!DB185*Calculateur!DD185*VLOOKUP('Données projet'!$B$13,Paramètres!$A$1:$I$89,3,0)*0.475*44/12</f>
        <v>3.3322211972688245</v>
      </c>
      <c r="DH185" s="21">
        <f>EXP(-LN(2)/2)*DH184+(1-EXP(-LN(2)/2))/(LN(2)/2)*DB185*DE185*VLOOKUP('Données projet'!$B$13,Paramètres!$A$1:$I$89,3,0)*0.475*44/12</f>
        <v>3.043834454591626E-14</v>
      </c>
      <c r="DI185" s="22">
        <f t="shared" si="175"/>
        <v>10.903760061745977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>
        <f>DO185*VLOOKUP('Données projet'!$B$14,Paramètres!$A$1:$I$89,3,0)*VLOOKUP('Données projet'!$B$14,Paramètres!$A$1:$I$89,5,0)</f>
        <v>0</v>
      </c>
      <c r="DQ185" s="13" t="e">
        <f t="shared" si="176"/>
        <v>#NUM!</v>
      </c>
      <c r="DR185" s="20" t="e">
        <f t="shared" si="177"/>
        <v>#NUM!</v>
      </c>
      <c r="DS185" s="59" t="e">
        <f t="shared" si="125"/>
        <v>#NUM!</v>
      </c>
      <c r="DT185" s="59">
        <f ca="1">AVERAGE(OFFSET($DS$3,0,0,'Données projet'!$E$14+1,1))-AVERAGE(OFFSET($H$3,0,0,'Données projet'!$E$14+1,1))</f>
        <v>371.07993287480366</v>
      </c>
      <c r="DU185" s="59">
        <f t="shared" si="152"/>
        <v>358.67120540290637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>
        <f>EXP(-LN(2)/35)*EA184+(1-EXP(-LN(2)/35))/(LN(2)/35)*DW185*DX185*VLOOKUP('Données projet'!$B$14,Paramètres!$A$1:$I$89,3,0)*0.475*44/12</f>
        <v>5.4847737731218924</v>
      </c>
      <c r="EB185" s="21">
        <f>EXP(-LN(2)/25)*EB184+(1-EXP(-LN(2)/25))/(LN(2)/25)*Calculateur!DW185*Calculateur!DY185*VLOOKUP('Données projet'!$B$14,Paramètres!$A$1:$I$89,3,0)*0.475*44/12</f>
        <v>2.4138394791536277</v>
      </c>
      <c r="EC185" s="21">
        <f>EXP(-LN(2)/2)*EC184+(1-EXP(-LN(2)/2))/(LN(2)/2)*DW185*DZ185*VLOOKUP('Données projet'!$B$14,Paramètres!$A$1:$I$89,3,0)*0.475*44/12</f>
        <v>2.7177093344568139E-14</v>
      </c>
      <c r="ED185" s="22">
        <f t="shared" si="178"/>
        <v>7.8986132522755481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45">
      <c r="A186" s="10">
        <f t="shared" si="161"/>
        <v>183</v>
      </c>
      <c r="B186" s="73">
        <f>'Scénario référence'!$B$16*5+'Scénario référence'!$B$17*0+'Scénario référence'!$B$18*5</f>
        <v>5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1">
        <f t="shared" si="140"/>
        <v>0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18.333333333333332</v>
      </c>
      <c r="H186" s="67">
        <f t="shared" si="110"/>
        <v>183.33333333333334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>
        <f>VLOOKUP(A186,'Données projet'!$A$35:$I$55,2,0)</f>
        <v>191.47</v>
      </c>
      <c r="L186" s="12">
        <f>VLOOKUP(A186,'Données projet'!$A$35:$I$55,9,0)</f>
        <v>2.2933333333333317</v>
      </c>
      <c r="M186" s="12">
        <f t="array" ref="M186">INDEX(L:L,MIN(IF(ISNUMBER(L186:L382),ROW(L186:L382),"")))</f>
        <v>2.2933333333333317</v>
      </c>
      <c r="N186" s="13">
        <f>IF('Données projet'!$A$36&gt;35,N185+M186-V185,IF(A186&lt;'Données projet'!$A$36,$K$205^A186,IF(A186='Données projet'!$A$36,'Données projet'!$B$36,N185+M186-V185)))</f>
        <v>191.47000000000079</v>
      </c>
      <c r="O186" s="13">
        <f>N186*VLOOKUP('Données projet'!$B$9,Paramètres!$A$1:$I$89,3,0)*VLOOKUP('Données projet'!$B$9,Paramètres!$A$1:$I$89,5,0)</f>
        <v>173.2420560000007</v>
      </c>
      <c r="P186" s="13">
        <f t="shared" si="141"/>
        <v>43.815336010445158</v>
      </c>
      <c r="Q186" s="20">
        <f t="shared" si="162"/>
        <v>378.04162441819318</v>
      </c>
      <c r="R186" s="59">
        <f t="shared" si="109"/>
        <v>667.6477520583062</v>
      </c>
      <c r="S186" s="59">
        <f ca="1">AVERAGE(OFFSET($R$3,0,0,'Données projet'!$E$9+1,1))-AVERAGE(OFFSET($H$3,0,0,'Données projet'!$E$9+1,1))</f>
        <v>681.47578137804555</v>
      </c>
      <c r="T186" s="59">
        <f t="shared" si="142"/>
        <v>300.88511065995885</v>
      </c>
      <c r="U186" s="15">
        <f>IF(ISNA(VLOOKUP(A186,'Données projet'!$A$35:$I$55,3,0)),0,VLOOKUP(A186,'Données projet'!$A$35:$I$55,3,0))</f>
        <v>18</v>
      </c>
      <c r="V186" s="15">
        <f>IF(ISNA(VLOOKUP(A186,'Données projet'!$A$35:$I$55,4,0)),0,VLOOKUP(A186,'Données projet'!$A$35:$I$55,4,0))</f>
        <v>191.47</v>
      </c>
      <c r="W186" s="16">
        <f>IF(ISNA(VLOOKUP(A186,'Données projet'!$A$35:$I$55,5,0)),0%,VLOOKUP(A186,'Données projet'!$A$35:$I$55,5,0)*VLOOKUP('Données projet'!$B$9,Paramètres!$A$1:$I$89,7,0))</f>
        <v>0.19350000000000001</v>
      </c>
      <c r="X186" s="16">
        <f>IF(ISNA(VLOOKUP(A186,'Données projet'!$A$35:$I$55,6,0)),0%,VLOOKUP(A186,'Données projet'!$A$35:$I$55,6,0)*VLOOKUP('Données projet'!$B$9,Paramètres!$A$1:$I$89,7,0))</f>
        <v>2.1500000000000002E-2</v>
      </c>
      <c r="Y186" s="16">
        <f>IF(ISNA(VLOOKUP(A186,'Données projet'!$A$35:$I$55,7,0)),0%,VLOOKUP(A186,'Données projet'!$A$35:$I$55,7,0))</f>
        <v>0.05</v>
      </c>
      <c r="Z186" s="21">
        <f>EXP(-LN(2)/35)*Z185+(1-EXP(-LN(2)/35))/(LN(2)/35)*V186*W186*VLOOKUP('Données projet'!$B$9,Paramètres!$A$1:$I$89,3,0)*0.475*44/12</f>
        <v>154.13098765017864</v>
      </c>
      <c r="AA186" s="21">
        <f>EXP(-LN(2)/25)*AA185+(1-EXP(-LN(2)/25))/(LN(2)/25)*Calculateur!V186*Calculateur!X186*VLOOKUP('Données projet'!$B$9,Paramètres!$A$1:$I$89,3,0)*0.475*44/12</f>
        <v>25.740907109110182</v>
      </c>
      <c r="AB186" s="21">
        <f>EXP(-LN(2)/2)*AB185+(1-EXP(-LN(2)/2))/(LN(2)/2)*V186*Y186*VLOOKUP('Données projet'!$B$9,Paramètres!$A$1:$I$89,3,0)*0.475*44/12</f>
        <v>10.624661856307879</v>
      </c>
      <c r="AC186" s="22">
        <f t="shared" si="163"/>
        <v>190.49655661559669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3.4106051316484809E-13</v>
      </c>
      <c r="AJ186" s="13">
        <f>AI186*VLOOKUP('Données projet'!$B$10,Paramètres!$A$1:$I$89,3,0)*VLOOKUP('Données projet'!$B$10,Paramètres!$A$1:$I$89,5,0)</f>
        <v>1.5961632016114892E-13</v>
      </c>
      <c r="AK186" s="13">
        <f t="shared" si="164"/>
        <v>2.2708641912150958E-12</v>
      </c>
      <c r="AL186" s="20">
        <f t="shared" si="165"/>
        <v>4.2330868906469593E-12</v>
      </c>
      <c r="AM186" s="59">
        <f t="shared" si="113"/>
        <v>289.60612764011717</v>
      </c>
      <c r="AN186" s="59">
        <f ca="1">AVERAGE(OFFSET($AM$3,0,0,'Données projet'!$E$10+1,1))-AVERAGE(OFFSET($H$3,0,0,'Données projet'!$E$10+1,1))</f>
        <v>325.45940224919184</v>
      </c>
      <c r="AO186" s="59">
        <f t="shared" si="144"/>
        <v>256.30046621034876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30.306708800009474</v>
      </c>
      <c r="AV186" s="21">
        <f>EXP(-LN(2)/25)*AV185+(1-EXP(-LN(2)/25))/(LN(2)/25)*Calculateur!AQ186*Calculateur!AS186*VLOOKUP('Données projet'!$B$10,Paramètres!$A$1:$I$89,3,0)*0.475*44/12</f>
        <v>5.3826152758347714</v>
      </c>
      <c r="AW186" s="21">
        <f>EXP(-LN(2)/2)*AW185+(1-EXP(-LN(2)/2))/(LN(2)/2)*AQ186*AT186*VLOOKUP('Données projet'!$B$10,Paramètres!$A$1:$I$89,3,0)*0.475*44/12</f>
        <v>2.291046186207151E-10</v>
      </c>
      <c r="AX186" s="21">
        <f t="shared" si="166"/>
        <v>35.689324076073355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4.7974999999999994</v>
      </c>
      <c r="BD186" s="12">
        <f>IF('Données projet'!$A$88&gt;35,BD185+BC186-BL185,IF(A186&lt;'Données projet'!$A$88,$BA$205^A186,IF(A186='Données projet'!$A$88,'Données projet'!$B$88,BD185+BC186-BL185)))</f>
        <v>295.34249999999969</v>
      </c>
      <c r="BE186" s="13">
        <f>BD186*VLOOKUP('Données projet'!$B$11,Paramètres!$A$1:$I$89,3,0)*VLOOKUP('Données projet'!$B$11,Paramètres!$A$1:$I$89,5,0)</f>
        <v>299.47729499999969</v>
      </c>
      <c r="BF186" s="13">
        <f t="shared" si="167"/>
        <v>71.066873311318389</v>
      </c>
      <c r="BG186" s="20">
        <f t="shared" si="168"/>
        <v>645.36442647554566</v>
      </c>
      <c r="BH186" s="59">
        <f t="shared" si="116"/>
        <v>934.97055411565862</v>
      </c>
      <c r="BI186" s="59">
        <f ca="1">AVERAGE(OFFSET($BH$3,0,0,'Données projet'!$E$11+1,1))-AVERAGE(OFFSET($H$3,0,0,'Données projet'!$E$11+1,1))</f>
        <v>580.02848304986492</v>
      </c>
      <c r="BJ186" s="59">
        <f t="shared" si="146"/>
        <v>281.68891895586728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77.303688083760562</v>
      </c>
      <c r="BQ186" s="21">
        <f>EXP(-LN(2)/25)*BQ185+(1-EXP(-LN(2)/25))/(LN(2)/25)*Calculateur!BL186*Calculateur!BN186*VLOOKUP('Données projet'!$B$11,Paramètres!$A$1:$I$89,3,0)*0.475*44/12</f>
        <v>30.850329753889685</v>
      </c>
      <c r="BR186" s="21">
        <f>EXP(-LN(2)/2)*BR185+(1-EXP(-LN(2)/2))/(LN(2)/2)*BL186*BO186*VLOOKUP('Données projet'!$B$11,Paramètres!$A$1:$I$89,3,0)*0.475*44/12</f>
        <v>7.9658758413763979E-6</v>
      </c>
      <c r="BS186" s="22">
        <f t="shared" si="169"/>
        <v>108.15402580352608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>
        <f>BY186*VLOOKUP('Données projet'!$B$12,Paramètres!$A$1:$I$89,3,0)*VLOOKUP('Données projet'!$B$12,Paramètres!$A$1:$I$89,5,0)</f>
        <v>0</v>
      </c>
      <c r="CA186" s="13" t="e">
        <f t="shared" si="170"/>
        <v>#NUM!</v>
      </c>
      <c r="CB186" s="20" t="e">
        <f t="shared" si="171"/>
        <v>#NUM!</v>
      </c>
      <c r="CC186" s="59" t="e">
        <f t="shared" si="119"/>
        <v>#NUM!</v>
      </c>
      <c r="CD186" s="59">
        <f ca="1">AVERAGE(OFFSET($CC$3,0,0,'Données projet'!$E$12+1,1))-AVERAGE(OFFSET($H$3,0,0,'Données projet'!$E$12+1,1))</f>
        <v>439.15394290667945</v>
      </c>
      <c r="CE186" s="59">
        <f t="shared" si="148"/>
        <v>423.56554025351068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6.5602092598714314</v>
      </c>
      <c r="CL186" s="21">
        <f>EXP(-LN(2)/25)*CL185+(1-EXP(-LN(2)/25))/(LN(2)/25)*Calculateur!CG186*Calculateur!CI186*VLOOKUP('Données projet'!$B$12,Paramètres!$A$1:$I$89,3,0)*0.475*44/12</f>
        <v>2.8643561522226024</v>
      </c>
      <c r="CM186" s="21">
        <f>EXP(-LN(2)/2)*CM185+(1-EXP(-LN(2)/2))/(LN(2)/2)*CG186*CJ186*VLOOKUP('Données projet'!$B$12,Paramètres!$A$1:$I$89,3,0)*0.475*44/12</f>
        <v>2.3444870536198334E-14</v>
      </c>
      <c r="CN186" s="22">
        <f t="shared" si="172"/>
        <v>9.4245654120940561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>
        <f>CT186*VLOOKUP('Données projet'!$B$13,Paramètres!$A$1:$I$89,3,0)*VLOOKUP('Données projet'!$B$13,Paramètres!$A$1:$I$89,5,0)</f>
        <v>0</v>
      </c>
      <c r="CV186" s="13" t="e">
        <f t="shared" si="173"/>
        <v>#NUM!</v>
      </c>
      <c r="CW186" s="20" t="e">
        <f t="shared" si="174"/>
        <v>#NUM!</v>
      </c>
      <c r="CX186" s="59" t="e">
        <f t="shared" si="122"/>
        <v>#NUM!</v>
      </c>
      <c r="CY186" s="59">
        <f ca="1">AVERAGE(OFFSET($CX$3,0,0,'Données projet'!$E$13+1,1))-AVERAGE(OFFSET($H$3,0,0,'Données projet'!$E$13+1,1))</f>
        <v>408.246209980743</v>
      </c>
      <c r="CZ186" s="59">
        <f t="shared" si="150"/>
        <v>394.10236303013903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>
        <f>EXP(-LN(2)/35)*DF185+(1-EXP(-LN(2)/35))/(LN(2)/35)*DB186*DC186*VLOOKUP('Données projet'!$B$13,Paramètres!$A$1:$I$89,3,0)*0.475*44/12</f>
        <v>7.4230656055274258</v>
      </c>
      <c r="DG186" s="21">
        <f>EXP(-LN(2)/25)*DG185+(1-EXP(-LN(2)/25))/(LN(2)/25)*Calculateur!DB186*Calculateur!DD186*VLOOKUP('Données projet'!$B$13,Paramètres!$A$1:$I$89,3,0)*0.475*44/12</f>
        <v>3.2411014333956114</v>
      </c>
      <c r="DH186" s="21">
        <f>EXP(-LN(2)/2)*DH185+(1-EXP(-LN(2)/2))/(LN(2)/2)*DB186*DE186*VLOOKUP('Données projet'!$B$13,Paramètres!$A$1:$I$89,3,0)*0.475*44/12</f>
        <v>2.1523159836509952E-14</v>
      </c>
      <c r="DI186" s="22">
        <f t="shared" si="175"/>
        <v>10.664167038923058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>
        <f>DO186*VLOOKUP('Données projet'!$B$14,Paramètres!$A$1:$I$89,3,0)*VLOOKUP('Données projet'!$B$14,Paramètres!$A$1:$I$89,5,0)</f>
        <v>0</v>
      </c>
      <c r="DQ186" s="13" t="e">
        <f t="shared" si="176"/>
        <v>#NUM!</v>
      </c>
      <c r="DR186" s="20" t="e">
        <f t="shared" si="177"/>
        <v>#NUM!</v>
      </c>
      <c r="DS186" s="59" t="e">
        <f t="shared" si="125"/>
        <v>#NUM!</v>
      </c>
      <c r="DT186" s="59">
        <f ca="1">AVERAGE(OFFSET($DS$3,0,0,'Données projet'!$E$14+1,1))-AVERAGE(OFFSET($H$3,0,0,'Données projet'!$E$14+1,1))</f>
        <v>371.07993287480366</v>
      </c>
      <c r="DU186" s="59">
        <f t="shared" si="152"/>
        <v>358.67120540290637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>
        <f>EXP(-LN(2)/35)*EA185+(1-EXP(-LN(2)/35))/(LN(2)/35)*DW186*DX186*VLOOKUP('Données projet'!$B$14,Paramètres!$A$1:$I$89,3,0)*0.475*44/12</f>
        <v>5.377220704812645</v>
      </c>
      <c r="EB186" s="21">
        <f>EXP(-LN(2)/25)*EB185+(1-EXP(-LN(2)/25))/(LN(2)/25)*Calculateur!DW186*Calculateur!DY186*VLOOKUP('Données projet'!$B$14,Paramètres!$A$1:$I$89,3,0)*0.475*44/12</f>
        <v>2.3478329116578704</v>
      </c>
      <c r="EC186" s="21">
        <f>EXP(-LN(2)/2)*EC185+(1-EXP(-LN(2)/2))/(LN(2)/2)*DW186*DZ186*VLOOKUP('Données projet'!$B$14,Paramètres!$A$1:$I$89,3,0)*0.475*44/12</f>
        <v>1.921710699688392E-14</v>
      </c>
      <c r="ED186" s="22">
        <f t="shared" si="178"/>
        <v>7.725053616470535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45">
      <c r="A187" s="10">
        <f t="shared" si="161"/>
        <v>184</v>
      </c>
      <c r="B187" s="73">
        <f>'Scénario référence'!$B$16*5+'Scénario référence'!$B$17*0+'Scénario référence'!$B$18*5</f>
        <v>5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1">
        <f t="shared" si="140"/>
        <v>0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18.333333333333332</v>
      </c>
      <c r="H187" s="67">
        <f t="shared" si="110"/>
        <v>183.33333333333334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7.9580786405131221E-13</v>
      </c>
      <c r="O187" s="13">
        <f>N187*VLOOKUP('Données projet'!$B$9,Paramètres!$A$1:$I$89,3,0)*VLOOKUP('Données projet'!$B$9,Paramètres!$A$1:$I$89,5,0)</f>
        <v>7.2004695539362725E-13</v>
      </c>
      <c r="P187" s="13">
        <f t="shared" si="141"/>
        <v>8.5963894794935589E-12</v>
      </c>
      <c r="Q187" s="20">
        <f t="shared" si="162"/>
        <v>1.6226126790761848E-11</v>
      </c>
      <c r="R187" s="59">
        <f t="shared" si="109"/>
        <v>289.67078632612294</v>
      </c>
      <c r="S187" s="59">
        <f ca="1">AVERAGE(OFFSET($R$3,0,0,'Données projet'!$E$9+1,1))-AVERAGE(OFFSET($H$3,0,0,'Données projet'!$E$9+1,1))</f>
        <v>681.47578137804555</v>
      </c>
      <c r="T187" s="59">
        <f t="shared" si="142"/>
        <v>300.88511065995885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151.10857299297834</v>
      </c>
      <c r="AA187" s="21">
        <f>EXP(-LN(2)/25)*AA186+(1-EXP(-LN(2)/25))/(LN(2)/25)*Calculateur!V187*Calculateur!X187*VLOOKUP('Données projet'!$B$9,Paramètres!$A$1:$I$89,3,0)*0.475*44/12</f>
        <v>25.037020650556091</v>
      </c>
      <c r="AB187" s="21">
        <f>EXP(-LN(2)/2)*AB186+(1-EXP(-LN(2)/2))/(LN(2)/2)*V187*Y187*VLOOKUP('Données projet'!$B$9,Paramètres!$A$1:$I$89,3,0)*0.475*44/12</f>
        <v>7.5127704464093537</v>
      </c>
      <c r="AC187" s="22">
        <f t="shared" si="163"/>
        <v>183.65836408994377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3.4106051316484809E-13</v>
      </c>
      <c r="AJ187" s="13">
        <f>AI187*VLOOKUP('Données projet'!$B$10,Paramètres!$A$1:$I$89,3,0)*VLOOKUP('Données projet'!$B$10,Paramètres!$A$1:$I$89,5,0)</f>
        <v>1.5961632016114892E-13</v>
      </c>
      <c r="AK187" s="13">
        <f t="shared" si="164"/>
        <v>2.2708641912150958E-12</v>
      </c>
      <c r="AL187" s="20">
        <f t="shared" si="165"/>
        <v>4.2330868906469593E-12</v>
      </c>
      <c r="AM187" s="59">
        <f t="shared" si="113"/>
        <v>289.67078632611094</v>
      </c>
      <c r="AN187" s="59">
        <f ca="1">AVERAGE(OFFSET($AM$3,0,0,'Données projet'!$E$10+1,1))-AVERAGE(OFFSET($H$3,0,0,'Données projet'!$E$10+1,1))</f>
        <v>325.45940224919184</v>
      </c>
      <c r="AO187" s="59">
        <f t="shared" si="144"/>
        <v>256.30046621034876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29.712412725708386</v>
      </c>
      <c r="AV187" s="21">
        <f>EXP(-LN(2)/25)*AV186+(1-EXP(-LN(2)/25))/(LN(2)/25)*Calculateur!AQ187*Calculateur!AS187*VLOOKUP('Données projet'!$B$10,Paramètres!$A$1:$I$89,3,0)*0.475*44/12</f>
        <v>5.2354273780576346</v>
      </c>
      <c r="AW187" s="21">
        <f>EXP(-LN(2)/2)*AW186+(1-EXP(-LN(2)/2))/(LN(2)/2)*AQ187*AT187*VLOOKUP('Données projet'!$B$10,Paramètres!$A$1:$I$89,3,0)*0.475*44/12</f>
        <v>1.6200142942786543E-10</v>
      </c>
      <c r="AX187" s="21">
        <f t="shared" si="166"/>
        <v>34.947840103928023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>
        <f>VLOOKUP(A187,'Données projet'!$A$87:$I$107,2,0)</f>
        <v>300.14</v>
      </c>
      <c r="BB187" s="12">
        <f>VLOOKUP(A187,'Données projet'!$A$87:$I$107,9,0)</f>
        <v>4.7974999999999994</v>
      </c>
      <c r="BC187" s="12">
        <f t="array" ref="BC187">INDEX(BB:BB,MIN(IF(ISNUMBER(BB187:BB383),ROW(BB187:BB383),"")))</f>
        <v>4.7974999999999994</v>
      </c>
      <c r="BD187" s="12">
        <f>IF('Données projet'!$A$88&gt;35,BD186+BC187-BL186,IF(A187&lt;'Données projet'!$A$88,$BA$205^A187,IF(A187='Données projet'!$A$88,'Données projet'!$B$88,BD186+BC187-BL186)))</f>
        <v>300.1399999999997</v>
      </c>
      <c r="BE187" s="13">
        <f>BD187*VLOOKUP('Données projet'!$B$11,Paramètres!$A$1:$I$89,3,0)*VLOOKUP('Données projet'!$B$11,Paramètres!$A$1:$I$89,5,0)</f>
        <v>304.34195999999969</v>
      </c>
      <c r="BF187" s="13">
        <f t="shared" si="167"/>
        <v>72.085942433343163</v>
      </c>
      <c r="BG187" s="20">
        <f t="shared" si="168"/>
        <v>655.61193007140548</v>
      </c>
      <c r="BH187" s="59">
        <f t="shared" si="116"/>
        <v>945.28271639751222</v>
      </c>
      <c r="BI187" s="59">
        <f ca="1">AVERAGE(OFFSET($BH$3,0,0,'Données projet'!$E$11+1,1))-AVERAGE(OFFSET($H$3,0,0,'Données projet'!$E$11+1,1))</f>
        <v>580.02848304986492</v>
      </c>
      <c r="BJ187" s="59">
        <f t="shared" si="146"/>
        <v>281.68891895586728</v>
      </c>
      <c r="BK187" s="15">
        <f>IF(ISNA(VLOOKUP(A187,'Données projet'!$A$87:$I$107,3,0)),0,VLOOKUP(A187,'Données projet'!$A$87:$I$107,3,0))</f>
        <v>14</v>
      </c>
      <c r="BL187" s="15">
        <f>IF(ISNA(VLOOKUP(A187,'Données projet'!$A$87:$I$107,4,0)),0,VLOOKUP(A187,'Données projet'!$A$87:$I$107,4,0))</f>
        <v>101.19999999999999</v>
      </c>
      <c r="BM187" s="16">
        <f>IF(ISNA(VLOOKUP(A187,'Données projet'!$A$87:$I$107,5,0)),0%,VLOOKUP(A187,'Données projet'!$A$87:$I$107,5,0)*VLOOKUP('Données projet'!$B$11,Paramètres!$A$1:$I$89,7,0))</f>
        <v>0.215</v>
      </c>
      <c r="BN187" s="16">
        <f>IF(ISNA(VLOOKUP(A187,'Données projet'!$A$87:$I$107,6,0)),0%,VLOOKUP(A187,'Données projet'!$A$87:$I$107,6,0)*VLOOKUP('Données projet'!$B$11,Paramètres!$A$1:$I$89,7,0))</f>
        <v>8.6000000000000007E-2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100.17737397216023</v>
      </c>
      <c r="BQ187" s="21">
        <f>EXP(-LN(2)/25)*BQ186+(1-EXP(-LN(2)/25))/(LN(2)/25)*Calculateur!BL187*Calculateur!BN187*VLOOKUP('Données projet'!$B$11,Paramètres!$A$1:$I$89,3,0)*0.475*44/12</f>
        <v>39.724139086128069</v>
      </c>
      <c r="BR187" s="21">
        <f>EXP(-LN(2)/2)*BR186+(1-EXP(-LN(2)/2))/(LN(2)/2)*BL187*BO187*VLOOKUP('Données projet'!$B$11,Paramètres!$A$1:$I$89,3,0)*0.475*44/12</f>
        <v>5.6327248255273458E-6</v>
      </c>
      <c r="BS187" s="22">
        <f t="shared" si="169"/>
        <v>139.90151869101311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>
        <f>BY187*VLOOKUP('Données projet'!$B$12,Paramètres!$A$1:$I$89,3,0)*VLOOKUP('Données projet'!$B$12,Paramètres!$A$1:$I$89,5,0)</f>
        <v>0</v>
      </c>
      <c r="CA187" s="13" t="e">
        <f t="shared" si="170"/>
        <v>#NUM!</v>
      </c>
      <c r="CB187" s="20" t="e">
        <f t="shared" si="171"/>
        <v>#NUM!</v>
      </c>
      <c r="CC187" s="59" t="e">
        <f t="shared" si="119"/>
        <v>#NUM!</v>
      </c>
      <c r="CD187" s="59">
        <f ca="1">AVERAGE(OFFSET($CC$3,0,0,'Données projet'!$E$12+1,1))-AVERAGE(OFFSET($H$3,0,0,'Données projet'!$E$12+1,1))</f>
        <v>439.15394290667945</v>
      </c>
      <c r="CE187" s="59">
        <f t="shared" si="148"/>
        <v>423.56554025351068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6.4315675576179023</v>
      </c>
      <c r="CL187" s="21">
        <f>EXP(-LN(2)/25)*CL186+(1-EXP(-LN(2)/25))/(LN(2)/25)*Calculateur!CG187*Calculateur!CI187*VLOOKUP('Données projet'!$B$12,Paramètres!$A$1:$I$89,3,0)*0.475*44/12</f>
        <v>2.7860301826101317</v>
      </c>
      <c r="CM187" s="21">
        <f>EXP(-LN(2)/2)*CM186+(1-EXP(-LN(2)/2))/(LN(2)/2)*CG187*CJ187*VLOOKUP('Données projet'!$B$12,Paramètres!$A$1:$I$89,3,0)*0.475*44/12</f>
        <v>1.657802694018653E-14</v>
      </c>
      <c r="CN187" s="22">
        <f t="shared" si="172"/>
        <v>9.2175977402280491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>
        <f>CT187*VLOOKUP('Données projet'!$B$13,Paramètres!$A$1:$I$89,3,0)*VLOOKUP('Données projet'!$B$13,Paramètres!$A$1:$I$89,5,0)</f>
        <v>0</v>
      </c>
      <c r="CV187" s="13" t="e">
        <f t="shared" si="173"/>
        <v>#NUM!</v>
      </c>
      <c r="CW187" s="20" t="e">
        <f t="shared" si="174"/>
        <v>#NUM!</v>
      </c>
      <c r="CX187" s="59" t="e">
        <f t="shared" si="122"/>
        <v>#NUM!</v>
      </c>
      <c r="CY187" s="59">
        <f ca="1">AVERAGE(OFFSET($CX$3,0,0,'Données projet'!$E$13+1,1))-AVERAGE(OFFSET($H$3,0,0,'Données projet'!$E$13+1,1))</f>
        <v>408.246209980743</v>
      </c>
      <c r="CZ187" s="59">
        <f t="shared" si="150"/>
        <v>394.10236303013903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>
        <f>EXP(-LN(2)/35)*DF186+(1-EXP(-LN(2)/35))/(LN(2)/35)*DB187*DC187*VLOOKUP('Données projet'!$B$13,Paramètres!$A$1:$I$89,3,0)*0.475*44/12</f>
        <v>7.2775038166259867</v>
      </c>
      <c r="DG187" s="21">
        <f>EXP(-LN(2)/25)*DG186+(1-EXP(-LN(2)/25))/(LN(2)/25)*Calculateur!DB187*Calculateur!DD187*VLOOKUP('Données projet'!$B$13,Paramètres!$A$1:$I$89,3,0)*0.475*44/12</f>
        <v>3.1524733442572916</v>
      </c>
      <c r="DH187" s="21">
        <f>EXP(-LN(2)/2)*DH186+(1-EXP(-LN(2)/2))/(LN(2)/2)*DB187*DE187*VLOOKUP('Données projet'!$B$13,Paramètres!$A$1:$I$89,3,0)*0.475*44/12</f>
        <v>1.521917227295813E-14</v>
      </c>
      <c r="DI187" s="22">
        <f t="shared" si="175"/>
        <v>10.429977160883295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>
        <f>DO187*VLOOKUP('Données projet'!$B$14,Paramètres!$A$1:$I$89,3,0)*VLOOKUP('Données projet'!$B$14,Paramètres!$A$1:$I$89,5,0)</f>
        <v>0</v>
      </c>
      <c r="DQ187" s="13" t="e">
        <f t="shared" si="176"/>
        <v>#NUM!</v>
      </c>
      <c r="DR187" s="20" t="e">
        <f t="shared" si="177"/>
        <v>#NUM!</v>
      </c>
      <c r="DS187" s="59" t="e">
        <f t="shared" si="125"/>
        <v>#NUM!</v>
      </c>
      <c r="DT187" s="59">
        <f ca="1">AVERAGE(OFFSET($DS$3,0,0,'Données projet'!$E$14+1,1))-AVERAGE(OFFSET($H$3,0,0,'Données projet'!$E$14+1,1))</f>
        <v>371.07993287480366</v>
      </c>
      <c r="DU187" s="59">
        <f t="shared" si="152"/>
        <v>358.67120540290637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>
        <f>EXP(-LN(2)/35)*EA186+(1-EXP(-LN(2)/35))/(LN(2)/35)*DW187*DX187*VLOOKUP('Données projet'!$B$14,Paramètres!$A$1:$I$89,3,0)*0.475*44/12</f>
        <v>5.2717766865720472</v>
      </c>
      <c r="EB187" s="21">
        <f>EXP(-LN(2)/25)*EB186+(1-EXP(-LN(2)/25))/(LN(2)/25)*Calculateur!DW187*Calculateur!DY187*VLOOKUP('Données projet'!$B$14,Paramètres!$A$1:$I$89,3,0)*0.475*44/12</f>
        <v>2.2836312972214192</v>
      </c>
      <c r="EC187" s="21">
        <f>EXP(-LN(2)/2)*EC186+(1-EXP(-LN(2)/2))/(LN(2)/2)*DW187*DZ187*VLOOKUP('Données projet'!$B$14,Paramètres!$A$1:$I$89,3,0)*0.475*44/12</f>
        <v>1.358854667228407E-14</v>
      </c>
      <c r="ED187" s="22">
        <f t="shared" si="178"/>
        <v>7.5554079837934802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45">
      <c r="A188" s="10">
        <f t="shared" si="161"/>
        <v>185</v>
      </c>
      <c r="B188" s="73">
        <f>'Scénario référence'!$B$16*5+'Scénario référence'!$B$17*0+'Scénario référence'!$B$18*5</f>
        <v>5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1">
        <f t="shared" si="140"/>
        <v>0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18.333333333333332</v>
      </c>
      <c r="H188" s="67">
        <f t="shared" si="110"/>
        <v>183.33333333333334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7.9580786405131221E-13</v>
      </c>
      <c r="O188" s="13">
        <f>N188*VLOOKUP('Données projet'!$B$9,Paramètres!$A$1:$I$89,3,0)*VLOOKUP('Données projet'!$B$9,Paramètres!$A$1:$I$89,5,0)</f>
        <v>7.2004695539362725E-13</v>
      </c>
      <c r="P188" s="13">
        <f t="shared" si="141"/>
        <v>8.5963894794935589E-12</v>
      </c>
      <c r="Q188" s="20">
        <f t="shared" si="162"/>
        <v>1.6226126790761848E-11</v>
      </c>
      <c r="R188" s="59">
        <f t="shared" si="109"/>
        <v>289.73432332846994</v>
      </c>
      <c r="S188" s="59">
        <f ca="1">AVERAGE(OFFSET($R$3,0,0,'Données projet'!$E$9+1,1))-AVERAGE(OFFSET($H$3,0,0,'Données projet'!$E$9+1,1))</f>
        <v>681.47578137804555</v>
      </c>
      <c r="T188" s="59">
        <f t="shared" si="142"/>
        <v>300.88511065995885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148.14542604371482</v>
      </c>
      <c r="AA188" s="21">
        <f>EXP(-LN(2)/25)*AA187+(1-EXP(-LN(2)/25))/(LN(2)/25)*Calculateur!V188*Calculateur!X188*VLOOKUP('Données projet'!$B$9,Paramètres!$A$1:$I$89,3,0)*0.475*44/12</f>
        <v>24.352382004226943</v>
      </c>
      <c r="AB188" s="21">
        <f>EXP(-LN(2)/2)*AB187+(1-EXP(-LN(2)/2))/(LN(2)/2)*V188*Y188*VLOOKUP('Données projet'!$B$9,Paramètres!$A$1:$I$89,3,0)*0.475*44/12</f>
        <v>5.3123309281539406</v>
      </c>
      <c r="AC188" s="22">
        <f t="shared" si="163"/>
        <v>177.81013897609569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3.4106051316484809E-13</v>
      </c>
      <c r="AJ188" s="13">
        <f>AI188*VLOOKUP('Données projet'!$B$10,Paramètres!$A$1:$I$89,3,0)*VLOOKUP('Données projet'!$B$10,Paramètres!$A$1:$I$89,5,0)</f>
        <v>1.5961632016114892E-13</v>
      </c>
      <c r="AK188" s="13">
        <f t="shared" si="164"/>
        <v>2.2708641912150958E-12</v>
      </c>
      <c r="AL188" s="20">
        <f t="shared" si="165"/>
        <v>4.2330868906469593E-12</v>
      </c>
      <c r="AM188" s="59">
        <f t="shared" si="113"/>
        <v>289.73432332845795</v>
      </c>
      <c r="AN188" s="59">
        <f ca="1">AVERAGE(OFFSET($AM$3,0,0,'Données projet'!$E$10+1,1))-AVERAGE(OFFSET($H$3,0,0,'Données projet'!$E$10+1,1))</f>
        <v>325.45940224919184</v>
      </c>
      <c r="AO188" s="59">
        <f t="shared" si="144"/>
        <v>256.30046621034876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29.12977043493953</v>
      </c>
      <c r="AV188" s="21">
        <f>EXP(-LN(2)/25)*AV187+(1-EXP(-LN(2)/25))/(LN(2)/25)*Calculateur!AQ188*Calculateur!AS188*VLOOKUP('Données projet'!$B$10,Paramètres!$A$1:$I$89,3,0)*0.475*44/12</f>
        <v>5.0922643410854889</v>
      </c>
      <c r="AW188" s="21">
        <f>EXP(-LN(2)/2)*AW187+(1-EXP(-LN(2)/2))/(LN(2)/2)*AQ188*AT188*VLOOKUP('Données projet'!$B$10,Paramètres!$A$1:$I$89,3,0)*0.475*44/12</f>
        <v>1.1455230931035757E-10</v>
      </c>
      <c r="AX188" s="21">
        <f t="shared" si="166"/>
        <v>34.222034776139573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3.0825000000000031</v>
      </c>
      <c r="BD188" s="12">
        <f>IF('Données projet'!$A$88&gt;35,BD187+BC188-BL187,IF(A188&lt;'Données projet'!$A$88,$BA$205^A188,IF(A188='Données projet'!$A$88,'Données projet'!$B$88,BD187+BC188-BL187)))</f>
        <v>202.0224999999997</v>
      </c>
      <c r="BE188" s="13">
        <f>BD188*VLOOKUP('Données projet'!$B$11,Paramètres!$A$1:$I$89,3,0)*VLOOKUP('Données projet'!$B$11,Paramètres!$A$1:$I$89,5,0)</f>
        <v>204.8508149999997</v>
      </c>
      <c r="BF188" s="13">
        <f t="shared" si="167"/>
        <v>50.808738613533862</v>
      </c>
      <c r="BG188" s="20">
        <f t="shared" si="168"/>
        <v>445.27372254357095</v>
      </c>
      <c r="BH188" s="59">
        <f t="shared" si="116"/>
        <v>735.0080458720247</v>
      </c>
      <c r="BI188" s="59">
        <f ca="1">AVERAGE(OFFSET($BH$3,0,0,'Données projet'!$E$11+1,1))-AVERAGE(OFFSET($H$3,0,0,'Données projet'!$E$11+1,1))</f>
        <v>580.02848304986492</v>
      </c>
      <c r="BJ188" s="59">
        <f t="shared" si="146"/>
        <v>281.68891895586728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98.212956770730955</v>
      </c>
      <c r="BQ188" s="21">
        <f>EXP(-LN(2)/25)*BQ187+(1-EXP(-LN(2)/25))/(LN(2)/25)*Calculateur!BL188*Calculateur!BN188*VLOOKUP('Données projet'!$B$11,Paramètres!$A$1:$I$89,3,0)*0.475*44/12</f>
        <v>38.637880413816212</v>
      </c>
      <c r="BR188" s="21">
        <f>EXP(-LN(2)/2)*BR187+(1-EXP(-LN(2)/2))/(LN(2)/2)*BL188*BO188*VLOOKUP('Données projet'!$B$11,Paramètres!$A$1:$I$89,3,0)*0.475*44/12</f>
        <v>3.982937920688199E-6</v>
      </c>
      <c r="BS188" s="22">
        <f t="shared" si="169"/>
        <v>136.8508411674851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>
        <f>BY188*VLOOKUP('Données projet'!$B$12,Paramètres!$A$1:$I$89,3,0)*VLOOKUP('Données projet'!$B$12,Paramètres!$A$1:$I$89,5,0)</f>
        <v>0</v>
      </c>
      <c r="CA188" s="13" t="e">
        <f t="shared" si="170"/>
        <v>#NUM!</v>
      </c>
      <c r="CB188" s="20" t="e">
        <f t="shared" si="171"/>
        <v>#NUM!</v>
      </c>
      <c r="CC188" s="59" t="e">
        <f t="shared" si="119"/>
        <v>#NUM!</v>
      </c>
      <c r="CD188" s="59">
        <f ca="1">AVERAGE(OFFSET($CC$3,0,0,'Données projet'!$E$12+1,1))-AVERAGE(OFFSET($H$3,0,0,'Données projet'!$E$12+1,1))</f>
        <v>439.15394290667945</v>
      </c>
      <c r="CE188" s="59">
        <f t="shared" si="148"/>
        <v>423.56554025351068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6.3054484406818743</v>
      </c>
      <c r="CL188" s="21">
        <f>EXP(-LN(2)/25)*CL187+(1-EXP(-LN(2)/25))/(LN(2)/25)*Calculateur!CG188*Calculateur!CI188*VLOOKUP('Données projet'!$B$12,Paramètres!$A$1:$I$89,3,0)*0.475*44/12</f>
        <v>2.7098460407556977</v>
      </c>
      <c r="CM188" s="21">
        <f>EXP(-LN(2)/2)*CM187+(1-EXP(-LN(2)/2))/(LN(2)/2)*CG188*CJ188*VLOOKUP('Données projet'!$B$12,Paramètres!$A$1:$I$89,3,0)*0.475*44/12</f>
        <v>1.1722435268099167E-14</v>
      </c>
      <c r="CN188" s="22">
        <f t="shared" si="172"/>
        <v>9.0152944814375839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>
        <f>CT188*VLOOKUP('Données projet'!$B$13,Paramètres!$A$1:$I$89,3,0)*VLOOKUP('Données projet'!$B$13,Paramètres!$A$1:$I$89,5,0)</f>
        <v>0</v>
      </c>
      <c r="CV188" s="13" t="e">
        <f t="shared" si="173"/>
        <v>#NUM!</v>
      </c>
      <c r="CW188" s="20" t="e">
        <f t="shared" si="174"/>
        <v>#NUM!</v>
      </c>
      <c r="CX188" s="59" t="e">
        <f t="shared" si="122"/>
        <v>#NUM!</v>
      </c>
      <c r="CY188" s="59">
        <f ca="1">AVERAGE(OFFSET($CX$3,0,0,'Données projet'!$E$13+1,1))-AVERAGE(OFFSET($H$3,0,0,'Données projet'!$E$13+1,1))</f>
        <v>408.246209980743</v>
      </c>
      <c r="CZ188" s="59">
        <f t="shared" si="150"/>
        <v>394.10236303013903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>
        <f>EXP(-LN(2)/35)*DF187+(1-EXP(-LN(2)/35))/(LN(2)/35)*DB188*DC188*VLOOKUP('Données projet'!$B$13,Paramètres!$A$1:$I$89,3,0)*0.475*44/12</f>
        <v>7.1347964056209801</v>
      </c>
      <c r="DG188" s="21">
        <f>EXP(-LN(2)/25)*DG187+(1-EXP(-LN(2)/25))/(LN(2)/25)*Calculateur!DB188*Calculateur!DD188*VLOOKUP('Données projet'!$B$13,Paramètres!$A$1:$I$89,3,0)*0.475*44/12</f>
        <v>3.066268794877208</v>
      </c>
      <c r="DH188" s="21">
        <f>EXP(-LN(2)/2)*DH187+(1-EXP(-LN(2)/2))/(LN(2)/2)*DB188*DE188*VLOOKUP('Données projet'!$B$13,Paramètres!$A$1:$I$89,3,0)*0.475*44/12</f>
        <v>1.0761579918254976E-14</v>
      </c>
      <c r="DI188" s="22">
        <f t="shared" si="175"/>
        <v>10.201065200498199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>
        <f>DO188*VLOOKUP('Données projet'!$B$14,Paramètres!$A$1:$I$89,3,0)*VLOOKUP('Données projet'!$B$14,Paramètres!$A$1:$I$89,5,0)</f>
        <v>0</v>
      </c>
      <c r="DQ188" s="13" t="e">
        <f t="shared" si="176"/>
        <v>#NUM!</v>
      </c>
      <c r="DR188" s="20" t="e">
        <f t="shared" si="177"/>
        <v>#NUM!</v>
      </c>
      <c r="DS188" s="59" t="e">
        <f t="shared" si="125"/>
        <v>#NUM!</v>
      </c>
      <c r="DT188" s="59">
        <f ca="1">AVERAGE(OFFSET($DS$3,0,0,'Données projet'!$E$14+1,1))-AVERAGE(OFFSET($H$3,0,0,'Données projet'!$E$14+1,1))</f>
        <v>371.07993287480366</v>
      </c>
      <c r="DU188" s="59">
        <f t="shared" si="152"/>
        <v>358.67120540290637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>
        <f>EXP(-LN(2)/35)*EA187+(1-EXP(-LN(2)/35))/(LN(2)/35)*DW188*DX188*VLOOKUP('Données projet'!$B$14,Paramètres!$A$1:$I$89,3,0)*0.475*44/12</f>
        <v>5.1684003612146476</v>
      </c>
      <c r="EB188" s="21">
        <f>EXP(-LN(2)/25)*EB187+(1-EXP(-LN(2)/25))/(LN(2)/25)*Calculateur!DW188*Calculateur!DY188*VLOOKUP('Données projet'!$B$14,Paramètres!$A$1:$I$89,3,0)*0.475*44/12</f>
        <v>2.221185279307949</v>
      </c>
      <c r="EC188" s="21">
        <f>EXP(-LN(2)/2)*EC187+(1-EXP(-LN(2)/2))/(LN(2)/2)*DW188*DZ188*VLOOKUP('Données projet'!$B$14,Paramètres!$A$1:$I$89,3,0)*0.475*44/12</f>
        <v>9.6085534984419599E-15</v>
      </c>
      <c r="ED188" s="22">
        <f t="shared" si="178"/>
        <v>7.3895856405226068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45">
      <c r="A189" s="10">
        <f t="shared" si="161"/>
        <v>186</v>
      </c>
      <c r="B189" s="73">
        <f>'Scénario référence'!$B$16*5+'Scénario référence'!$B$17*0+'Scénario référence'!$B$18*5</f>
        <v>5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1">
        <f t="shared" si="140"/>
        <v>0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18.333333333333332</v>
      </c>
      <c r="H189" s="67">
        <f t="shared" si="110"/>
        <v>183.33333333333334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7.9580786405131221E-13</v>
      </c>
      <c r="O189" s="13">
        <f>N189*VLOOKUP('Données projet'!$B$9,Paramètres!$A$1:$I$89,3,0)*VLOOKUP('Données projet'!$B$9,Paramètres!$A$1:$I$89,5,0)</f>
        <v>7.2004695539362725E-13</v>
      </c>
      <c r="P189" s="13">
        <f t="shared" si="141"/>
        <v>8.5963894794935589E-12</v>
      </c>
      <c r="Q189" s="20">
        <f t="shared" si="162"/>
        <v>1.6226126790761848E-11</v>
      </c>
      <c r="R189" s="59">
        <f t="shared" si="109"/>
        <v>289.79675810587361</v>
      </c>
      <c r="S189" s="59">
        <f ca="1">AVERAGE(OFFSET($R$3,0,0,'Données projet'!$E$9+1,1))-AVERAGE(OFFSET($H$3,0,0,'Données projet'!$E$9+1,1))</f>
        <v>681.47578137804555</v>
      </c>
      <c r="T189" s="59">
        <f t="shared" si="142"/>
        <v>300.88511065995885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145.24038459878517</v>
      </c>
      <c r="AA189" s="21">
        <f>EXP(-LN(2)/25)*AA188+(1-EXP(-LN(2)/25))/(LN(2)/25)*Calculateur!V189*Calculateur!X189*VLOOKUP('Données projet'!$B$9,Paramètres!$A$1:$I$89,3,0)*0.475*44/12</f>
        <v>23.686464837685246</v>
      </c>
      <c r="AB189" s="21">
        <f>EXP(-LN(2)/2)*AB188+(1-EXP(-LN(2)/2))/(LN(2)/2)*V189*Y189*VLOOKUP('Données projet'!$B$9,Paramètres!$A$1:$I$89,3,0)*0.475*44/12</f>
        <v>3.7563852232046777</v>
      </c>
      <c r="AC189" s="22">
        <f t="shared" si="163"/>
        <v>172.68323465967509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3.4106051316484809E-13</v>
      </c>
      <c r="AJ189" s="13">
        <f>AI189*VLOOKUP('Données projet'!$B$10,Paramètres!$A$1:$I$89,3,0)*VLOOKUP('Données projet'!$B$10,Paramètres!$A$1:$I$89,5,0)</f>
        <v>1.5961632016114892E-13</v>
      </c>
      <c r="AK189" s="13">
        <f t="shared" si="164"/>
        <v>2.2708641912150958E-12</v>
      </c>
      <c r="AL189" s="20">
        <f t="shared" si="165"/>
        <v>4.2330868906469593E-12</v>
      </c>
      <c r="AM189" s="59">
        <f t="shared" si="113"/>
        <v>289.79675810586161</v>
      </c>
      <c r="AN189" s="59">
        <f ca="1">AVERAGE(OFFSET($AM$3,0,0,'Données projet'!$E$10+1,1))-AVERAGE(OFFSET($H$3,0,0,'Données projet'!$E$10+1,1))</f>
        <v>325.45940224919184</v>
      </c>
      <c r="AO189" s="59">
        <f t="shared" si="144"/>
        <v>256.30046621034876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28.558553404115944</v>
      </c>
      <c r="AV189" s="21">
        <f>EXP(-LN(2)/25)*AV188+(1-EXP(-LN(2)/25))/(LN(2)/25)*Calculateur!AQ189*Calculateur!AS189*VLOOKUP('Données projet'!$B$10,Paramètres!$A$1:$I$89,3,0)*0.475*44/12</f>
        <v>4.9530161048879631</v>
      </c>
      <c r="AW189" s="21">
        <f>EXP(-LN(2)/2)*AW188+(1-EXP(-LN(2)/2))/(LN(2)/2)*AQ189*AT189*VLOOKUP('Données projet'!$B$10,Paramètres!$A$1:$I$89,3,0)*0.475*44/12</f>
        <v>8.1000714713932727E-11</v>
      </c>
      <c r="AX189" s="21">
        <f t="shared" si="166"/>
        <v>33.511569509084907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3.0825000000000031</v>
      </c>
      <c r="BD189" s="12">
        <f>IF('Données projet'!$A$88&gt;35,BD188+BC189-BL188,IF(A189&lt;'Données projet'!$A$88,$BA$205^A189,IF(A189='Données projet'!$A$88,'Données projet'!$B$88,BD188+BC189-BL188)))</f>
        <v>205.10499999999971</v>
      </c>
      <c r="BE189" s="13">
        <f>BD189*VLOOKUP('Données projet'!$B$11,Paramètres!$A$1:$I$89,3,0)*VLOOKUP('Données projet'!$B$11,Paramètres!$A$1:$I$89,5,0)</f>
        <v>207.97646999999969</v>
      </c>
      <c r="BF189" s="13">
        <f t="shared" si="167"/>
        <v>51.493144603798712</v>
      </c>
      <c r="BG189" s="20">
        <f t="shared" si="168"/>
        <v>451.90957876828219</v>
      </c>
      <c r="BH189" s="59">
        <f t="shared" si="116"/>
        <v>741.70633687413965</v>
      </c>
      <c r="BI189" s="59">
        <f ca="1">AVERAGE(OFFSET($BH$3,0,0,'Données projet'!$E$11+1,1))-AVERAGE(OFFSET($H$3,0,0,'Données projet'!$E$11+1,1))</f>
        <v>580.02848304986492</v>
      </c>
      <c r="BJ189" s="59">
        <f t="shared" si="146"/>
        <v>281.68891895586728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96.287060592445528</v>
      </c>
      <c r="BQ189" s="21">
        <f>EXP(-LN(2)/25)*BQ188+(1-EXP(-LN(2)/25))/(LN(2)/25)*Calculateur!BL189*Calculateur!BN189*VLOOKUP('Données projet'!$B$11,Paramètres!$A$1:$I$89,3,0)*0.475*44/12</f>
        <v>37.581325542022583</v>
      </c>
      <c r="BR189" s="21">
        <f>EXP(-LN(2)/2)*BR188+(1-EXP(-LN(2)/2))/(LN(2)/2)*BL189*BO189*VLOOKUP('Données projet'!$B$11,Paramètres!$A$1:$I$89,3,0)*0.475*44/12</f>
        <v>2.8163624127636729E-6</v>
      </c>
      <c r="BS189" s="22">
        <f t="shared" si="169"/>
        <v>133.86838895083051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>
        <f>BY189*VLOOKUP('Données projet'!$B$12,Paramètres!$A$1:$I$89,3,0)*VLOOKUP('Données projet'!$B$12,Paramètres!$A$1:$I$89,5,0)</f>
        <v>0</v>
      </c>
      <c r="CA189" s="13" t="e">
        <f t="shared" si="170"/>
        <v>#NUM!</v>
      </c>
      <c r="CB189" s="20" t="e">
        <f t="shared" si="171"/>
        <v>#NUM!</v>
      </c>
      <c r="CC189" s="59" t="e">
        <f t="shared" si="119"/>
        <v>#NUM!</v>
      </c>
      <c r="CD189" s="59">
        <f ca="1">AVERAGE(OFFSET($CC$3,0,0,'Données projet'!$E$12+1,1))-AVERAGE(OFFSET($H$3,0,0,'Données projet'!$E$12+1,1))</f>
        <v>439.15394290667945</v>
      </c>
      <c r="CE189" s="59">
        <f t="shared" si="148"/>
        <v>423.56554025351068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6.181802442703896</v>
      </c>
      <c r="CL189" s="21">
        <f>EXP(-LN(2)/25)*CL188+(1-EXP(-LN(2)/25))/(LN(2)/25)*Calculateur!CG189*Calculateur!CI189*VLOOKUP('Données projet'!$B$12,Paramètres!$A$1:$I$89,3,0)*0.475*44/12</f>
        <v>2.6357451582666234</v>
      </c>
      <c r="CM189" s="21">
        <f>EXP(-LN(2)/2)*CM188+(1-EXP(-LN(2)/2))/(LN(2)/2)*CG189*CJ189*VLOOKUP('Données projet'!$B$12,Paramètres!$A$1:$I$89,3,0)*0.475*44/12</f>
        <v>8.289013470093265E-15</v>
      </c>
      <c r="CN189" s="22">
        <f t="shared" si="172"/>
        <v>8.8175476009705278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>
        <f>CT189*VLOOKUP('Données projet'!$B$13,Paramètres!$A$1:$I$89,3,0)*VLOOKUP('Données projet'!$B$13,Paramètres!$A$1:$I$89,5,0)</f>
        <v>0</v>
      </c>
      <c r="CV189" s="13" t="e">
        <f t="shared" si="173"/>
        <v>#NUM!</v>
      </c>
      <c r="CW189" s="20" t="e">
        <f t="shared" si="174"/>
        <v>#NUM!</v>
      </c>
      <c r="CX189" s="59" t="e">
        <f t="shared" si="122"/>
        <v>#NUM!</v>
      </c>
      <c r="CY189" s="59">
        <f ca="1">AVERAGE(OFFSET($CX$3,0,0,'Données projet'!$E$13+1,1))-AVERAGE(OFFSET($H$3,0,0,'Données projet'!$E$13+1,1))</f>
        <v>408.246209980743</v>
      </c>
      <c r="CZ189" s="59">
        <f t="shared" si="150"/>
        <v>394.10236303013903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>
        <f>EXP(-LN(2)/35)*DF188+(1-EXP(-LN(2)/35))/(LN(2)/35)*DB189*DC189*VLOOKUP('Données projet'!$B$13,Paramètres!$A$1:$I$89,3,0)*0.475*44/12</f>
        <v>6.994887399902856</v>
      </c>
      <c r="DG189" s="21">
        <f>EXP(-LN(2)/25)*DG188+(1-EXP(-LN(2)/25))/(LN(2)/25)*Calculateur!DB189*Calculateur!DD189*VLOOKUP('Données projet'!$B$13,Paramètres!$A$1:$I$89,3,0)*0.475*44/12</f>
        <v>2.982421513433223</v>
      </c>
      <c r="DH189" s="21">
        <f>EXP(-LN(2)/2)*DH188+(1-EXP(-LN(2)/2))/(LN(2)/2)*DB189*DE189*VLOOKUP('Données projet'!$B$13,Paramètres!$A$1:$I$89,3,0)*0.475*44/12</f>
        <v>7.6095861364790651E-15</v>
      </c>
      <c r="DI189" s="22">
        <f t="shared" si="175"/>
        <v>9.9773089133360866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>
        <f>DO189*VLOOKUP('Données projet'!$B$14,Paramètres!$A$1:$I$89,3,0)*VLOOKUP('Données projet'!$B$14,Paramètres!$A$1:$I$89,5,0)</f>
        <v>0</v>
      </c>
      <c r="DQ189" s="13" t="e">
        <f t="shared" si="176"/>
        <v>#NUM!</v>
      </c>
      <c r="DR189" s="20" t="e">
        <f t="shared" si="177"/>
        <v>#NUM!</v>
      </c>
      <c r="DS189" s="59" t="e">
        <f t="shared" si="125"/>
        <v>#NUM!</v>
      </c>
      <c r="DT189" s="59">
        <f ca="1">AVERAGE(OFFSET($DS$3,0,0,'Données projet'!$E$14+1,1))-AVERAGE(OFFSET($H$3,0,0,'Données projet'!$E$14+1,1))</f>
        <v>371.07993287480366</v>
      </c>
      <c r="DU189" s="59">
        <f t="shared" si="152"/>
        <v>358.67120540290637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>
        <f>EXP(-LN(2)/35)*EA188+(1-EXP(-LN(2)/35))/(LN(2)/35)*DW189*DX189*VLOOKUP('Données projet'!$B$14,Paramètres!$A$1:$I$89,3,0)*0.475*44/12</f>
        <v>5.0670511825441737</v>
      </c>
      <c r="EB189" s="21">
        <f>EXP(-LN(2)/25)*EB188+(1-EXP(-LN(2)/25))/(LN(2)/25)*Calculateur!DW189*Calculateur!DY189*VLOOKUP('Données projet'!$B$14,Paramètres!$A$1:$I$89,3,0)*0.475*44/12</f>
        <v>2.1604468510382158</v>
      </c>
      <c r="EC189" s="21">
        <f>EXP(-LN(2)/2)*EC188+(1-EXP(-LN(2)/2))/(LN(2)/2)*DW189*DZ189*VLOOKUP('Données projet'!$B$14,Paramètres!$A$1:$I$89,3,0)*0.475*44/12</f>
        <v>6.7942733361420348E-15</v>
      </c>
      <c r="ED189" s="22">
        <f t="shared" si="178"/>
        <v>7.2274980335823962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45">
      <c r="A190" s="10">
        <f t="shared" si="161"/>
        <v>187</v>
      </c>
      <c r="B190" s="73">
        <f>'Scénario référence'!$B$16*5+'Scénario référence'!$B$17*0+'Scénario référence'!$B$18*5</f>
        <v>5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1">
        <f t="shared" si="140"/>
        <v>0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18.333333333333332</v>
      </c>
      <c r="H190" s="67">
        <f t="shared" si="110"/>
        <v>183.33333333333334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7.9580786405131221E-13</v>
      </c>
      <c r="O190" s="13">
        <f>N190*VLOOKUP('Données projet'!$B$9,Paramètres!$A$1:$I$89,3,0)*VLOOKUP('Données projet'!$B$9,Paramètres!$A$1:$I$89,5,0)</f>
        <v>7.2004695539362725E-13</v>
      </c>
      <c r="P190" s="13">
        <f t="shared" si="141"/>
        <v>8.5963894794935589E-12</v>
      </c>
      <c r="Q190" s="20">
        <f t="shared" si="162"/>
        <v>1.6226126790761848E-11</v>
      </c>
      <c r="R190" s="59">
        <f t="shared" si="109"/>
        <v>289.85810977947261</v>
      </c>
      <c r="S190" s="59">
        <f ca="1">AVERAGE(OFFSET($R$3,0,0,'Données projet'!$E$9+1,1))-AVERAGE(OFFSET($H$3,0,0,'Données projet'!$E$9+1,1))</f>
        <v>681.47578137804555</v>
      </c>
      <c r="T190" s="59">
        <f t="shared" si="142"/>
        <v>300.88511065995885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142.39230924469027</v>
      </c>
      <c r="AA190" s="21">
        <f>EXP(-LN(2)/25)*AA189+(1-EXP(-LN(2)/25))/(LN(2)/25)*Calculateur!V190*Calculateur!X190*VLOOKUP('Données projet'!$B$9,Paramètres!$A$1:$I$89,3,0)*0.475*44/12</f>
        <v>23.038757211081695</v>
      </c>
      <c r="AB190" s="21">
        <f>EXP(-LN(2)/2)*AB189+(1-EXP(-LN(2)/2))/(LN(2)/2)*V190*Y190*VLOOKUP('Données projet'!$B$9,Paramètres!$A$1:$I$89,3,0)*0.475*44/12</f>
        <v>2.6561654640769707</v>
      </c>
      <c r="AC190" s="22">
        <f t="shared" si="163"/>
        <v>168.08723191984893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3.4106051316484809E-13</v>
      </c>
      <c r="AJ190" s="13">
        <f>AI190*VLOOKUP('Données projet'!$B$10,Paramètres!$A$1:$I$89,3,0)*VLOOKUP('Données projet'!$B$10,Paramètres!$A$1:$I$89,5,0)</f>
        <v>1.5961632016114892E-13</v>
      </c>
      <c r="AK190" s="13">
        <f t="shared" si="164"/>
        <v>2.2708641912150958E-12</v>
      </c>
      <c r="AL190" s="20">
        <f t="shared" si="165"/>
        <v>4.2330868906469593E-12</v>
      </c>
      <c r="AM190" s="59">
        <f t="shared" si="113"/>
        <v>289.85810977946062</v>
      </c>
      <c r="AN190" s="59">
        <f ca="1">AVERAGE(OFFSET($AM$3,0,0,'Données projet'!$E$10+1,1))-AVERAGE(OFFSET($H$3,0,0,'Données projet'!$E$10+1,1))</f>
        <v>325.45940224919184</v>
      </c>
      <c r="AO190" s="59">
        <f t="shared" si="144"/>
        <v>256.30046621034876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27.998537590858824</v>
      </c>
      <c r="AV190" s="21">
        <f>EXP(-LN(2)/25)*AV189+(1-EXP(-LN(2)/25))/(LN(2)/25)*Calculateur!AQ190*Calculateur!AS190*VLOOKUP('Données projet'!$B$10,Paramètres!$A$1:$I$89,3,0)*0.475*44/12</f>
        <v>4.8175756190320049</v>
      </c>
      <c r="AW190" s="21">
        <f>EXP(-LN(2)/2)*AW189+(1-EXP(-LN(2)/2))/(LN(2)/2)*AQ190*AT190*VLOOKUP('Données projet'!$B$10,Paramètres!$A$1:$I$89,3,0)*0.475*44/12</f>
        <v>5.7276154655178794E-11</v>
      </c>
      <c r="AX190" s="21">
        <f t="shared" si="166"/>
        <v>32.816113209948107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3.0825000000000031</v>
      </c>
      <c r="BD190" s="12">
        <f>IF('Données projet'!$A$88&gt;35,BD189+BC190-BL189,IF(A190&lt;'Données projet'!$A$88,$BA$205^A190,IF(A190='Données projet'!$A$88,'Données projet'!$B$88,BD189+BC190-BL189)))</f>
        <v>208.18749999999972</v>
      </c>
      <c r="BE190" s="13">
        <f>BD190*VLOOKUP('Données projet'!$B$11,Paramètres!$A$1:$I$89,3,0)*VLOOKUP('Données projet'!$B$11,Paramètres!$A$1:$I$89,5,0)</f>
        <v>211.10212499999972</v>
      </c>
      <c r="BF190" s="13">
        <f t="shared" si="167"/>
        <v>52.176354318882368</v>
      </c>
      <c r="BG190" s="20">
        <f t="shared" si="168"/>
        <v>458.54335148038626</v>
      </c>
      <c r="BH190" s="59">
        <f t="shared" si="116"/>
        <v>748.40146125984268</v>
      </c>
      <c r="BI190" s="59">
        <f ca="1">AVERAGE(OFFSET($BH$3,0,0,'Données projet'!$E$11+1,1))-AVERAGE(OFFSET($H$3,0,0,'Données projet'!$E$11+1,1))</f>
        <v>580.02848304986492</v>
      </c>
      <c r="BJ190" s="59">
        <f t="shared" si="146"/>
        <v>281.68891895586728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94.398930063535602</v>
      </c>
      <c r="BQ190" s="21">
        <f>EXP(-LN(2)/25)*BQ189+(1-EXP(-LN(2)/25))/(LN(2)/25)*Calculateur!BL190*Calculateur!BN190*VLOOKUP('Données projet'!$B$11,Paramètres!$A$1:$I$89,3,0)*0.475*44/12</f>
        <v>36.55366221875996</v>
      </c>
      <c r="BR190" s="21">
        <f>EXP(-LN(2)/2)*BR189+(1-EXP(-LN(2)/2))/(LN(2)/2)*BL190*BO190*VLOOKUP('Données projet'!$B$11,Paramètres!$A$1:$I$89,3,0)*0.475*44/12</f>
        <v>1.9914689603440995E-6</v>
      </c>
      <c r="BS190" s="22">
        <f t="shared" si="169"/>
        <v>130.95259427376453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>
        <f>BY190*VLOOKUP('Données projet'!$B$12,Paramètres!$A$1:$I$89,3,0)*VLOOKUP('Données projet'!$B$12,Paramètres!$A$1:$I$89,5,0)</f>
        <v>0</v>
      </c>
      <c r="CA190" s="13" t="e">
        <f t="shared" si="170"/>
        <v>#NUM!</v>
      </c>
      <c r="CB190" s="20" t="e">
        <f t="shared" si="171"/>
        <v>#NUM!</v>
      </c>
      <c r="CC190" s="59" t="e">
        <f t="shared" si="119"/>
        <v>#NUM!</v>
      </c>
      <c r="CD190" s="59">
        <f ca="1">AVERAGE(OFFSET($CC$3,0,0,'Données projet'!$E$12+1,1))-AVERAGE(OFFSET($H$3,0,0,'Données projet'!$E$12+1,1))</f>
        <v>439.15394290667945</v>
      </c>
      <c r="CE190" s="59">
        <f t="shared" si="148"/>
        <v>423.56554025351068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6.0605810673296538</v>
      </c>
      <c r="CL190" s="21">
        <f>EXP(-LN(2)/25)*CL189+(1-EXP(-LN(2)/25))/(LN(2)/25)*Calculateur!CG190*Calculateur!CI190*VLOOKUP('Données projet'!$B$12,Paramètres!$A$1:$I$89,3,0)*0.475*44/12</f>
        <v>2.5636705683060086</v>
      </c>
      <c r="CM190" s="21">
        <f>EXP(-LN(2)/2)*CM189+(1-EXP(-LN(2)/2))/(LN(2)/2)*CG190*CJ190*VLOOKUP('Données projet'!$B$12,Paramètres!$A$1:$I$89,3,0)*0.475*44/12</f>
        <v>5.8612176340495834E-15</v>
      </c>
      <c r="CN190" s="22">
        <f t="shared" si="172"/>
        <v>8.6242516356356678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>
        <f>CT190*VLOOKUP('Données projet'!$B$13,Paramètres!$A$1:$I$89,3,0)*VLOOKUP('Données projet'!$B$13,Paramètres!$A$1:$I$89,5,0)</f>
        <v>0</v>
      </c>
      <c r="CV190" s="13" t="e">
        <f t="shared" si="173"/>
        <v>#NUM!</v>
      </c>
      <c r="CW190" s="20" t="e">
        <f t="shared" si="174"/>
        <v>#NUM!</v>
      </c>
      <c r="CX190" s="59" t="e">
        <f t="shared" si="122"/>
        <v>#NUM!</v>
      </c>
      <c r="CY190" s="59">
        <f ca="1">AVERAGE(OFFSET($CX$3,0,0,'Données projet'!$E$13+1,1))-AVERAGE(OFFSET($H$3,0,0,'Données projet'!$E$13+1,1))</f>
        <v>408.246209980743</v>
      </c>
      <c r="CZ190" s="59">
        <f t="shared" si="150"/>
        <v>394.10236303013903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>
        <f>EXP(-LN(2)/35)*DF189+(1-EXP(-LN(2)/35))/(LN(2)/35)*DB190*DC190*VLOOKUP('Données projet'!$B$13,Paramètres!$A$1:$I$89,3,0)*0.475*44/12</f>
        <v>6.8577219244507974</v>
      </c>
      <c r="DG190" s="21">
        <f>EXP(-LN(2)/25)*DG189+(1-EXP(-LN(2)/25))/(LN(2)/25)*Calculateur!DB190*Calculateur!DD190*VLOOKUP('Données projet'!$B$13,Paramètres!$A$1:$I$89,3,0)*0.475*44/12</f>
        <v>2.9008670403096604</v>
      </c>
      <c r="DH190" s="21">
        <f>EXP(-LN(2)/2)*DH189+(1-EXP(-LN(2)/2))/(LN(2)/2)*DB190*DE190*VLOOKUP('Données projet'!$B$13,Paramètres!$A$1:$I$89,3,0)*0.475*44/12</f>
        <v>5.3807899591274879E-15</v>
      </c>
      <c r="DI190" s="22">
        <f t="shared" si="175"/>
        <v>9.7585889647604631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>
        <f>DO190*VLOOKUP('Données projet'!$B$14,Paramètres!$A$1:$I$89,3,0)*VLOOKUP('Données projet'!$B$14,Paramètres!$A$1:$I$89,5,0)</f>
        <v>0</v>
      </c>
      <c r="DQ190" s="13" t="e">
        <f t="shared" si="176"/>
        <v>#NUM!</v>
      </c>
      <c r="DR190" s="20" t="e">
        <f t="shared" si="177"/>
        <v>#NUM!</v>
      </c>
      <c r="DS190" s="59" t="e">
        <f t="shared" si="125"/>
        <v>#NUM!</v>
      </c>
      <c r="DT190" s="59">
        <f ca="1">AVERAGE(OFFSET($DS$3,0,0,'Données projet'!$E$14+1,1))-AVERAGE(OFFSET($H$3,0,0,'Données projet'!$E$14+1,1))</f>
        <v>371.07993287480366</v>
      </c>
      <c r="DU190" s="59">
        <f t="shared" si="152"/>
        <v>358.67120540290637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>
        <f>EXP(-LN(2)/35)*EA189+(1-EXP(-LN(2)/35))/(LN(2)/35)*DW190*DX190*VLOOKUP('Données projet'!$B$14,Paramètres!$A$1:$I$89,3,0)*0.475*44/12</f>
        <v>4.9676893994505331</v>
      </c>
      <c r="EB190" s="21">
        <f>EXP(-LN(2)/25)*EB189+(1-EXP(-LN(2)/25))/(LN(2)/25)*Calculateur!DW190*Calculateur!DY190*VLOOKUP('Données projet'!$B$14,Paramètres!$A$1:$I$89,3,0)*0.475*44/12</f>
        <v>2.1013693182836137</v>
      </c>
      <c r="EC190" s="21">
        <f>EXP(-LN(2)/2)*EC189+(1-EXP(-LN(2)/2))/(LN(2)/2)*DW190*DZ190*VLOOKUP('Données projet'!$B$14,Paramètres!$A$1:$I$89,3,0)*0.475*44/12</f>
        <v>4.80427674922098E-15</v>
      </c>
      <c r="ED190" s="22">
        <f t="shared" si="178"/>
        <v>7.0690587177341513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45">
      <c r="A191" s="10">
        <f t="shared" si="161"/>
        <v>188</v>
      </c>
      <c r="B191" s="73">
        <f>'Scénario référence'!$B$16*5+'Scénario référence'!$B$17*0+'Scénario référence'!$B$18*5</f>
        <v>5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1">
        <f t="shared" si="140"/>
        <v>0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18.333333333333332</v>
      </c>
      <c r="H191" s="67">
        <f t="shared" si="110"/>
        <v>183.33333333333334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7.9580786405131221E-13</v>
      </c>
      <c r="O191" s="13">
        <f>N191*VLOOKUP('Données projet'!$B$9,Paramètres!$A$1:$I$89,3,0)*VLOOKUP('Données projet'!$B$9,Paramètres!$A$1:$I$89,5,0)</f>
        <v>7.2004695539362725E-13</v>
      </c>
      <c r="P191" s="13">
        <f t="shared" si="141"/>
        <v>8.5963894794935589E-12</v>
      </c>
      <c r="Q191" s="20">
        <f t="shared" si="162"/>
        <v>1.6226126790761848E-11</v>
      </c>
      <c r="R191" s="59">
        <f t="shared" si="109"/>
        <v>289.91839713869643</v>
      </c>
      <c r="S191" s="59">
        <f ca="1">AVERAGE(OFFSET($R$3,0,0,'Données projet'!$E$9+1,1))-AVERAGE(OFFSET($H$3,0,0,'Données projet'!$E$9+1,1))</f>
        <v>681.47578137804555</v>
      </c>
      <c r="T191" s="59">
        <f t="shared" si="142"/>
        <v>300.88511065995885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139.60008291113473</v>
      </c>
      <c r="AA191" s="21">
        <f>EXP(-LN(2)/25)*AA190+(1-EXP(-LN(2)/25))/(LN(2)/25)*Calculateur!V191*Calculateur!X191*VLOOKUP('Données projet'!$B$9,Paramètres!$A$1:$I$89,3,0)*0.475*44/12</f>
        <v>22.408761183589078</v>
      </c>
      <c r="AB191" s="21">
        <f>EXP(-LN(2)/2)*AB190+(1-EXP(-LN(2)/2))/(LN(2)/2)*V191*Y191*VLOOKUP('Données projet'!$B$9,Paramètres!$A$1:$I$89,3,0)*0.475*44/12</f>
        <v>1.8781926116023391</v>
      </c>
      <c r="AC191" s="22">
        <f t="shared" si="163"/>
        <v>163.88703670632617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3.4106051316484809E-13</v>
      </c>
      <c r="AJ191" s="13">
        <f>AI191*VLOOKUP('Données projet'!$B$10,Paramètres!$A$1:$I$89,3,0)*VLOOKUP('Données projet'!$B$10,Paramètres!$A$1:$I$89,5,0)</f>
        <v>1.5961632016114892E-13</v>
      </c>
      <c r="AK191" s="13">
        <f t="shared" si="164"/>
        <v>2.2708641912150958E-12</v>
      </c>
      <c r="AL191" s="20">
        <f t="shared" si="165"/>
        <v>4.2330868906469593E-12</v>
      </c>
      <c r="AM191" s="59">
        <f t="shared" si="113"/>
        <v>289.91839713868444</v>
      </c>
      <c r="AN191" s="59">
        <f ca="1">AVERAGE(OFFSET($AM$3,0,0,'Données projet'!$E$10+1,1))-AVERAGE(OFFSET($H$3,0,0,'Données projet'!$E$10+1,1))</f>
        <v>325.45940224919184</v>
      </c>
      <c r="AO191" s="59">
        <f t="shared" si="144"/>
        <v>256.30046621034876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27.449503346123759</v>
      </c>
      <c r="AV191" s="21">
        <f>EXP(-LN(2)/25)*AV190+(1-EXP(-LN(2)/25))/(LN(2)/25)*Calculateur!AQ191*Calculateur!AS191*VLOOKUP('Données projet'!$B$10,Paramètres!$A$1:$I$89,3,0)*0.475*44/12</f>
        <v>4.6858387603842839</v>
      </c>
      <c r="AW191" s="21">
        <f>EXP(-LN(2)/2)*AW190+(1-EXP(-LN(2)/2))/(LN(2)/2)*AQ191*AT191*VLOOKUP('Données projet'!$B$10,Paramètres!$A$1:$I$89,3,0)*0.475*44/12</f>
        <v>4.050035735696637E-11</v>
      </c>
      <c r="AX191" s="21">
        <f t="shared" si="166"/>
        <v>32.135342106548542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>
        <f>VLOOKUP(A191,'Données projet'!$A$87:$I$107,2,0)</f>
        <v>211.27</v>
      </c>
      <c r="BB191" s="12">
        <f>VLOOKUP(A191,'Données projet'!$A$87:$I$107,9,0)</f>
        <v>3.0825000000000031</v>
      </c>
      <c r="BC191" s="12">
        <f t="array" ref="BC191">INDEX(BB:BB,MIN(IF(ISNUMBER(BB191:BB387),ROW(BB191:BB387),"")))</f>
        <v>3.0825000000000031</v>
      </c>
      <c r="BD191" s="12">
        <f>IF('Données projet'!$A$88&gt;35,BD190+BC191-BL190,IF(A191&lt;'Données projet'!$A$88,$BA$205^A191,IF(A191='Données projet'!$A$88,'Données projet'!$B$88,BD190+BC191-BL190)))</f>
        <v>211.26999999999973</v>
      </c>
      <c r="BE191" s="13">
        <f>BD191*VLOOKUP('Données projet'!$B$11,Paramètres!$A$1:$I$89,3,0)*VLOOKUP('Données projet'!$B$11,Paramètres!$A$1:$I$89,5,0)</f>
        <v>214.22777999999974</v>
      </c>
      <c r="BF191" s="13">
        <f t="shared" si="167"/>
        <v>52.858387517427865</v>
      </c>
      <c r="BG191" s="20">
        <f t="shared" si="168"/>
        <v>465.17507509285309</v>
      </c>
      <c r="BH191" s="59">
        <f t="shared" si="116"/>
        <v>755.09347223153327</v>
      </c>
      <c r="BI191" s="59">
        <f ca="1">AVERAGE(OFFSET($BH$3,0,0,'Données projet'!$E$11+1,1))-AVERAGE(OFFSET($H$3,0,0,'Données projet'!$E$11+1,1))</f>
        <v>580.02848304986492</v>
      </c>
      <c r="BJ191" s="59">
        <f t="shared" si="146"/>
        <v>281.68891895586728</v>
      </c>
      <c r="BK191" s="15">
        <f>IF(ISNA(VLOOKUP(A191,'Données projet'!$A$87:$I$107,3,0)),0,VLOOKUP(A191,'Données projet'!$A$87:$I$107,3,0))</f>
        <v>15</v>
      </c>
      <c r="BL191" s="15">
        <f>IF(ISNA(VLOOKUP(A191,'Données projet'!$A$87:$I$107,4,0)),0,VLOOKUP(A191,'Données projet'!$A$87:$I$107,4,0))</f>
        <v>72.180000000000007</v>
      </c>
      <c r="BM191" s="16">
        <f>IF(ISNA(VLOOKUP(A191,'Données projet'!$A$87:$I$107,5,0)),0%,VLOOKUP(A191,'Données projet'!$A$87:$I$107,5,0)*VLOOKUP('Données projet'!$B$11,Paramètres!$A$1:$I$89,7,0))</f>
        <v>0.215</v>
      </c>
      <c r="BN191" s="16">
        <f>IF(ISNA(VLOOKUP(A191,'Données projet'!$A$87:$I$107,6,0)),0%,VLOOKUP(A191,'Données projet'!$A$87:$I$107,6,0)*VLOOKUP('Données projet'!$B$11,Paramètres!$A$1:$I$89,7,0))</f>
        <v>8.6000000000000007E-2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109.94346428601369</v>
      </c>
      <c r="BQ191" s="21">
        <f>EXP(-LN(2)/25)*BQ190+(1-EXP(-LN(2)/25))/(LN(2)/25)*Calculateur!BL191*Calculateur!BN191*VLOOKUP('Données projet'!$B$11,Paramètres!$A$1:$I$89,3,0)*0.475*44/12</f>
        <v>42.484958963814016</v>
      </c>
      <c r="BR191" s="21">
        <f>EXP(-LN(2)/2)*BR190+(1-EXP(-LN(2)/2))/(LN(2)/2)*BL191*BO191*VLOOKUP('Données projet'!$B$11,Paramètres!$A$1:$I$89,3,0)*0.475*44/12</f>
        <v>1.4081812063818365E-6</v>
      </c>
      <c r="BS191" s="22">
        <f t="shared" si="169"/>
        <v>152.42842465800894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>
        <f>BY191*VLOOKUP('Données projet'!$B$12,Paramètres!$A$1:$I$89,3,0)*VLOOKUP('Données projet'!$B$12,Paramètres!$A$1:$I$89,5,0)</f>
        <v>0</v>
      </c>
      <c r="CA191" s="13" t="e">
        <f t="shared" si="170"/>
        <v>#NUM!</v>
      </c>
      <c r="CB191" s="20" t="e">
        <f t="shared" si="171"/>
        <v>#NUM!</v>
      </c>
      <c r="CC191" s="59" t="e">
        <f t="shared" si="119"/>
        <v>#NUM!</v>
      </c>
      <c r="CD191" s="59">
        <f ca="1">AVERAGE(OFFSET($CC$3,0,0,'Données projet'!$E$12+1,1))-AVERAGE(OFFSET($H$3,0,0,'Données projet'!$E$12+1,1))</f>
        <v>439.15394290667945</v>
      </c>
      <c r="CE191" s="59">
        <f t="shared" si="148"/>
        <v>423.56554025351068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5.9417367691887621</v>
      </c>
      <c r="CL191" s="21">
        <f>EXP(-LN(2)/25)*CL190+(1-EXP(-LN(2)/25))/(LN(2)/25)*Calculateur!CG191*Calculateur!CI191*VLOOKUP('Données projet'!$B$12,Paramètres!$A$1:$I$89,3,0)*0.475*44/12</f>
        <v>2.4935668617981048</v>
      </c>
      <c r="CM191" s="21">
        <f>EXP(-LN(2)/2)*CM190+(1-EXP(-LN(2)/2))/(LN(2)/2)*CG191*CJ191*VLOOKUP('Données projet'!$B$12,Paramètres!$A$1:$I$89,3,0)*0.475*44/12</f>
        <v>4.1445067350466325E-15</v>
      </c>
      <c r="CN191" s="22">
        <f t="shared" si="172"/>
        <v>8.435303630986871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>
        <f>CT191*VLOOKUP('Données projet'!$B$13,Paramètres!$A$1:$I$89,3,0)*VLOOKUP('Données projet'!$B$13,Paramètres!$A$1:$I$89,5,0)</f>
        <v>0</v>
      </c>
      <c r="CV191" s="13" t="e">
        <f t="shared" si="173"/>
        <v>#NUM!</v>
      </c>
      <c r="CW191" s="20" t="e">
        <f t="shared" si="174"/>
        <v>#NUM!</v>
      </c>
      <c r="CX191" s="59" t="e">
        <f t="shared" si="122"/>
        <v>#NUM!</v>
      </c>
      <c r="CY191" s="59">
        <f ca="1">AVERAGE(OFFSET($CX$3,0,0,'Données projet'!$E$13+1,1))-AVERAGE(OFFSET($H$3,0,0,'Données projet'!$E$13+1,1))</f>
        <v>408.246209980743</v>
      </c>
      <c r="CZ191" s="59">
        <f t="shared" si="150"/>
        <v>394.10236303013903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>
        <f>EXP(-LN(2)/35)*DF190+(1-EXP(-LN(2)/35))/(LN(2)/35)*DB191*DC191*VLOOKUP('Données projet'!$B$13,Paramètres!$A$1:$I$89,3,0)*0.475*44/12</f>
        <v>6.7232461803096744</v>
      </c>
      <c r="DG191" s="21">
        <f>EXP(-LN(2)/25)*DG190+(1-EXP(-LN(2)/25))/(LN(2)/25)*Calculateur!DB191*Calculateur!DD191*VLOOKUP('Données projet'!$B$13,Paramètres!$A$1:$I$89,3,0)*0.475*44/12</f>
        <v>2.8215426785424249</v>
      </c>
      <c r="DH191" s="21">
        <f>EXP(-LN(2)/2)*DH190+(1-EXP(-LN(2)/2))/(LN(2)/2)*DB191*DE191*VLOOKUP('Données projet'!$B$13,Paramètres!$A$1:$I$89,3,0)*0.475*44/12</f>
        <v>3.8047930682395325E-15</v>
      </c>
      <c r="DI191" s="22">
        <f t="shared" si="175"/>
        <v>9.5447888588521028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>
        <f>DO191*VLOOKUP('Données projet'!$B$14,Paramètres!$A$1:$I$89,3,0)*VLOOKUP('Données projet'!$B$14,Paramètres!$A$1:$I$89,5,0)</f>
        <v>0</v>
      </c>
      <c r="DQ191" s="13" t="e">
        <f t="shared" si="176"/>
        <v>#NUM!</v>
      </c>
      <c r="DR191" s="20" t="e">
        <f t="shared" si="177"/>
        <v>#NUM!</v>
      </c>
      <c r="DS191" s="59" t="e">
        <f t="shared" si="125"/>
        <v>#NUM!</v>
      </c>
      <c r="DT191" s="59">
        <f ca="1">AVERAGE(OFFSET($DS$3,0,0,'Données projet'!$E$14+1,1))-AVERAGE(OFFSET($H$3,0,0,'Données projet'!$E$14+1,1))</f>
        <v>371.07993287480366</v>
      </c>
      <c r="DU191" s="59">
        <f t="shared" si="152"/>
        <v>358.67120540290637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>
        <f>EXP(-LN(2)/35)*EA190+(1-EXP(-LN(2)/35))/(LN(2)/35)*DW191*DX191*VLOOKUP('Données projet'!$B$14,Paramètres!$A$1:$I$89,3,0)*0.475*44/12</f>
        <v>4.8702760403186547</v>
      </c>
      <c r="EB191" s="21">
        <f>EXP(-LN(2)/25)*EB190+(1-EXP(-LN(2)/25))/(LN(2)/25)*Calculateur!DW191*Calculateur!DY191*VLOOKUP('Données projet'!$B$14,Paramètres!$A$1:$I$89,3,0)*0.475*44/12</f>
        <v>2.0439072637689386</v>
      </c>
      <c r="EC191" s="21">
        <f>EXP(-LN(2)/2)*EC190+(1-EXP(-LN(2)/2))/(LN(2)/2)*DW191*DZ191*VLOOKUP('Données projet'!$B$14,Paramètres!$A$1:$I$89,3,0)*0.475*44/12</f>
        <v>3.3971366680710174E-15</v>
      </c>
      <c r="ED191" s="22">
        <f t="shared" si="178"/>
        <v>6.9141833040875973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45">
      <c r="A192" s="10">
        <f t="shared" si="161"/>
        <v>189</v>
      </c>
      <c r="B192" s="73">
        <f>'Scénario référence'!$B$16*5+'Scénario référence'!$B$17*0+'Scénario référence'!$B$18*5</f>
        <v>5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1">
        <f t="shared" si="140"/>
        <v>0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18.333333333333332</v>
      </c>
      <c r="H192" s="67">
        <f t="shared" si="110"/>
        <v>183.33333333333334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7.9580786405131221E-13</v>
      </c>
      <c r="O192" s="13">
        <f>N192*VLOOKUP('Données projet'!$B$9,Paramètres!$A$1:$I$89,3,0)*VLOOKUP('Données projet'!$B$9,Paramètres!$A$1:$I$89,5,0)</f>
        <v>7.2004695539362725E-13</v>
      </c>
      <c r="P192" s="13">
        <f t="shared" si="141"/>
        <v>8.5963894794935589E-12</v>
      </c>
      <c r="Q192" s="20">
        <f t="shared" si="162"/>
        <v>1.6226126790761848E-11</v>
      </c>
      <c r="R192" s="59">
        <f t="shared" si="109"/>
        <v>289.97763864702006</v>
      </c>
      <c r="S192" s="59">
        <f ca="1">AVERAGE(OFFSET($R$3,0,0,'Données projet'!$E$9+1,1))-AVERAGE(OFFSET($H$3,0,0,'Données projet'!$E$9+1,1))</f>
        <v>681.47578137804555</v>
      </c>
      <c r="T192" s="59">
        <f t="shared" si="142"/>
        <v>300.88511065995885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136.86261043289034</v>
      </c>
      <c r="AA192" s="21">
        <f>EXP(-LN(2)/25)*AA191+(1-EXP(-LN(2)/25))/(LN(2)/25)*Calculateur!V192*Calculateur!X192*VLOOKUP('Données projet'!$B$9,Paramètres!$A$1:$I$89,3,0)*0.475*44/12</f>
        <v>21.7959924305983</v>
      </c>
      <c r="AB192" s="21">
        <f>EXP(-LN(2)/2)*AB191+(1-EXP(-LN(2)/2))/(LN(2)/2)*V192*Y192*VLOOKUP('Données projet'!$B$9,Paramètres!$A$1:$I$89,3,0)*0.475*44/12</f>
        <v>1.3280827320384856</v>
      </c>
      <c r="AC192" s="22">
        <f t="shared" si="163"/>
        <v>159.98668559552712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3.4106051316484809E-13</v>
      </c>
      <c r="AJ192" s="13">
        <f>AI192*VLOOKUP('Données projet'!$B$10,Paramètres!$A$1:$I$89,3,0)*VLOOKUP('Données projet'!$B$10,Paramètres!$A$1:$I$89,5,0)</f>
        <v>1.5961632016114892E-13</v>
      </c>
      <c r="AK192" s="13">
        <f t="shared" si="164"/>
        <v>2.2708641912150958E-12</v>
      </c>
      <c r="AL192" s="20">
        <f t="shared" si="165"/>
        <v>4.2330868906469593E-12</v>
      </c>
      <c r="AM192" s="59">
        <f t="shared" si="113"/>
        <v>289.97763864700806</v>
      </c>
      <c r="AN192" s="59">
        <f ca="1">AVERAGE(OFFSET($AM$3,0,0,'Données projet'!$E$10+1,1))-AVERAGE(OFFSET($H$3,0,0,'Données projet'!$E$10+1,1))</f>
        <v>325.45940224919184</v>
      </c>
      <c r="AO192" s="59">
        <f t="shared" si="144"/>
        <v>256.30046621034876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26.911235328050125</v>
      </c>
      <c r="AV192" s="21">
        <f>EXP(-LN(2)/25)*AV191+(1-EXP(-LN(2)/25))/(LN(2)/25)*Calculateur!AQ192*Calculateur!AS192*VLOOKUP('Données projet'!$B$10,Paramètres!$A$1:$I$89,3,0)*0.475*44/12</f>
        <v>4.557704253064025</v>
      </c>
      <c r="AW192" s="21">
        <f>EXP(-LN(2)/2)*AW191+(1-EXP(-LN(2)/2))/(LN(2)/2)*AQ192*AT192*VLOOKUP('Données projet'!$B$10,Paramètres!$A$1:$I$89,3,0)*0.475*44/12</f>
        <v>2.86380773275894E-11</v>
      </c>
      <c r="AX192" s="21">
        <f t="shared" si="166"/>
        <v>31.468939581142788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1.9733333333333292</v>
      </c>
      <c r="BD192" s="12">
        <f>IF('Données projet'!$A$88&gt;35,BD191+BC192-BL191,IF(A192&lt;'Données projet'!$A$88,$BA$205^A192,IF(A192='Données projet'!$A$88,'Données projet'!$B$88,BD191+BC192-BL191)))</f>
        <v>141.06333333333305</v>
      </c>
      <c r="BE192" s="13">
        <f>BD192*VLOOKUP('Données projet'!$B$11,Paramètres!$A$1:$I$89,3,0)*VLOOKUP('Données projet'!$B$11,Paramètres!$A$1:$I$89,5,0)</f>
        <v>143.03821999999974</v>
      </c>
      <c r="BF192" s="13">
        <f t="shared" si="167"/>
        <v>36.992146964895987</v>
      </c>
      <c r="BG192" s="20">
        <f t="shared" si="168"/>
        <v>313.55288913052675</v>
      </c>
      <c r="BH192" s="59">
        <f t="shared" si="116"/>
        <v>603.53052777753055</v>
      </c>
      <c r="BI192" s="59">
        <f ca="1">AVERAGE(OFFSET($BH$3,0,0,'Données projet'!$E$11+1,1))-AVERAGE(OFFSET($H$3,0,0,'Données projet'!$E$11+1,1))</f>
        <v>580.02848304986492</v>
      </c>
      <c r="BJ192" s="59">
        <f t="shared" si="146"/>
        <v>281.68891895586728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107.78754001025666</v>
      </c>
      <c r="BQ192" s="21">
        <f>EXP(-LN(2)/25)*BQ191+(1-EXP(-LN(2)/25))/(LN(2)/25)*Calculateur!BL192*Calculateur!BN192*VLOOKUP('Données projet'!$B$11,Paramètres!$A$1:$I$89,3,0)*0.475*44/12</f>
        <v>41.323205526761633</v>
      </c>
      <c r="BR192" s="21">
        <f>EXP(-LN(2)/2)*BR191+(1-EXP(-LN(2)/2))/(LN(2)/2)*BL192*BO192*VLOOKUP('Données projet'!$B$11,Paramètres!$A$1:$I$89,3,0)*0.475*44/12</f>
        <v>9.9573448017204974E-7</v>
      </c>
      <c r="BS192" s="22">
        <f t="shared" si="169"/>
        <v>149.11074653275276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>
        <f>BY192*VLOOKUP('Données projet'!$B$12,Paramètres!$A$1:$I$89,3,0)*VLOOKUP('Données projet'!$B$12,Paramètres!$A$1:$I$89,5,0)</f>
        <v>0</v>
      </c>
      <c r="CA192" s="13" t="e">
        <f t="shared" si="170"/>
        <v>#NUM!</v>
      </c>
      <c r="CB192" s="20" t="e">
        <f t="shared" si="171"/>
        <v>#NUM!</v>
      </c>
      <c r="CC192" s="59" t="e">
        <f t="shared" si="119"/>
        <v>#NUM!</v>
      </c>
      <c r="CD192" s="59">
        <f ca="1">AVERAGE(OFFSET($CC$3,0,0,'Données projet'!$E$12+1,1))-AVERAGE(OFFSET($H$3,0,0,'Données projet'!$E$12+1,1))</f>
        <v>439.15394290667945</v>
      </c>
      <c r="CE192" s="59">
        <f t="shared" si="148"/>
        <v>423.56554025351068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5.8252229352465497</v>
      </c>
      <c r="CL192" s="21">
        <f>EXP(-LN(2)/25)*CL191+(1-EXP(-LN(2)/25))/(LN(2)/25)*Calculateur!CG192*Calculateur!CI192*VLOOKUP('Données projet'!$B$12,Paramètres!$A$1:$I$89,3,0)*0.475*44/12</f>
        <v>2.4253801448312533</v>
      </c>
      <c r="CM192" s="21">
        <f>EXP(-LN(2)/2)*CM191+(1-EXP(-LN(2)/2))/(LN(2)/2)*CG192*CJ192*VLOOKUP('Données projet'!$B$12,Paramètres!$A$1:$I$89,3,0)*0.475*44/12</f>
        <v>2.9306088170247917E-15</v>
      </c>
      <c r="CN192" s="22">
        <f t="shared" si="172"/>
        <v>8.2506030800778056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>
        <f>CT192*VLOOKUP('Données projet'!$B$13,Paramètres!$A$1:$I$89,3,0)*VLOOKUP('Données projet'!$B$13,Paramètres!$A$1:$I$89,5,0)</f>
        <v>0</v>
      </c>
      <c r="CV192" s="13" t="e">
        <f t="shared" si="173"/>
        <v>#NUM!</v>
      </c>
      <c r="CW192" s="20" t="e">
        <f t="shared" si="174"/>
        <v>#NUM!</v>
      </c>
      <c r="CX192" s="59" t="e">
        <f t="shared" si="122"/>
        <v>#NUM!</v>
      </c>
      <c r="CY192" s="59">
        <f ca="1">AVERAGE(OFFSET($CX$3,0,0,'Données projet'!$E$13+1,1))-AVERAGE(OFFSET($H$3,0,0,'Données projet'!$E$13+1,1))</f>
        <v>408.246209980743</v>
      </c>
      <c r="CZ192" s="59">
        <f t="shared" si="150"/>
        <v>394.10236303013903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>
        <f>EXP(-LN(2)/35)*DF191+(1-EXP(-LN(2)/35))/(LN(2)/35)*DB192*DC192*VLOOKUP('Données projet'!$B$13,Paramètres!$A$1:$I$89,3,0)*0.475*44/12</f>
        <v>6.5914074234890538</v>
      </c>
      <c r="DG192" s="21">
        <f>EXP(-LN(2)/25)*DG191+(1-EXP(-LN(2)/25))/(LN(2)/25)*Calculateur!DB192*Calculateur!DD192*VLOOKUP('Données projet'!$B$13,Paramètres!$A$1:$I$89,3,0)*0.475*44/12</f>
        <v>2.7443874456192017</v>
      </c>
      <c r="DH192" s="21">
        <f>EXP(-LN(2)/2)*DH191+(1-EXP(-LN(2)/2))/(LN(2)/2)*DB192*DE192*VLOOKUP('Données projet'!$B$13,Paramètres!$A$1:$I$89,3,0)*0.475*44/12</f>
        <v>2.690394979563744E-15</v>
      </c>
      <c r="DI192" s="22">
        <f t="shared" si="175"/>
        <v>9.3357948691082591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>
        <f>DO192*VLOOKUP('Données projet'!$B$14,Paramètres!$A$1:$I$89,3,0)*VLOOKUP('Données projet'!$B$14,Paramètres!$A$1:$I$89,5,0)</f>
        <v>0</v>
      </c>
      <c r="DQ192" s="13" t="e">
        <f t="shared" si="176"/>
        <v>#NUM!</v>
      </c>
      <c r="DR192" s="20" t="e">
        <f t="shared" si="177"/>
        <v>#NUM!</v>
      </c>
      <c r="DS192" s="59" t="e">
        <f t="shared" si="125"/>
        <v>#NUM!</v>
      </c>
      <c r="DT192" s="59">
        <f ca="1">AVERAGE(OFFSET($DS$3,0,0,'Données projet'!$E$14+1,1))-AVERAGE(OFFSET($H$3,0,0,'Données projet'!$E$14+1,1))</f>
        <v>371.07993287480366</v>
      </c>
      <c r="DU192" s="59">
        <f t="shared" si="152"/>
        <v>358.67120540290637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>
        <f>EXP(-LN(2)/35)*EA191+(1-EXP(-LN(2)/35))/(LN(2)/35)*DW192*DX192*VLOOKUP('Données projet'!$B$14,Paramètres!$A$1:$I$89,3,0)*0.475*44/12</f>
        <v>4.7747728977430706</v>
      </c>
      <c r="EB192" s="21">
        <f>EXP(-LN(2)/25)*EB191+(1-EXP(-LN(2)/25))/(LN(2)/25)*Calculateur!DW192*Calculateur!DY192*VLOOKUP('Données projet'!$B$14,Paramètres!$A$1:$I$89,3,0)*0.475*44/12</f>
        <v>1.9880165121567654</v>
      </c>
      <c r="EC192" s="21">
        <f>EXP(-LN(2)/2)*EC191+(1-EXP(-LN(2)/2))/(LN(2)/2)*DW192*DZ192*VLOOKUP('Données projet'!$B$14,Paramètres!$A$1:$I$89,3,0)*0.475*44/12</f>
        <v>2.40213837461049E-15</v>
      </c>
      <c r="ED192" s="22">
        <f t="shared" si="178"/>
        <v>6.7627894098998391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45">
      <c r="A193" s="10">
        <f t="shared" si="161"/>
        <v>190</v>
      </c>
      <c r="B193" s="73">
        <f>'Scénario référence'!$B$16*5+'Scénario référence'!$B$17*0+'Scénario référence'!$B$18*5</f>
        <v>5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1">
        <f t="shared" si="140"/>
        <v>0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18.333333333333332</v>
      </c>
      <c r="H193" s="67">
        <f t="shared" si="110"/>
        <v>183.33333333333334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7.9580786405131221E-13</v>
      </c>
      <c r="O193" s="13">
        <f>N193*VLOOKUP('Données projet'!$B$9,Paramètres!$A$1:$I$89,3,0)*VLOOKUP('Données projet'!$B$9,Paramètres!$A$1:$I$89,5,0)</f>
        <v>7.2004695539362725E-13</v>
      </c>
      <c r="P193" s="13">
        <f t="shared" si="141"/>
        <v>8.5963894794935589E-12</v>
      </c>
      <c r="Q193" s="20">
        <f t="shared" si="162"/>
        <v>1.6226126790761848E-11</v>
      </c>
      <c r="R193" s="59">
        <f t="shared" si="109"/>
        <v>290.03585244761848</v>
      </c>
      <c r="S193" s="59">
        <f ca="1">AVERAGE(OFFSET($R$3,0,0,'Données projet'!$E$9+1,1))-AVERAGE(OFFSET($H$3,0,0,'Données projet'!$E$9+1,1))</f>
        <v>681.47578137804555</v>
      </c>
      <c r="T193" s="59">
        <f t="shared" si="142"/>
        <v>300.88511065995885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134.17881812025095</v>
      </c>
      <c r="AA193" s="21">
        <f>EXP(-LN(2)/25)*AA192+(1-EXP(-LN(2)/25))/(LN(2)/25)*Calculateur!V193*Calculateur!X193*VLOOKUP('Données projet'!$B$9,Paramètres!$A$1:$I$89,3,0)*0.475*44/12</f>
        <v>21.199979871382162</v>
      </c>
      <c r="AB193" s="21">
        <f>EXP(-LN(2)/2)*AB192+(1-EXP(-LN(2)/2))/(LN(2)/2)*V193*Y193*VLOOKUP('Données projet'!$B$9,Paramètres!$A$1:$I$89,3,0)*0.475*44/12</f>
        <v>0.93909630580116976</v>
      </c>
      <c r="AC193" s="22">
        <f t="shared" si="163"/>
        <v>156.31789429743429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3.4106051316484809E-13</v>
      </c>
      <c r="AJ193" s="13">
        <f>AI193*VLOOKUP('Données projet'!$B$10,Paramètres!$A$1:$I$89,3,0)*VLOOKUP('Données projet'!$B$10,Paramètres!$A$1:$I$89,5,0)</f>
        <v>1.5961632016114892E-13</v>
      </c>
      <c r="AK193" s="13">
        <f t="shared" si="164"/>
        <v>2.2708641912150958E-12</v>
      </c>
      <c r="AL193" s="20">
        <f t="shared" si="165"/>
        <v>4.2330868906469593E-12</v>
      </c>
      <c r="AM193" s="59">
        <f t="shared" si="113"/>
        <v>290.03585244760649</v>
      </c>
      <c r="AN193" s="59">
        <f ca="1">AVERAGE(OFFSET($AM$3,0,0,'Données projet'!$E$10+1,1))-AVERAGE(OFFSET($H$3,0,0,'Données projet'!$E$10+1,1))</f>
        <v>325.45940224919184</v>
      </c>
      <c r="AO193" s="59">
        <f t="shared" si="144"/>
        <v>256.30046621034876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26.38352241749984</v>
      </c>
      <c r="AV193" s="21">
        <f>EXP(-LN(2)/25)*AV192+(1-EXP(-LN(2)/25))/(LN(2)/25)*Calculateur!AQ193*Calculateur!AS193*VLOOKUP('Données projet'!$B$10,Paramètres!$A$1:$I$89,3,0)*0.475*44/12</f>
        <v>4.4330735905847396</v>
      </c>
      <c r="AW193" s="21">
        <f>EXP(-LN(2)/2)*AW192+(1-EXP(-LN(2)/2))/(LN(2)/2)*AQ193*AT193*VLOOKUP('Données projet'!$B$10,Paramètres!$A$1:$I$89,3,0)*0.475*44/12</f>
        <v>2.0250178678483188E-11</v>
      </c>
      <c r="AX193" s="21">
        <f t="shared" si="166"/>
        <v>30.816596008104831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1.9733333333333292</v>
      </c>
      <c r="BD193" s="12">
        <f>IF('Données projet'!$A$88&gt;35,BD192+BC193-BL192,IF(A193&lt;'Données projet'!$A$88,$BA$205^A193,IF(A193='Données projet'!$A$88,'Données projet'!$B$88,BD192+BC193-BL192)))</f>
        <v>143.03666666666638</v>
      </c>
      <c r="BE193" s="13">
        <f>BD193*VLOOKUP('Données projet'!$B$11,Paramètres!$A$1:$I$89,3,0)*VLOOKUP('Données projet'!$B$11,Paramètres!$A$1:$I$89,5,0)</f>
        <v>145.0391799999997</v>
      </c>
      <c r="BF193" s="13">
        <f t="shared" si="167"/>
        <v>37.449024342936362</v>
      </c>
      <c r="BG193" s="20">
        <f t="shared" si="168"/>
        <v>317.8336225639469</v>
      </c>
      <c r="BH193" s="59">
        <f t="shared" si="116"/>
        <v>607.86947501154918</v>
      </c>
      <c r="BI193" s="59">
        <f ca="1">AVERAGE(OFFSET($BH$3,0,0,'Données projet'!$E$11+1,1))-AVERAGE(OFFSET($H$3,0,0,'Données projet'!$E$11+1,1))</f>
        <v>580.02848304986492</v>
      </c>
      <c r="BJ193" s="59">
        <f t="shared" si="146"/>
        <v>281.68891895586728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105.67389209456327</v>
      </c>
      <c r="BQ193" s="21">
        <f>EXP(-LN(2)/25)*BQ192+(1-EXP(-LN(2)/25))/(LN(2)/25)*Calculateur!BL193*Calculateur!BN193*VLOOKUP('Données projet'!$B$11,Paramètres!$A$1:$I$89,3,0)*0.475*44/12</f>
        <v>40.193220298539401</v>
      </c>
      <c r="BR193" s="21">
        <f>EXP(-LN(2)/2)*BR192+(1-EXP(-LN(2)/2))/(LN(2)/2)*BL193*BO193*VLOOKUP('Données projet'!$B$11,Paramètres!$A$1:$I$89,3,0)*0.475*44/12</f>
        <v>7.0409060319091823E-7</v>
      </c>
      <c r="BS193" s="22">
        <f t="shared" si="169"/>
        <v>145.86711309719328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>
        <f>BY193*VLOOKUP('Données projet'!$B$12,Paramètres!$A$1:$I$89,3,0)*VLOOKUP('Données projet'!$B$12,Paramètres!$A$1:$I$89,5,0)</f>
        <v>0</v>
      </c>
      <c r="CA193" s="13" t="e">
        <f t="shared" si="170"/>
        <v>#NUM!</v>
      </c>
      <c r="CB193" s="20" t="e">
        <f t="shared" si="171"/>
        <v>#NUM!</v>
      </c>
      <c r="CC193" s="59" t="e">
        <f t="shared" si="119"/>
        <v>#NUM!</v>
      </c>
      <c r="CD193" s="59">
        <f ca="1">AVERAGE(OFFSET($CC$3,0,0,'Données projet'!$E$12+1,1))-AVERAGE(OFFSET($H$3,0,0,'Données projet'!$E$12+1,1))</f>
        <v>439.15394290667945</v>
      </c>
      <c r="CE193" s="59">
        <f t="shared" si="148"/>
        <v>423.56554025351068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5.7109938665215223</v>
      </c>
      <c r="CL193" s="21">
        <f>EXP(-LN(2)/25)*CL192+(1-EXP(-LN(2)/25))/(LN(2)/25)*Calculateur!CG193*Calculateur!CI193*VLOOKUP('Données projet'!$B$12,Paramètres!$A$1:$I$89,3,0)*0.475*44/12</f>
        <v>2.3590579972256442</v>
      </c>
      <c r="CM193" s="21">
        <f>EXP(-LN(2)/2)*CM192+(1-EXP(-LN(2)/2))/(LN(2)/2)*CG193*CJ193*VLOOKUP('Données projet'!$B$12,Paramètres!$A$1:$I$89,3,0)*0.475*44/12</f>
        <v>2.0722533675233162E-15</v>
      </c>
      <c r="CN193" s="22">
        <f t="shared" si="172"/>
        <v>8.0700518637471692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>
        <f>CT193*VLOOKUP('Données projet'!$B$13,Paramètres!$A$1:$I$89,3,0)*VLOOKUP('Données projet'!$B$13,Paramètres!$A$1:$I$89,5,0)</f>
        <v>0</v>
      </c>
      <c r="CV193" s="13" t="e">
        <f t="shared" si="173"/>
        <v>#NUM!</v>
      </c>
      <c r="CW193" s="20" t="e">
        <f t="shared" si="174"/>
        <v>#NUM!</v>
      </c>
      <c r="CX193" s="59" t="e">
        <f t="shared" si="122"/>
        <v>#NUM!</v>
      </c>
      <c r="CY193" s="59">
        <f ca="1">AVERAGE(OFFSET($CX$3,0,0,'Données projet'!$E$13+1,1))-AVERAGE(OFFSET($H$3,0,0,'Données projet'!$E$13+1,1))</f>
        <v>408.246209980743</v>
      </c>
      <c r="CZ193" s="59">
        <f t="shared" si="150"/>
        <v>394.10236303013903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>
        <f>EXP(-LN(2)/35)*DF192+(1-EXP(-LN(2)/35))/(LN(2)/35)*DB193*DC193*VLOOKUP('Données projet'!$B$13,Paramètres!$A$1:$I$89,3,0)*0.475*44/12</f>
        <v>6.4621539442759843</v>
      </c>
      <c r="DG193" s="21">
        <f>EXP(-LN(2)/25)*DG192+(1-EXP(-LN(2)/25))/(LN(2)/25)*Calculateur!DB193*Calculateur!DD193*VLOOKUP('Données projet'!$B$13,Paramètres!$A$1:$I$89,3,0)*0.475*44/12</f>
        <v>2.6693420265976813</v>
      </c>
      <c r="DH193" s="21">
        <f>EXP(-LN(2)/2)*DH192+(1-EXP(-LN(2)/2))/(LN(2)/2)*DB193*DE193*VLOOKUP('Données projet'!$B$13,Paramètres!$A$1:$I$89,3,0)*0.475*44/12</f>
        <v>1.9023965341197663E-15</v>
      </c>
      <c r="DI193" s="22">
        <f t="shared" si="175"/>
        <v>9.1314959708736669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>
        <f>DO193*VLOOKUP('Données projet'!$B$14,Paramètres!$A$1:$I$89,3,0)*VLOOKUP('Données projet'!$B$14,Paramètres!$A$1:$I$89,5,0)</f>
        <v>0</v>
      </c>
      <c r="DQ193" s="13" t="e">
        <f t="shared" si="176"/>
        <v>#NUM!</v>
      </c>
      <c r="DR193" s="20" t="e">
        <f t="shared" si="177"/>
        <v>#NUM!</v>
      </c>
      <c r="DS193" s="59" t="e">
        <f t="shared" si="125"/>
        <v>#NUM!</v>
      </c>
      <c r="DT193" s="59">
        <f ca="1">AVERAGE(OFFSET($DS$3,0,0,'Données projet'!$E$14+1,1))-AVERAGE(OFFSET($H$3,0,0,'Données projet'!$E$14+1,1))</f>
        <v>371.07993287480366</v>
      </c>
      <c r="DU193" s="59">
        <f t="shared" si="152"/>
        <v>358.67120540290637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>
        <f>EXP(-LN(2)/35)*EA192+(1-EXP(-LN(2)/35))/(LN(2)/35)*DW193*DX193*VLOOKUP('Données projet'!$B$14,Paramètres!$A$1:$I$89,3,0)*0.475*44/12</f>
        <v>4.6811425135422287</v>
      </c>
      <c r="EB193" s="21">
        <f>EXP(-LN(2)/25)*EB192+(1-EXP(-LN(2)/25))/(LN(2)/25)*Calculateur!DW193*Calculateur!DY193*VLOOKUP('Données projet'!$B$14,Paramètres!$A$1:$I$89,3,0)*0.475*44/12</f>
        <v>1.933654096086594</v>
      </c>
      <c r="EC193" s="21">
        <f>EXP(-LN(2)/2)*EC192+(1-EXP(-LN(2)/2))/(LN(2)/2)*DW193*DZ193*VLOOKUP('Données projet'!$B$14,Paramètres!$A$1:$I$89,3,0)*0.475*44/12</f>
        <v>1.6985683340355087E-15</v>
      </c>
      <c r="ED193" s="22">
        <f t="shared" si="178"/>
        <v>6.614796609628824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45">
      <c r="A194" s="10">
        <f t="shared" si="161"/>
        <v>191</v>
      </c>
      <c r="B194" s="73">
        <f>'Scénario référence'!$B$16*5+'Scénario référence'!$B$17*0+'Scénario référence'!$B$18*5</f>
        <v>5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1">
        <f t="shared" si="140"/>
        <v>0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18.333333333333332</v>
      </c>
      <c r="H194" s="67">
        <f t="shared" si="110"/>
        <v>183.33333333333334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7.9580786405131221E-13</v>
      </c>
      <c r="O194" s="13">
        <f>N194*VLOOKUP('Données projet'!$B$9,Paramètres!$A$1:$I$89,3,0)*VLOOKUP('Données projet'!$B$9,Paramètres!$A$1:$I$89,5,0)</f>
        <v>7.2004695539362725E-13</v>
      </c>
      <c r="P194" s="13">
        <f t="shared" si="141"/>
        <v>8.5963894794935589E-12</v>
      </c>
      <c r="Q194" s="20">
        <f t="shared" si="162"/>
        <v>1.6226126790761848E-11</v>
      </c>
      <c r="R194" s="59">
        <f t="shared" si="109"/>
        <v>290.09305636892304</v>
      </c>
      <c r="S194" s="59">
        <f ca="1">AVERAGE(OFFSET($R$3,0,0,'Données projet'!$E$9+1,1))-AVERAGE(OFFSET($H$3,0,0,'Données projet'!$E$9+1,1))</f>
        <v>681.47578137804555</v>
      </c>
      <c r="T194" s="59">
        <f t="shared" si="142"/>
        <v>300.88511065995885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131.54765333791076</v>
      </c>
      <c r="AA194" s="21">
        <f>EXP(-LN(2)/25)*AA193+(1-EXP(-LN(2)/25))/(LN(2)/25)*Calculateur!V194*Calculateur!X194*VLOOKUP('Données projet'!$B$9,Paramètres!$A$1:$I$89,3,0)*0.475*44/12</f>
        <v>20.620265306940727</v>
      </c>
      <c r="AB194" s="21">
        <f>EXP(-LN(2)/2)*AB193+(1-EXP(-LN(2)/2))/(LN(2)/2)*V194*Y194*VLOOKUP('Données projet'!$B$9,Paramètres!$A$1:$I$89,3,0)*0.475*44/12</f>
        <v>0.66404136601924291</v>
      </c>
      <c r="AC194" s="22">
        <f t="shared" si="163"/>
        <v>152.83196001087072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3.4106051316484809E-13</v>
      </c>
      <c r="AJ194" s="13">
        <f>AI194*VLOOKUP('Données projet'!$B$10,Paramètres!$A$1:$I$89,3,0)*VLOOKUP('Données projet'!$B$10,Paramètres!$A$1:$I$89,5,0)</f>
        <v>1.5961632016114892E-13</v>
      </c>
      <c r="AK194" s="13">
        <f t="shared" si="164"/>
        <v>2.2708641912150958E-12</v>
      </c>
      <c r="AL194" s="20">
        <f t="shared" si="165"/>
        <v>4.2330868906469593E-12</v>
      </c>
      <c r="AM194" s="59">
        <f t="shared" si="113"/>
        <v>290.09305636891105</v>
      </c>
      <c r="AN194" s="59">
        <f ca="1">AVERAGE(OFFSET($AM$3,0,0,'Données projet'!$E$10+1,1))-AVERAGE(OFFSET($H$3,0,0,'Données projet'!$E$10+1,1))</f>
        <v>325.45940224919184</v>
      </c>
      <c r="AO194" s="59">
        <f t="shared" si="144"/>
        <v>256.30046621034876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25.866157635252353</v>
      </c>
      <c r="AV194" s="21">
        <f>EXP(-LN(2)/25)*AV193+(1-EXP(-LN(2)/25))/(LN(2)/25)*Calculateur!AQ194*Calculateur!AS194*VLOOKUP('Données projet'!$B$10,Paramètres!$A$1:$I$89,3,0)*0.475*44/12</f>
        <v>4.3118509601249917</v>
      </c>
      <c r="AW194" s="21">
        <f>EXP(-LN(2)/2)*AW193+(1-EXP(-LN(2)/2))/(LN(2)/2)*AQ194*AT194*VLOOKUP('Données projet'!$B$10,Paramètres!$A$1:$I$89,3,0)*0.475*44/12</f>
        <v>1.4319038663794703E-11</v>
      </c>
      <c r="AX194" s="21">
        <f t="shared" si="166"/>
        <v>30.178008595391663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>
        <f>VLOOKUP(A194,'Données projet'!$A$87:$I$107,2,0)</f>
        <v>145.01</v>
      </c>
      <c r="BB194" s="12">
        <f>VLOOKUP(A194,'Données projet'!$A$87:$I$107,9,0)</f>
        <v>1.9733333333333292</v>
      </c>
      <c r="BC194" s="12">
        <f t="array" ref="BC194">INDEX(BB:BB,MIN(IF(ISNUMBER(BB194:BB390),ROW(BB194:BB390),"")))</f>
        <v>1.9733333333333292</v>
      </c>
      <c r="BD194" s="12">
        <f>IF('Données projet'!$A$88&gt;35,BD193+BC194-BL193,IF(A194&lt;'Données projet'!$A$88,$BA$205^A194,IF(A194='Données projet'!$A$88,'Données projet'!$B$88,BD193+BC194-BL193)))</f>
        <v>145.00999999999971</v>
      </c>
      <c r="BE194" s="13">
        <f>BD194*VLOOKUP('Données projet'!$B$11,Paramètres!$A$1:$I$89,3,0)*VLOOKUP('Données projet'!$B$11,Paramètres!$A$1:$I$89,5,0)</f>
        <v>147.04013999999972</v>
      </c>
      <c r="BF194" s="13">
        <f t="shared" si="167"/>
        <v>37.905168606806875</v>
      </c>
      <c r="BG194" s="20">
        <f t="shared" si="168"/>
        <v>322.11307915685478</v>
      </c>
      <c r="BH194" s="59">
        <f t="shared" si="116"/>
        <v>612.20613552576162</v>
      </c>
      <c r="BI194" s="59">
        <f ca="1">AVERAGE(OFFSET($BH$3,0,0,'Données projet'!$E$11+1,1))-AVERAGE(OFFSET($H$3,0,0,'Données projet'!$E$11+1,1))</f>
        <v>580.02848304986492</v>
      </c>
      <c r="BJ194" s="59">
        <f t="shared" si="146"/>
        <v>281.68891895586728</v>
      </c>
      <c r="BK194" s="15">
        <f>IF(ISNA(VLOOKUP(A194,'Données projet'!$A$87:$I$107,3,0)),0,VLOOKUP(A194,'Données projet'!$A$87:$I$107,3,0))</f>
        <v>16</v>
      </c>
      <c r="BL194" s="15">
        <f>IF(ISNA(VLOOKUP(A194,'Données projet'!$A$87:$I$107,4,0)),0,VLOOKUP(A194,'Données projet'!$A$87:$I$107,4,0))</f>
        <v>145.01</v>
      </c>
      <c r="BM194" s="16">
        <f>IF(ISNA(VLOOKUP(A194,'Données projet'!$A$87:$I$107,5,0)),0%,VLOOKUP(A194,'Données projet'!$A$87:$I$107,5,0)*VLOOKUP('Données projet'!$B$11,Paramètres!$A$1:$I$89,7,0))</f>
        <v>0.19350000000000001</v>
      </c>
      <c r="BN194" s="16">
        <f>IF(ISNA(VLOOKUP(A194,'Données projet'!$A$87:$I$107,6,0)),0%,VLOOKUP(A194,'Données projet'!$A$87:$I$107,6,0)*VLOOKUP('Données projet'!$B$11,Paramètres!$A$1:$I$89,7,0))</f>
        <v>2.1500000000000002E-2</v>
      </c>
      <c r="BO194" s="16">
        <f>IF(ISNA(VLOOKUP(A194,'Données projet'!$A$87:$I$107,7,0)),0%,VLOOKUP(A194,'Données projet'!$A$87:$I$107,7,0))</f>
        <v>0.05</v>
      </c>
      <c r="BP194" s="21">
        <f>EXP(-LN(2)/35)*BP193+(1-EXP(-LN(2)/35))/(LN(2)/35)*BL194*BM194*VLOOKUP('Données projet'!$B$11,Paramètres!$A$1:$I$89,3,0)*0.475*44/12</f>
        <v>135.05483002385387</v>
      </c>
      <c r="BQ194" s="21">
        <f>EXP(-LN(2)/25)*BQ193+(1-EXP(-LN(2)/25))/(LN(2)/25)*Calculateur!BL194*Calculateur!BN194*VLOOKUP('Données projet'!$B$11,Paramètres!$A$1:$I$89,3,0)*0.475*44/12</f>
        <v>42.575167409995252</v>
      </c>
      <c r="BR194" s="21">
        <f>EXP(-LN(2)/2)*BR193+(1-EXP(-LN(2)/2))/(LN(2)/2)*BL194*BO194*VLOOKUP('Données projet'!$B$11,Paramètres!$A$1:$I$89,3,0)*0.475*44/12</f>
        <v>6.9368169787344574</v>
      </c>
      <c r="BS194" s="22">
        <f t="shared" si="169"/>
        <v>184.5668144125836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>
        <f>BY194*VLOOKUP('Données projet'!$B$12,Paramètres!$A$1:$I$89,3,0)*VLOOKUP('Données projet'!$B$12,Paramètres!$A$1:$I$89,5,0)</f>
        <v>0</v>
      </c>
      <c r="CA194" s="13" t="e">
        <f t="shared" si="170"/>
        <v>#NUM!</v>
      </c>
      <c r="CB194" s="20" t="e">
        <f t="shared" si="171"/>
        <v>#NUM!</v>
      </c>
      <c r="CC194" s="59" t="e">
        <f t="shared" si="119"/>
        <v>#NUM!</v>
      </c>
      <c r="CD194" s="59">
        <f ca="1">AVERAGE(OFFSET($CC$3,0,0,'Données projet'!$E$12+1,1))-AVERAGE(OFFSET($H$3,0,0,'Données projet'!$E$12+1,1))</f>
        <v>439.15394290667945</v>
      </c>
      <c r="CE194" s="59">
        <f t="shared" si="148"/>
        <v>423.56554025351068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5.59900476016134</v>
      </c>
      <c r="CL194" s="21">
        <f>EXP(-LN(2)/25)*CL193+(1-EXP(-LN(2)/25))/(LN(2)/25)*Calculateur!CG194*Calculateur!CI194*VLOOKUP('Données projet'!$B$12,Paramètres!$A$1:$I$89,3,0)*0.475*44/12</f>
        <v>2.2945494322340405</v>
      </c>
      <c r="CM194" s="21">
        <f>EXP(-LN(2)/2)*CM193+(1-EXP(-LN(2)/2))/(LN(2)/2)*CG194*CJ194*VLOOKUP('Données projet'!$B$12,Paramètres!$A$1:$I$89,3,0)*0.475*44/12</f>
        <v>1.4653044085123958E-15</v>
      </c>
      <c r="CN194" s="22">
        <f t="shared" si="172"/>
        <v>7.8935541923953823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>
        <f>CT194*VLOOKUP('Données projet'!$B$13,Paramètres!$A$1:$I$89,3,0)*VLOOKUP('Données projet'!$B$13,Paramètres!$A$1:$I$89,5,0)</f>
        <v>0</v>
      </c>
      <c r="CV194" s="13" t="e">
        <f t="shared" si="173"/>
        <v>#NUM!</v>
      </c>
      <c r="CW194" s="20" t="e">
        <f t="shared" si="174"/>
        <v>#NUM!</v>
      </c>
      <c r="CX194" s="59" t="e">
        <f t="shared" si="122"/>
        <v>#NUM!</v>
      </c>
      <c r="CY194" s="59">
        <f ca="1">AVERAGE(OFFSET($CX$3,0,0,'Données projet'!$E$13+1,1))-AVERAGE(OFFSET($H$3,0,0,'Données projet'!$E$13+1,1))</f>
        <v>408.246209980743</v>
      </c>
      <c r="CZ194" s="59">
        <f t="shared" si="150"/>
        <v>394.10236303013903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>
        <f>EXP(-LN(2)/35)*DF193+(1-EXP(-LN(2)/35))/(LN(2)/35)*DB194*DC194*VLOOKUP('Données projet'!$B$13,Paramètres!$A$1:$I$89,3,0)*0.475*44/12</f>
        <v>6.3354350469534451</v>
      </c>
      <c r="DG194" s="21">
        <f>EXP(-LN(2)/25)*DG193+(1-EXP(-LN(2)/25))/(LN(2)/25)*Calculateur!DB194*Calculateur!DD194*VLOOKUP('Données projet'!$B$13,Paramètres!$A$1:$I$89,3,0)*0.475*44/12</f>
        <v>2.5963487285057711</v>
      </c>
      <c r="DH194" s="21">
        <f>EXP(-LN(2)/2)*DH193+(1-EXP(-LN(2)/2))/(LN(2)/2)*DB194*DE194*VLOOKUP('Données projet'!$B$13,Paramètres!$A$1:$I$89,3,0)*0.475*44/12</f>
        <v>1.345197489781872E-15</v>
      </c>
      <c r="DI194" s="22">
        <f t="shared" si="175"/>
        <v>8.931783775459218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>
        <f>DO194*VLOOKUP('Données projet'!$B$14,Paramètres!$A$1:$I$89,3,0)*VLOOKUP('Données projet'!$B$14,Paramètres!$A$1:$I$89,5,0)</f>
        <v>0</v>
      </c>
      <c r="DQ194" s="13" t="e">
        <f t="shared" si="176"/>
        <v>#NUM!</v>
      </c>
      <c r="DR194" s="20" t="e">
        <f t="shared" si="177"/>
        <v>#NUM!</v>
      </c>
      <c r="DS194" s="59" t="e">
        <f t="shared" si="125"/>
        <v>#NUM!</v>
      </c>
      <c r="DT194" s="59">
        <f ca="1">AVERAGE(OFFSET($DS$3,0,0,'Données projet'!$E$14+1,1))-AVERAGE(OFFSET($H$3,0,0,'Données projet'!$E$14+1,1))</f>
        <v>371.07993287480366</v>
      </c>
      <c r="DU194" s="59">
        <f t="shared" si="152"/>
        <v>358.67120540290637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>
        <f>EXP(-LN(2)/35)*EA193+(1-EXP(-LN(2)/35))/(LN(2)/35)*DW194*DX194*VLOOKUP('Données projet'!$B$14,Paramètres!$A$1:$I$89,3,0)*0.475*44/12</f>
        <v>4.5893481640666698</v>
      </c>
      <c r="EB194" s="21">
        <f>EXP(-LN(2)/25)*EB193+(1-EXP(-LN(2)/25))/(LN(2)/25)*Calculateur!DW194*Calculateur!DY194*VLOOKUP('Données projet'!$B$14,Paramètres!$A$1:$I$89,3,0)*0.475*44/12</f>
        <v>1.8807782231426566</v>
      </c>
      <c r="EC194" s="21">
        <f>EXP(-LN(2)/2)*EC193+(1-EXP(-LN(2)/2))/(LN(2)/2)*DW194*DZ194*VLOOKUP('Données projet'!$B$14,Paramètres!$A$1:$I$89,3,0)*0.475*44/12</f>
        <v>1.201069187305245E-15</v>
      </c>
      <c r="ED194" s="22">
        <f t="shared" si="178"/>
        <v>6.4701263872093273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45">
      <c r="A195" s="10">
        <f t="shared" si="161"/>
        <v>192</v>
      </c>
      <c r="B195" s="73">
        <f>'Scénario référence'!$B$16*5+'Scénario référence'!$B$17*0+'Scénario référence'!$B$18*5</f>
        <v>5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1">
        <f t="shared" si="140"/>
        <v>0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18.333333333333332</v>
      </c>
      <c r="H195" s="67">
        <f t="shared" si="110"/>
        <v>183.33333333333334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7.9580786405131221E-13</v>
      </c>
      <c r="O195" s="13">
        <f>N195*VLOOKUP('Données projet'!$B$9,Paramètres!$A$1:$I$89,3,0)*VLOOKUP('Données projet'!$B$9,Paramètres!$A$1:$I$89,5,0)</f>
        <v>7.2004695539362725E-13</v>
      </c>
      <c r="P195" s="13">
        <f t="shared" si="141"/>
        <v>8.5963894794935589E-12</v>
      </c>
      <c r="Q195" s="20">
        <f t="shared" si="162"/>
        <v>1.6226126790761848E-11</v>
      </c>
      <c r="R195" s="59">
        <f t="shared" ref="R195:R203" si="191">Q195+(I195+J195)*44/12</f>
        <v>290.14926793008186</v>
      </c>
      <c r="S195" s="59">
        <f ca="1">AVERAGE(OFFSET($R$3,0,0,'Données projet'!$E$9+1,1))-AVERAGE(OFFSET($H$3,0,0,'Données projet'!$E$9+1,1))</f>
        <v>681.47578137804555</v>
      </c>
      <c r="T195" s="59">
        <f t="shared" si="142"/>
        <v>300.88511065995885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128.96808409210021</v>
      </c>
      <c r="AA195" s="21">
        <f>EXP(-LN(2)/25)*AA194+(1-EXP(-LN(2)/25))/(LN(2)/25)*Calculateur!V195*Calculateur!X195*VLOOKUP('Données projet'!$B$9,Paramètres!$A$1:$I$89,3,0)*0.475*44/12</f>
        <v>20.056403067749809</v>
      </c>
      <c r="AB195" s="21">
        <f>EXP(-LN(2)/2)*AB194+(1-EXP(-LN(2)/2))/(LN(2)/2)*V195*Y195*VLOOKUP('Données projet'!$B$9,Paramètres!$A$1:$I$89,3,0)*0.475*44/12</f>
        <v>0.46954815290058494</v>
      </c>
      <c r="AC195" s="22">
        <f t="shared" si="163"/>
        <v>149.49403531275061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3.4106051316484809E-13</v>
      </c>
      <c r="AJ195" s="13">
        <f>AI195*VLOOKUP('Données projet'!$B$10,Paramètres!$A$1:$I$89,3,0)*VLOOKUP('Données projet'!$B$10,Paramètres!$A$1:$I$89,5,0)</f>
        <v>1.5961632016114892E-13</v>
      </c>
      <c r="AK195" s="13">
        <f t="shared" si="164"/>
        <v>2.2708641912150958E-12</v>
      </c>
      <c r="AL195" s="20">
        <f t="shared" si="165"/>
        <v>4.2330868906469593E-12</v>
      </c>
      <c r="AM195" s="59">
        <f t="shared" si="113"/>
        <v>290.14926793006987</v>
      </c>
      <c r="AN195" s="59">
        <f ca="1">AVERAGE(OFFSET($AM$3,0,0,'Données projet'!$E$10+1,1))-AVERAGE(OFFSET($H$3,0,0,'Données projet'!$E$10+1,1))</f>
        <v>325.45940224919184</v>
      </c>
      <c r="AO195" s="59">
        <f t="shared" si="144"/>
        <v>256.30046621034876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25.358938060823384</v>
      </c>
      <c r="AV195" s="21">
        <f>EXP(-LN(2)/25)*AV194+(1-EXP(-LN(2)/25))/(LN(2)/25)*Calculateur!AQ195*Calculateur!AS195*VLOOKUP('Données projet'!$B$10,Paramètres!$A$1:$I$89,3,0)*0.475*44/12</f>
        <v>4.1939431688699864</v>
      </c>
      <c r="AW195" s="21">
        <f>EXP(-LN(2)/2)*AW194+(1-EXP(-LN(2)/2))/(LN(2)/2)*AQ195*AT195*VLOOKUP('Données projet'!$B$10,Paramètres!$A$1:$I$89,3,0)*0.475*44/12</f>
        <v>1.0125089339241596E-11</v>
      </c>
      <c r="AX195" s="21">
        <f t="shared" si="166"/>
        <v>29.552881229703495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-2.8421709430404007E-13</v>
      </c>
      <c r="BE195" s="13">
        <f>BD195*VLOOKUP('Données projet'!$B$11,Paramètres!$A$1:$I$89,3,0)*VLOOKUP('Données projet'!$B$11,Paramètres!$A$1:$I$89,5,0)</f>
        <v>-2.8819613362429665E-13</v>
      </c>
      <c r="BF195" s="13" t="e">
        <f t="shared" si="167"/>
        <v>#NUM!</v>
      </c>
      <c r="BG195" s="20" t="e">
        <f t="shared" si="168"/>
        <v>#NUM!</v>
      </c>
      <c r="BH195" s="59" t="e">
        <f t="shared" si="116"/>
        <v>#NUM!</v>
      </c>
      <c r="BI195" s="59">
        <f ca="1">AVERAGE(OFFSET($BH$3,0,0,'Données projet'!$E$11+1,1))-AVERAGE(OFFSET($H$3,0,0,'Données projet'!$E$11+1,1))</f>
        <v>580.02848304986492</v>
      </c>
      <c r="BJ195" s="59">
        <f t="shared" si="146"/>
        <v>281.68891895586728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132.40648718239851</v>
      </c>
      <c r="BQ195" s="21">
        <f>EXP(-LN(2)/25)*BQ194+(1-EXP(-LN(2)/25))/(LN(2)/25)*Calculateur!BL195*Calculateur!BN195*VLOOKUP('Données projet'!$B$11,Paramètres!$A$1:$I$89,3,0)*0.475*44/12</f>
        <v>41.410947218238185</v>
      </c>
      <c r="BR195" s="21">
        <f>EXP(-LN(2)/2)*BR194+(1-EXP(-LN(2)/2))/(LN(2)/2)*BL195*BO195*VLOOKUP('Données projet'!$B$11,Paramètres!$A$1:$I$89,3,0)*0.475*44/12</f>
        <v>4.9050703255131136</v>
      </c>
      <c r="BS195" s="22">
        <f t="shared" si="169"/>
        <v>178.72250472614982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>
        <f>BY195*VLOOKUP('Données projet'!$B$12,Paramètres!$A$1:$I$89,3,0)*VLOOKUP('Données projet'!$B$12,Paramètres!$A$1:$I$89,5,0)</f>
        <v>0</v>
      </c>
      <c r="CA195" s="13" t="e">
        <f t="shared" si="170"/>
        <v>#NUM!</v>
      </c>
      <c r="CB195" s="20" t="e">
        <f t="shared" si="171"/>
        <v>#NUM!</v>
      </c>
      <c r="CC195" s="59" t="e">
        <f t="shared" si="119"/>
        <v>#NUM!</v>
      </c>
      <c r="CD195" s="59">
        <f ca="1">AVERAGE(OFFSET($CC$3,0,0,'Données projet'!$E$12+1,1))-AVERAGE(OFFSET($H$3,0,0,'Données projet'!$E$12+1,1))</f>
        <v>439.15394290667945</v>
      </c>
      <c r="CE195" s="59">
        <f t="shared" si="148"/>
        <v>423.56554025351068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5.4892116918702714</v>
      </c>
      <c r="CL195" s="21">
        <f>EXP(-LN(2)/25)*CL194+(1-EXP(-LN(2)/25))/(LN(2)/25)*Calculateur!CG195*Calculateur!CI195*VLOOKUP('Données projet'!$B$12,Paramètres!$A$1:$I$89,3,0)*0.475*44/12</f>
        <v>2.2318048573444904</v>
      </c>
      <c r="CM195" s="21">
        <f>EXP(-LN(2)/2)*CM194+(1-EXP(-LN(2)/2))/(LN(2)/2)*CG195*CJ195*VLOOKUP('Données projet'!$B$12,Paramètres!$A$1:$I$89,3,0)*0.475*44/12</f>
        <v>1.0361266837616581E-15</v>
      </c>
      <c r="CN195" s="22">
        <f t="shared" si="172"/>
        <v>7.7210165492147622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>
        <f>CT195*VLOOKUP('Données projet'!$B$13,Paramètres!$A$1:$I$89,3,0)*VLOOKUP('Données projet'!$B$13,Paramètres!$A$1:$I$89,5,0)</f>
        <v>0</v>
      </c>
      <c r="CV195" s="13" t="e">
        <f t="shared" si="173"/>
        <v>#NUM!</v>
      </c>
      <c r="CW195" s="20" t="e">
        <f t="shared" si="174"/>
        <v>#NUM!</v>
      </c>
      <c r="CX195" s="59" t="e">
        <f t="shared" si="122"/>
        <v>#NUM!</v>
      </c>
      <c r="CY195" s="59">
        <f ca="1">AVERAGE(OFFSET($CX$3,0,0,'Données projet'!$E$13+1,1))-AVERAGE(OFFSET($H$3,0,0,'Données projet'!$E$13+1,1))</f>
        <v>408.246209980743</v>
      </c>
      <c r="CZ195" s="59">
        <f t="shared" si="150"/>
        <v>394.10236303013903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>
        <f>EXP(-LN(2)/35)*DF194+(1-EXP(-LN(2)/35))/(LN(2)/35)*DB195*DC195*VLOOKUP('Données projet'!$B$13,Paramètres!$A$1:$I$89,3,0)*0.475*44/12</f>
        <v>6.2112010299165057</v>
      </c>
      <c r="DG195" s="21">
        <f>EXP(-LN(2)/25)*DG194+(1-EXP(-LN(2)/25))/(LN(2)/25)*Calculateur!DB195*Calculateur!DD195*VLOOKUP('Données projet'!$B$13,Paramètres!$A$1:$I$89,3,0)*0.475*44/12</f>
        <v>2.525351435988735</v>
      </c>
      <c r="DH195" s="21">
        <f>EXP(-LN(2)/2)*DH194+(1-EXP(-LN(2)/2))/(LN(2)/2)*DB195*DE195*VLOOKUP('Données projet'!$B$13,Paramètres!$A$1:$I$89,3,0)*0.475*44/12</f>
        <v>9.5119826705988313E-16</v>
      </c>
      <c r="DI195" s="22">
        <f t="shared" si="175"/>
        <v>8.7365524659052429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>
        <f>DO195*VLOOKUP('Données projet'!$B$14,Paramètres!$A$1:$I$89,3,0)*VLOOKUP('Données projet'!$B$14,Paramètres!$A$1:$I$89,5,0)</f>
        <v>0</v>
      </c>
      <c r="DQ195" s="13" t="e">
        <f t="shared" si="176"/>
        <v>#NUM!</v>
      </c>
      <c r="DR195" s="20" t="e">
        <f t="shared" si="177"/>
        <v>#NUM!</v>
      </c>
      <c r="DS195" s="59" t="e">
        <f t="shared" si="125"/>
        <v>#NUM!</v>
      </c>
      <c r="DT195" s="59">
        <f ca="1">AVERAGE(OFFSET($DS$3,0,0,'Données projet'!$E$14+1,1))-AVERAGE(OFFSET($H$3,0,0,'Données projet'!$E$14+1,1))</f>
        <v>371.07993287480366</v>
      </c>
      <c r="DU195" s="59">
        <f t="shared" si="152"/>
        <v>358.67120540290637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>
        <f>EXP(-LN(2)/35)*EA194+(1-EXP(-LN(2)/35))/(LN(2)/35)*DW195*DX195*VLOOKUP('Données projet'!$B$14,Paramètres!$A$1:$I$89,3,0)*0.475*44/12</f>
        <v>4.4993538457953015</v>
      </c>
      <c r="EB195" s="21">
        <f>EXP(-LN(2)/25)*EB194+(1-EXP(-LN(2)/25))/(LN(2)/25)*Calculateur!DW195*Calculateur!DY195*VLOOKUP('Données projet'!$B$14,Paramètres!$A$1:$I$89,3,0)*0.475*44/12</f>
        <v>1.8293482437249926</v>
      </c>
      <c r="EC195" s="21">
        <f>EXP(-LN(2)/2)*EC194+(1-EXP(-LN(2)/2))/(LN(2)/2)*DW195*DZ195*VLOOKUP('Données projet'!$B$14,Paramètres!$A$1:$I$89,3,0)*0.475*44/12</f>
        <v>8.4928416701775435E-16</v>
      </c>
      <c r="ED195" s="22">
        <f t="shared" si="178"/>
        <v>6.328702089520295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45">
      <c r="A196" s="10">
        <f t="shared" si="161"/>
        <v>193</v>
      </c>
      <c r="B196" s="73">
        <f>'Scénario référence'!$B$16*5+'Scénario référence'!$B$17*0+'Scénario référence'!$B$18*5</f>
        <v>5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1">
        <f t="shared" si="140"/>
        <v>0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18.333333333333332</v>
      </c>
      <c r="H196" s="67">
        <f t="shared" ref="H196:H203" si="192">(B196+E196+F196)*44/12+(C196+D196)*0.475*44/12</f>
        <v>183.33333333333334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7.9580786405131221E-13</v>
      </c>
      <c r="O196" s="13">
        <f>N196*VLOOKUP('Données projet'!$B$9,Paramètres!$A$1:$I$89,3,0)*VLOOKUP('Données projet'!$B$9,Paramètres!$A$1:$I$89,5,0)</f>
        <v>7.2004695539362725E-13</v>
      </c>
      <c r="P196" s="13">
        <f t="shared" si="141"/>
        <v>8.5963894794935589E-12</v>
      </c>
      <c r="Q196" s="20">
        <f t="shared" si="162"/>
        <v>1.6226126790761848E-11</v>
      </c>
      <c r="R196" s="59">
        <f t="shared" si="191"/>
        <v>290.20450434632471</v>
      </c>
      <c r="S196" s="59">
        <f ca="1">AVERAGE(OFFSET($R$3,0,0,'Données projet'!$E$9+1,1))-AVERAGE(OFFSET($H$3,0,0,'Données projet'!$E$9+1,1))</f>
        <v>681.47578137804555</v>
      </c>
      <c r="T196" s="59">
        <f t="shared" si="142"/>
        <v>300.88511065995885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126.43909862581812</v>
      </c>
      <c r="AA196" s="21">
        <f>EXP(-LN(2)/25)*AA195+(1-EXP(-LN(2)/25))/(LN(2)/25)*Calculateur!V196*Calculateur!X196*VLOOKUP('Données projet'!$B$9,Paramètres!$A$1:$I$89,3,0)*0.475*44/12</f>
        <v>19.507959671141794</v>
      </c>
      <c r="AB196" s="21">
        <f>EXP(-LN(2)/2)*AB195+(1-EXP(-LN(2)/2))/(LN(2)/2)*V196*Y196*VLOOKUP('Données projet'!$B$9,Paramètres!$A$1:$I$89,3,0)*0.475*44/12</f>
        <v>0.33202068300962151</v>
      </c>
      <c r="AC196" s="22">
        <f t="shared" si="163"/>
        <v>146.27907897996954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3.4106051316484809E-13</v>
      </c>
      <c r="AJ196" s="13">
        <f>AI196*VLOOKUP('Données projet'!$B$10,Paramètres!$A$1:$I$89,3,0)*VLOOKUP('Données projet'!$B$10,Paramètres!$A$1:$I$89,5,0)</f>
        <v>1.5961632016114892E-13</v>
      </c>
      <c r="AK196" s="13">
        <f t="shared" si="164"/>
        <v>2.2708641912150958E-12</v>
      </c>
      <c r="AL196" s="20">
        <f t="shared" si="165"/>
        <v>4.2330868906469593E-12</v>
      </c>
      <c r="AM196" s="59">
        <f t="shared" ref="AM196:AM203" si="193">AL196+(AD196+AE196)*44/12</f>
        <v>290.20450434631272</v>
      </c>
      <c r="AN196" s="59">
        <f ca="1">AVERAGE(OFFSET($AM$3,0,0,'Données projet'!$E$10+1,1))-AVERAGE(OFFSET($H$3,0,0,'Données projet'!$E$10+1,1))</f>
        <v>325.45940224919184</v>
      </c>
      <c r="AO196" s="59">
        <f t="shared" si="144"/>
        <v>256.30046621034876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24.861664752875573</v>
      </c>
      <c r="AV196" s="21">
        <f>EXP(-LN(2)/25)*AV195+(1-EXP(-LN(2)/25))/(LN(2)/25)*Calculateur!AQ196*Calculateur!AS196*VLOOKUP('Données projet'!$B$10,Paramètres!$A$1:$I$89,3,0)*0.475*44/12</f>
        <v>4.0792595723673504</v>
      </c>
      <c r="AW196" s="21">
        <f>EXP(-LN(2)/2)*AW195+(1-EXP(-LN(2)/2))/(LN(2)/2)*AQ196*AT196*VLOOKUP('Données projet'!$B$10,Paramètres!$A$1:$I$89,3,0)*0.475*44/12</f>
        <v>7.1595193318973524E-12</v>
      </c>
      <c r="AX196" s="21">
        <f t="shared" si="166"/>
        <v>28.940924325250084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-2.8421709430404007E-13</v>
      </c>
      <c r="BE196" s="13">
        <f>BD196*VLOOKUP('Données projet'!$B$11,Paramètres!$A$1:$I$89,3,0)*VLOOKUP('Données projet'!$B$11,Paramètres!$A$1:$I$89,5,0)</f>
        <v>-2.8819613362429665E-13</v>
      </c>
      <c r="BF196" s="13" t="e">
        <f t="shared" si="167"/>
        <v>#NUM!</v>
      </c>
      <c r="BG196" s="20" t="e">
        <f t="shared" si="168"/>
        <v>#NUM!</v>
      </c>
      <c r="BH196" s="59" t="e">
        <f t="shared" ref="BH196:BH203" si="194">BG196+(AY196+AZ196)*44/12</f>
        <v>#NUM!</v>
      </c>
      <c r="BI196" s="59">
        <f ca="1">AVERAGE(OFFSET($BH$3,0,0,'Données projet'!$E$11+1,1))-AVERAGE(OFFSET($H$3,0,0,'Données projet'!$E$11+1,1))</f>
        <v>580.02848304986492</v>
      </c>
      <c r="BJ196" s="59">
        <f t="shared" si="146"/>
        <v>281.68891895586728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129.81007672873446</v>
      </c>
      <c r="BQ196" s="21">
        <f>EXP(-LN(2)/25)*BQ195+(1-EXP(-LN(2)/25))/(LN(2)/25)*Calculateur!BL196*Calculateur!BN196*VLOOKUP('Données projet'!$B$11,Paramètres!$A$1:$I$89,3,0)*0.475*44/12</f>
        <v>40.278562688848396</v>
      </c>
      <c r="BR196" s="21">
        <f>EXP(-LN(2)/2)*BR195+(1-EXP(-LN(2)/2))/(LN(2)/2)*BL196*BO196*VLOOKUP('Données projet'!$B$11,Paramètres!$A$1:$I$89,3,0)*0.475*44/12</f>
        <v>3.4684084893672291</v>
      </c>
      <c r="BS196" s="22">
        <f t="shared" si="169"/>
        <v>173.55704790695006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>
        <f>BY196*VLOOKUP('Données projet'!$B$12,Paramètres!$A$1:$I$89,3,0)*VLOOKUP('Données projet'!$B$12,Paramètres!$A$1:$I$89,5,0)</f>
        <v>0</v>
      </c>
      <c r="CA196" s="13" t="e">
        <f t="shared" si="170"/>
        <v>#NUM!</v>
      </c>
      <c r="CB196" s="20" t="e">
        <f t="shared" si="171"/>
        <v>#NUM!</v>
      </c>
      <c r="CC196" s="59" t="e">
        <f t="shared" ref="CC196:CC203" si="195">CB196+(BT196+BU196)*44/12</f>
        <v>#NUM!</v>
      </c>
      <c r="CD196" s="59">
        <f ca="1">AVERAGE(OFFSET($CC$3,0,0,'Données projet'!$E$12+1,1))-AVERAGE(OFFSET($H$3,0,0,'Données projet'!$E$12+1,1))</f>
        <v>439.15394290667945</v>
      </c>
      <c r="CE196" s="59">
        <f t="shared" si="148"/>
        <v>423.56554025351068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5.3815715986812309</v>
      </c>
      <c r="CL196" s="21">
        <f>EXP(-LN(2)/25)*CL195+(1-EXP(-LN(2)/25))/(LN(2)/25)*Calculateur!CG196*Calculateur!CI196*VLOOKUP('Données projet'!$B$12,Paramètres!$A$1:$I$89,3,0)*0.475*44/12</f>
        <v>2.1707760361548889</v>
      </c>
      <c r="CM196" s="21">
        <f>EXP(-LN(2)/2)*CM195+(1-EXP(-LN(2)/2))/(LN(2)/2)*CG196*CJ196*VLOOKUP('Données projet'!$B$12,Paramètres!$A$1:$I$89,3,0)*0.475*44/12</f>
        <v>7.3265220425619792E-16</v>
      </c>
      <c r="CN196" s="22">
        <f t="shared" si="172"/>
        <v>7.5523476348361207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>
        <f>CT196*VLOOKUP('Données projet'!$B$13,Paramètres!$A$1:$I$89,3,0)*VLOOKUP('Données projet'!$B$13,Paramètres!$A$1:$I$89,5,0)</f>
        <v>0</v>
      </c>
      <c r="CV196" s="13" t="e">
        <f t="shared" si="173"/>
        <v>#NUM!</v>
      </c>
      <c r="CW196" s="20" t="e">
        <f t="shared" si="174"/>
        <v>#NUM!</v>
      </c>
      <c r="CX196" s="59" t="e">
        <f t="shared" ref="CX196:CX203" si="196">CW196+(CO196+CP196)*44/12</f>
        <v>#NUM!</v>
      </c>
      <c r="CY196" s="59">
        <f ca="1">AVERAGE(OFFSET($CX$3,0,0,'Données projet'!$E$13+1,1))-AVERAGE(OFFSET($H$3,0,0,'Données projet'!$E$13+1,1))</f>
        <v>408.246209980743</v>
      </c>
      <c r="CZ196" s="59">
        <f t="shared" si="150"/>
        <v>394.10236303013903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>
        <f>EXP(-LN(2)/35)*DF195+(1-EXP(-LN(2)/35))/(LN(2)/35)*DB196*DC196*VLOOKUP('Données projet'!$B$13,Paramètres!$A$1:$I$89,3,0)*0.475*44/12</f>
        <v>6.0894031661783918</v>
      </c>
      <c r="DG196" s="21">
        <f>EXP(-LN(2)/25)*DG195+(1-EXP(-LN(2)/25))/(LN(2)/25)*Calculateur!DB196*Calculateur!DD196*VLOOKUP('Données projet'!$B$13,Paramètres!$A$1:$I$89,3,0)*0.475*44/12</f>
        <v>2.4562955681691627</v>
      </c>
      <c r="DH196" s="21">
        <f>EXP(-LN(2)/2)*DH195+(1-EXP(-LN(2)/2))/(LN(2)/2)*DB196*DE196*VLOOKUP('Données projet'!$B$13,Paramètres!$A$1:$I$89,3,0)*0.475*44/12</f>
        <v>6.7259874489093599E-16</v>
      </c>
      <c r="DI196" s="22">
        <f t="shared" si="175"/>
        <v>8.545698734347555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>
        <f>DO196*VLOOKUP('Données projet'!$B$14,Paramètres!$A$1:$I$89,3,0)*VLOOKUP('Données projet'!$B$14,Paramètres!$A$1:$I$89,5,0)</f>
        <v>0</v>
      </c>
      <c r="DQ196" s="13" t="e">
        <f t="shared" si="176"/>
        <v>#NUM!</v>
      </c>
      <c r="DR196" s="20" t="e">
        <f t="shared" si="177"/>
        <v>#NUM!</v>
      </c>
      <c r="DS196" s="59" t="e">
        <f t="shared" ref="DS196:DS203" si="197">DR196+(DJ196+DK196)*44/12</f>
        <v>#NUM!</v>
      </c>
      <c r="DT196" s="59">
        <f ca="1">AVERAGE(OFFSET($DS$3,0,0,'Données projet'!$E$14+1,1))-AVERAGE(OFFSET($H$3,0,0,'Données projet'!$E$14+1,1))</f>
        <v>371.07993287480366</v>
      </c>
      <c r="DU196" s="59">
        <f t="shared" si="152"/>
        <v>358.67120540290637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>
        <f>EXP(-LN(2)/35)*EA195+(1-EXP(-LN(2)/35))/(LN(2)/35)*DW196*DX196*VLOOKUP('Données projet'!$B$14,Paramètres!$A$1:$I$89,3,0)*0.475*44/12</f>
        <v>4.4111242612141206</v>
      </c>
      <c r="EB196" s="21">
        <f>EXP(-LN(2)/25)*EB195+(1-EXP(-LN(2)/25))/(LN(2)/25)*Calculateur!DW196*Calculateur!DY196*VLOOKUP('Données projet'!$B$14,Paramètres!$A$1:$I$89,3,0)*0.475*44/12</f>
        <v>1.7793246197990895</v>
      </c>
      <c r="EC196" s="21">
        <f>EXP(-LN(2)/2)*EC195+(1-EXP(-LN(2)/2))/(LN(2)/2)*DW196*DZ196*VLOOKUP('Données projet'!$B$14,Paramètres!$A$1:$I$89,3,0)*0.475*44/12</f>
        <v>6.005345936526225E-16</v>
      </c>
      <c r="ED196" s="22">
        <f t="shared" si="178"/>
        <v>6.1904488810132108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45">
      <c r="A197" s="10">
        <f t="shared" si="161"/>
        <v>194</v>
      </c>
      <c r="B197" s="73">
        <f>'Scénario référence'!$B$16*5+'Scénario référence'!$B$17*0+'Scénario référence'!$B$18*5</f>
        <v>5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1">
        <f t="shared" ref="D197:D203" si="202">IFERROR(EXP(-1.0587+0.8836*LN(C197)+0.284),0)</f>
        <v>0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18.333333333333332</v>
      </c>
      <c r="H197" s="67">
        <f t="shared" si="192"/>
        <v>183.33333333333334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7.9580786405131221E-13</v>
      </c>
      <c r="O197" s="13">
        <f>N197*VLOOKUP('Données projet'!$B$9,Paramètres!$A$1:$I$89,3,0)*VLOOKUP('Données projet'!$B$9,Paramètres!$A$1:$I$89,5,0)</f>
        <v>7.2004695539362725E-13</v>
      </c>
      <c r="P197" s="13">
        <f t="shared" ref="P197:P203" si="203">EXP(-1.0587+0.8836*LN(O197)+0.284)</f>
        <v>8.5963894794935589E-12</v>
      </c>
      <c r="Q197" s="20">
        <f t="shared" si="162"/>
        <v>1.6226126790761848E-11</v>
      </c>
      <c r="R197" s="59">
        <f t="shared" si="191"/>
        <v>290.25878253423593</v>
      </c>
      <c r="S197" s="59">
        <f ca="1">AVERAGE(OFFSET($R$3,0,0,'Données projet'!$E$9+1,1))-AVERAGE(OFFSET($H$3,0,0,'Données projet'!$E$9+1,1))</f>
        <v>681.47578137804555</v>
      </c>
      <c r="T197" s="59">
        <f t="shared" ref="T197:T203" si="204">$T$3</f>
        <v>300.88511065995885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123.959705022001</v>
      </c>
      <c r="AA197" s="21">
        <f>EXP(-LN(2)/25)*AA196+(1-EXP(-LN(2)/25))/(LN(2)/25)*Calculateur!V197*Calculateur!X197*VLOOKUP('Données projet'!$B$9,Paramètres!$A$1:$I$89,3,0)*0.475*44/12</f>
        <v>18.974513488055408</v>
      </c>
      <c r="AB197" s="21">
        <f>EXP(-LN(2)/2)*AB196+(1-EXP(-LN(2)/2))/(LN(2)/2)*V197*Y197*VLOOKUP('Données projet'!$B$9,Paramètres!$A$1:$I$89,3,0)*0.475*44/12</f>
        <v>0.2347740764502925</v>
      </c>
      <c r="AC197" s="22">
        <f t="shared" si="163"/>
        <v>143.1689925865067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3.4106051316484809E-13</v>
      </c>
      <c r="AJ197" s="13">
        <f>AI197*VLOOKUP('Données projet'!$B$10,Paramètres!$A$1:$I$89,3,0)*VLOOKUP('Données projet'!$B$10,Paramètres!$A$1:$I$89,5,0)</f>
        <v>1.5961632016114892E-13</v>
      </c>
      <c r="AK197" s="13">
        <f t="shared" si="164"/>
        <v>2.2708641912150958E-12</v>
      </c>
      <c r="AL197" s="20">
        <f t="shared" si="165"/>
        <v>4.2330868906469593E-12</v>
      </c>
      <c r="AM197" s="59">
        <f t="shared" si="193"/>
        <v>290.25878253422394</v>
      </c>
      <c r="AN197" s="59">
        <f ca="1">AVERAGE(OFFSET($AM$3,0,0,'Données projet'!$E$10+1,1))-AVERAGE(OFFSET($H$3,0,0,'Données projet'!$E$10+1,1))</f>
        <v>325.45940224919184</v>
      </c>
      <c r="AO197" s="59">
        <f t="shared" ref="AO197:AO203" si="205">$AO$3</f>
        <v>256.30046621034876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24.374142671189851</v>
      </c>
      <c r="AV197" s="21">
        <f>EXP(-LN(2)/25)*AV196+(1-EXP(-LN(2)/25))/(LN(2)/25)*Calculateur!AQ197*Calculateur!AS197*VLOOKUP('Données projet'!$B$10,Paramètres!$A$1:$I$89,3,0)*0.475*44/12</f>
        <v>3.9677120048420274</v>
      </c>
      <c r="AW197" s="21">
        <f>EXP(-LN(2)/2)*AW196+(1-EXP(-LN(2)/2))/(LN(2)/2)*AQ197*AT197*VLOOKUP('Données projet'!$B$10,Paramètres!$A$1:$I$89,3,0)*0.475*44/12</f>
        <v>5.0625446696207987E-12</v>
      </c>
      <c r="AX197" s="21">
        <f t="shared" si="166"/>
        <v>28.341854676036942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-2.8421709430404007E-13</v>
      </c>
      <c r="BE197" s="13">
        <f>BD197*VLOOKUP('Données projet'!$B$11,Paramètres!$A$1:$I$89,3,0)*VLOOKUP('Données projet'!$B$11,Paramètres!$A$1:$I$89,5,0)</f>
        <v>-2.8819613362429665E-13</v>
      </c>
      <c r="BF197" s="13" t="e">
        <f t="shared" si="167"/>
        <v>#NUM!</v>
      </c>
      <c r="BG197" s="20" t="e">
        <f t="shared" si="168"/>
        <v>#NUM!</v>
      </c>
      <c r="BH197" s="59" t="e">
        <f t="shared" si="194"/>
        <v>#NUM!</v>
      </c>
      <c r="BI197" s="59">
        <f ca="1">AVERAGE(OFFSET($BH$3,0,0,'Données projet'!$E$11+1,1))-AVERAGE(OFFSET($H$3,0,0,'Données projet'!$E$11+1,1))</f>
        <v>580.02848304986492</v>
      </c>
      <c r="BJ197" s="59">
        <f t="shared" ref="BJ197:BJ203" si="206">$BJ$3</f>
        <v>281.68891895586728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127.26458030041276</v>
      </c>
      <c r="BQ197" s="21">
        <f>EXP(-LN(2)/25)*BQ196+(1-EXP(-LN(2)/25))/(LN(2)/25)*Calculateur!BL197*Calculateur!BN197*VLOOKUP('Données projet'!$B$11,Paramètres!$A$1:$I$89,3,0)*0.475*44/12</f>
        <v>39.177143273964283</v>
      </c>
      <c r="BR197" s="21">
        <f>EXP(-LN(2)/2)*BR196+(1-EXP(-LN(2)/2))/(LN(2)/2)*BL197*BO197*VLOOKUP('Données projet'!$B$11,Paramètres!$A$1:$I$89,3,0)*0.475*44/12</f>
        <v>2.4525351627565573</v>
      </c>
      <c r="BS197" s="22">
        <f t="shared" si="169"/>
        <v>168.89425873713361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>
        <f>BY197*VLOOKUP('Données projet'!$B$12,Paramètres!$A$1:$I$89,3,0)*VLOOKUP('Données projet'!$B$12,Paramètres!$A$1:$I$89,5,0)</f>
        <v>0</v>
      </c>
      <c r="CA197" s="13" t="e">
        <f t="shared" si="170"/>
        <v>#NUM!</v>
      </c>
      <c r="CB197" s="20" t="e">
        <f t="shared" si="171"/>
        <v>#NUM!</v>
      </c>
      <c r="CC197" s="59" t="e">
        <f t="shared" si="195"/>
        <v>#NUM!</v>
      </c>
      <c r="CD197" s="59">
        <f ca="1">AVERAGE(OFFSET($CC$3,0,0,'Données projet'!$E$12+1,1))-AVERAGE(OFFSET($H$3,0,0,'Données projet'!$E$12+1,1))</f>
        <v>439.15394290667945</v>
      </c>
      <c r="CE197" s="59">
        <f t="shared" ref="CE197:CE203" si="207">$CE$3</f>
        <v>423.56554025351068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5.276042262065654</v>
      </c>
      <c r="CL197" s="21">
        <f>EXP(-LN(2)/25)*CL196+(1-EXP(-LN(2)/25))/(LN(2)/25)*Calculateur!CG197*Calculateur!CI197*VLOOKUP('Données projet'!$B$12,Paramètres!$A$1:$I$89,3,0)*0.475*44/12</f>
        <v>2.111416051290083</v>
      </c>
      <c r="CM197" s="21">
        <f>EXP(-LN(2)/2)*CM196+(1-EXP(-LN(2)/2))/(LN(2)/2)*CG197*CJ197*VLOOKUP('Données projet'!$B$12,Paramètres!$A$1:$I$89,3,0)*0.475*44/12</f>
        <v>5.1806334188082906E-16</v>
      </c>
      <c r="CN197" s="22">
        <f t="shared" si="172"/>
        <v>7.3874583133557374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>
        <f>CT197*VLOOKUP('Données projet'!$B$13,Paramètres!$A$1:$I$89,3,0)*VLOOKUP('Données projet'!$B$13,Paramètres!$A$1:$I$89,5,0)</f>
        <v>0</v>
      </c>
      <c r="CV197" s="13" t="e">
        <f t="shared" si="173"/>
        <v>#NUM!</v>
      </c>
      <c r="CW197" s="20" t="e">
        <f t="shared" si="174"/>
        <v>#NUM!</v>
      </c>
      <c r="CX197" s="59" t="e">
        <f t="shared" si="196"/>
        <v>#NUM!</v>
      </c>
      <c r="CY197" s="59">
        <f ca="1">AVERAGE(OFFSET($CX$3,0,0,'Données projet'!$E$13+1,1))-AVERAGE(OFFSET($H$3,0,0,'Données projet'!$E$13+1,1))</f>
        <v>408.246209980743</v>
      </c>
      <c r="CZ197" s="59">
        <f t="shared" ref="CZ197:CZ203" si="208">$CZ$3</f>
        <v>394.10236303013903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>
        <f>EXP(-LN(2)/35)*DF196+(1-EXP(-LN(2)/35))/(LN(2)/35)*DB197*DC197*VLOOKUP('Données projet'!$B$13,Paramètres!$A$1:$I$89,3,0)*0.475*44/12</f>
        <v>5.9699936842588208</v>
      </c>
      <c r="DG197" s="21">
        <f>EXP(-LN(2)/25)*DG196+(1-EXP(-LN(2)/25))/(LN(2)/25)*Calculateur!DB197*Calculateur!DD197*VLOOKUP('Données projet'!$B$13,Paramètres!$A$1:$I$89,3,0)*0.475*44/12</f>
        <v>2.389128036686607</v>
      </c>
      <c r="DH197" s="21">
        <f>EXP(-LN(2)/2)*DH196+(1-EXP(-LN(2)/2))/(LN(2)/2)*DB197*DE197*VLOOKUP('Données projet'!$B$13,Paramètres!$A$1:$I$89,3,0)*0.475*44/12</f>
        <v>4.7559913352994157E-16</v>
      </c>
      <c r="DI197" s="22">
        <f t="shared" si="175"/>
        <v>8.3591217209454278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>
        <f>DO197*VLOOKUP('Données projet'!$B$14,Paramètres!$A$1:$I$89,3,0)*VLOOKUP('Données projet'!$B$14,Paramètres!$A$1:$I$89,5,0)</f>
        <v>0</v>
      </c>
      <c r="DQ197" s="13" t="e">
        <f t="shared" si="176"/>
        <v>#NUM!</v>
      </c>
      <c r="DR197" s="20" t="e">
        <f t="shared" si="177"/>
        <v>#NUM!</v>
      </c>
      <c r="DS197" s="59" t="e">
        <f t="shared" si="197"/>
        <v>#NUM!</v>
      </c>
      <c r="DT197" s="59">
        <f ca="1">AVERAGE(OFFSET($DS$3,0,0,'Données projet'!$E$14+1,1))-AVERAGE(OFFSET($H$3,0,0,'Données projet'!$E$14+1,1))</f>
        <v>371.07993287480366</v>
      </c>
      <c r="DU197" s="59">
        <f t="shared" ref="DU197:DU203" si="209">$DU$3</f>
        <v>358.67120540290637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>
        <f>EXP(-LN(2)/35)*EA196+(1-EXP(-LN(2)/35))/(LN(2)/35)*DW197*DX197*VLOOKUP('Données projet'!$B$14,Paramètres!$A$1:$I$89,3,0)*0.475*44/12</f>
        <v>4.3246248049718439</v>
      </c>
      <c r="EB197" s="21">
        <f>EXP(-LN(2)/25)*EB196+(1-EXP(-LN(2)/25))/(LN(2)/25)*Calculateur!DW197*Calculateur!DY197*VLOOKUP('Données projet'!$B$14,Paramètres!$A$1:$I$89,3,0)*0.475*44/12</f>
        <v>1.7306688945000683</v>
      </c>
      <c r="EC197" s="21">
        <f>EXP(-LN(2)/2)*EC196+(1-EXP(-LN(2)/2))/(LN(2)/2)*DW197*DZ197*VLOOKUP('Données projet'!$B$14,Paramètres!$A$1:$I$89,3,0)*0.475*44/12</f>
        <v>4.2464208350887717E-16</v>
      </c>
      <c r="ED197" s="22">
        <f t="shared" si="178"/>
        <v>6.0552936994719122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45">
      <c r="A198" s="10">
        <f t="shared" si="161"/>
        <v>195</v>
      </c>
      <c r="B198" s="73">
        <f>'Scénario référence'!$B$16*5+'Scénario référence'!$B$17*0+'Scénario référence'!$B$18*5</f>
        <v>5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1">
        <f t="shared" si="202"/>
        <v>0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18.333333333333332</v>
      </c>
      <c r="H198" s="67">
        <f t="shared" si="192"/>
        <v>183.33333333333334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7.9580786405131221E-13</v>
      </c>
      <c r="O198" s="13">
        <f>N198*VLOOKUP('Données projet'!$B$9,Paramètres!$A$1:$I$89,3,0)*VLOOKUP('Données projet'!$B$9,Paramètres!$A$1:$I$89,5,0)</f>
        <v>7.2004695539362725E-13</v>
      </c>
      <c r="P198" s="13">
        <f t="shared" si="203"/>
        <v>8.5963894794935589E-12</v>
      </c>
      <c r="Q198" s="20">
        <f t="shared" si="162"/>
        <v>1.6226126790761848E-11</v>
      </c>
      <c r="R198" s="59">
        <f t="shared" si="191"/>
        <v>290.3121191169347</v>
      </c>
      <c r="S198" s="59">
        <f ca="1">AVERAGE(OFFSET($R$3,0,0,'Données projet'!$E$9+1,1))-AVERAGE(OFFSET($H$3,0,0,'Données projet'!$E$9+1,1))</f>
        <v>681.47578137804555</v>
      </c>
      <c r="T198" s="59">
        <f t="shared" si="204"/>
        <v>300.88511065995885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121.52893081447397</v>
      </c>
      <c r="AA198" s="21">
        <f>EXP(-LN(2)/25)*AA197+(1-EXP(-LN(2)/25))/(LN(2)/25)*Calculateur!V198*Calculateur!X198*VLOOKUP('Données projet'!$B$9,Paramètres!$A$1:$I$89,3,0)*0.475*44/12</f>
        <v>18.455654418898234</v>
      </c>
      <c r="AB198" s="21">
        <f>EXP(-LN(2)/2)*AB197+(1-EXP(-LN(2)/2))/(LN(2)/2)*V198*Y198*VLOOKUP('Données projet'!$B$9,Paramètres!$A$1:$I$89,3,0)*0.475*44/12</f>
        <v>0.16601034150481075</v>
      </c>
      <c r="AC198" s="22">
        <f t="shared" si="163"/>
        <v>140.150595574877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3.4106051316484809E-13</v>
      </c>
      <c r="AJ198" s="13">
        <f>AI198*VLOOKUP('Données projet'!$B$10,Paramètres!$A$1:$I$89,3,0)*VLOOKUP('Données projet'!$B$10,Paramètres!$A$1:$I$89,5,0)</f>
        <v>1.5961632016114892E-13</v>
      </c>
      <c r="AK198" s="13">
        <f t="shared" si="164"/>
        <v>2.2708641912150958E-12</v>
      </c>
      <c r="AL198" s="20">
        <f t="shared" si="165"/>
        <v>4.2330868906469593E-12</v>
      </c>
      <c r="AM198" s="59">
        <f t="shared" si="193"/>
        <v>290.3121191169227</v>
      </c>
      <c r="AN198" s="59">
        <f ca="1">AVERAGE(OFFSET($AM$3,0,0,'Données projet'!$E$10+1,1))-AVERAGE(OFFSET($H$3,0,0,'Données projet'!$E$10+1,1))</f>
        <v>325.45940224919184</v>
      </c>
      <c r="AO198" s="59">
        <f t="shared" si="205"/>
        <v>256.30046621034876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23.896180600166876</v>
      </c>
      <c r="AV198" s="21">
        <f>EXP(-LN(2)/25)*AV197+(1-EXP(-LN(2)/25))/(LN(2)/25)*Calculateur!AQ198*Calculateur!AS198*VLOOKUP('Données projet'!$B$10,Paramètres!$A$1:$I$89,3,0)*0.475*44/12</f>
        <v>3.8592147114167159</v>
      </c>
      <c r="AW198" s="21">
        <f>EXP(-LN(2)/2)*AW197+(1-EXP(-LN(2)/2))/(LN(2)/2)*AQ198*AT198*VLOOKUP('Données projet'!$B$10,Paramètres!$A$1:$I$89,3,0)*0.475*44/12</f>
        <v>3.579759665948677E-12</v>
      </c>
      <c r="AX198" s="21">
        <f t="shared" si="166"/>
        <v>27.755395311587172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-2.8421709430404007E-13</v>
      </c>
      <c r="BE198" s="13">
        <f>BD198*VLOOKUP('Données projet'!$B$11,Paramètres!$A$1:$I$89,3,0)*VLOOKUP('Données projet'!$B$11,Paramètres!$A$1:$I$89,5,0)</f>
        <v>-2.8819613362429665E-13</v>
      </c>
      <c r="BF198" s="13" t="e">
        <f t="shared" si="167"/>
        <v>#NUM!</v>
      </c>
      <c r="BG198" s="20" t="e">
        <f t="shared" si="168"/>
        <v>#NUM!</v>
      </c>
      <c r="BH198" s="59" t="e">
        <f t="shared" si="194"/>
        <v>#NUM!</v>
      </c>
      <c r="BI198" s="59">
        <f ca="1">AVERAGE(OFFSET($BH$3,0,0,'Données projet'!$E$11+1,1))-AVERAGE(OFFSET($H$3,0,0,'Données projet'!$E$11+1,1))</f>
        <v>580.02848304986492</v>
      </c>
      <c r="BJ198" s="59">
        <f t="shared" si="206"/>
        <v>281.68891895586728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124.76899950445095</v>
      </c>
      <c r="BQ198" s="21">
        <f>EXP(-LN(2)/25)*BQ197+(1-EXP(-LN(2)/25))/(LN(2)/25)*Calculateur!BL198*Calculateur!BN198*VLOOKUP('Données projet'!$B$11,Paramètres!$A$1:$I$89,3,0)*0.475*44/12</f>
        <v>38.105842230901303</v>
      </c>
      <c r="BR198" s="21">
        <f>EXP(-LN(2)/2)*BR197+(1-EXP(-LN(2)/2))/(LN(2)/2)*BL198*BO198*VLOOKUP('Données projet'!$B$11,Paramètres!$A$1:$I$89,3,0)*0.475*44/12</f>
        <v>1.7342042446836148</v>
      </c>
      <c r="BS198" s="22">
        <f t="shared" si="169"/>
        <v>164.60904598003586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>
        <f>BY198*VLOOKUP('Données projet'!$B$12,Paramètres!$A$1:$I$89,3,0)*VLOOKUP('Données projet'!$B$12,Paramètres!$A$1:$I$89,5,0)</f>
        <v>0</v>
      </c>
      <c r="CA198" s="13" t="e">
        <f t="shared" si="170"/>
        <v>#NUM!</v>
      </c>
      <c r="CB198" s="20" t="e">
        <f t="shared" si="171"/>
        <v>#NUM!</v>
      </c>
      <c r="CC198" s="59" t="e">
        <f t="shared" si="195"/>
        <v>#NUM!</v>
      </c>
      <c r="CD198" s="59">
        <f ca="1">AVERAGE(OFFSET($CC$3,0,0,'Données projet'!$E$12+1,1))-AVERAGE(OFFSET($H$3,0,0,'Données projet'!$E$12+1,1))</f>
        <v>439.15394290667945</v>
      </c>
      <c r="CE198" s="59">
        <f t="shared" si="207"/>
        <v>423.56554025351068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5.1725822913745683</v>
      </c>
      <c r="CL198" s="21">
        <f>EXP(-LN(2)/25)*CL197+(1-EXP(-LN(2)/25))/(LN(2)/25)*Calculateur!CG198*Calculateur!CI198*VLOOKUP('Données projet'!$B$12,Paramètres!$A$1:$I$89,3,0)*0.475*44/12</f>
        <v>2.0536792683330112</v>
      </c>
      <c r="CM198" s="21">
        <f>EXP(-LN(2)/2)*CM197+(1-EXP(-LN(2)/2))/(LN(2)/2)*CG198*CJ198*VLOOKUP('Données projet'!$B$12,Paramètres!$A$1:$I$89,3,0)*0.475*44/12</f>
        <v>3.6632610212809896E-16</v>
      </c>
      <c r="CN198" s="22">
        <f t="shared" si="172"/>
        <v>7.226261559707579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>
        <f>CT198*VLOOKUP('Données projet'!$B$13,Paramètres!$A$1:$I$89,3,0)*VLOOKUP('Données projet'!$B$13,Paramètres!$A$1:$I$89,5,0)</f>
        <v>0</v>
      </c>
      <c r="CV198" s="13" t="e">
        <f t="shared" si="173"/>
        <v>#NUM!</v>
      </c>
      <c r="CW198" s="20" t="e">
        <f t="shared" si="174"/>
        <v>#NUM!</v>
      </c>
      <c r="CX198" s="59" t="e">
        <f t="shared" si="196"/>
        <v>#NUM!</v>
      </c>
      <c r="CY198" s="59">
        <f ca="1">AVERAGE(OFFSET($CX$3,0,0,'Données projet'!$E$13+1,1))-AVERAGE(OFFSET($H$3,0,0,'Données projet'!$E$13+1,1))</f>
        <v>408.246209980743</v>
      </c>
      <c r="CZ198" s="59">
        <f t="shared" si="208"/>
        <v>394.10236303013903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>
        <f>EXP(-LN(2)/35)*DF197+(1-EXP(-LN(2)/35))/(LN(2)/35)*DB198*DC198*VLOOKUP('Données projet'!$B$13,Paramètres!$A$1:$I$89,3,0)*0.475*44/12</f>
        <v>5.8529257494471008</v>
      </c>
      <c r="DG198" s="21">
        <f>EXP(-LN(2)/25)*DG197+(1-EXP(-LN(2)/25))/(LN(2)/25)*Calculateur!DB198*Calculateur!DD198*VLOOKUP('Données projet'!$B$13,Paramètres!$A$1:$I$89,3,0)*0.475*44/12</f>
        <v>2.3237972048846287</v>
      </c>
      <c r="DH198" s="21">
        <f>EXP(-LN(2)/2)*DH197+(1-EXP(-LN(2)/2))/(LN(2)/2)*DB198*DE198*VLOOKUP('Données projet'!$B$13,Paramètres!$A$1:$I$89,3,0)*0.475*44/12</f>
        <v>3.3629937244546799E-16</v>
      </c>
      <c r="DI198" s="22">
        <f t="shared" si="175"/>
        <v>8.1767229543317299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>
        <f>DO198*VLOOKUP('Données projet'!$B$14,Paramètres!$A$1:$I$89,3,0)*VLOOKUP('Données projet'!$B$14,Paramètres!$A$1:$I$89,5,0)</f>
        <v>0</v>
      </c>
      <c r="DQ198" s="13" t="e">
        <f t="shared" si="176"/>
        <v>#NUM!</v>
      </c>
      <c r="DR198" s="20" t="e">
        <f t="shared" si="177"/>
        <v>#NUM!</v>
      </c>
      <c r="DS198" s="59" t="e">
        <f t="shared" si="197"/>
        <v>#NUM!</v>
      </c>
      <c r="DT198" s="59">
        <f ca="1">AVERAGE(OFFSET($DS$3,0,0,'Données projet'!$E$14+1,1))-AVERAGE(OFFSET($H$3,0,0,'Données projet'!$E$14+1,1))</f>
        <v>371.07993287480366</v>
      </c>
      <c r="DU198" s="59">
        <f t="shared" si="209"/>
        <v>358.67120540290637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>
        <f>EXP(-LN(2)/35)*EA197+(1-EXP(-LN(2)/35))/(LN(2)/35)*DW198*DX198*VLOOKUP('Données projet'!$B$14,Paramètres!$A$1:$I$89,3,0)*0.475*44/12</f>
        <v>4.2398215503070196</v>
      </c>
      <c r="EB198" s="21">
        <f>EXP(-LN(2)/25)*EB197+(1-EXP(-LN(2)/25))/(LN(2)/25)*Calculateur!DW198*Calculateur!DY198*VLOOKUP('Données projet'!$B$14,Paramètres!$A$1:$I$89,3,0)*0.475*44/12</f>
        <v>1.6833436625680422</v>
      </c>
      <c r="EC198" s="21">
        <f>EXP(-LN(2)/2)*EC197+(1-EXP(-LN(2)/2))/(LN(2)/2)*DW198*DZ198*VLOOKUP('Données projet'!$B$14,Paramètres!$A$1:$I$89,3,0)*0.475*44/12</f>
        <v>3.0026729682631125E-16</v>
      </c>
      <c r="ED198" s="22">
        <f t="shared" si="178"/>
        <v>5.9231652128750616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45">
      <c r="A199" s="10">
        <f t="shared" si="161"/>
        <v>196</v>
      </c>
      <c r="B199" s="73">
        <f>'Scénario référence'!$B$16*5+'Scénario référence'!$B$17*0+'Scénario référence'!$B$18*5</f>
        <v>5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1">
        <f t="shared" si="202"/>
        <v>0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18.333333333333332</v>
      </c>
      <c r="H199" s="67">
        <f t="shared" si="192"/>
        <v>183.33333333333334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7.9580786405131221E-13</v>
      </c>
      <c r="O199" s="13">
        <f>N199*VLOOKUP('Données projet'!$B$9,Paramètres!$A$1:$I$89,3,0)*VLOOKUP('Données projet'!$B$9,Paramètres!$A$1:$I$89,5,0)</f>
        <v>7.2004695539362725E-13</v>
      </c>
      <c r="P199" s="13">
        <f t="shared" si="203"/>
        <v>8.5963894794935589E-12</v>
      </c>
      <c r="Q199" s="20">
        <f t="shared" si="162"/>
        <v>1.6226126790761848E-11</v>
      </c>
      <c r="R199" s="59">
        <f t="shared" si="191"/>
        <v>290.36453042916639</v>
      </c>
      <c r="S199" s="59">
        <f ca="1">AVERAGE(OFFSET($R$3,0,0,'Données projet'!$E$9+1,1))-AVERAGE(OFFSET($H$3,0,0,'Données projet'!$E$9+1,1))</f>
        <v>681.47578137804555</v>
      </c>
      <c r="T199" s="59">
        <f t="shared" si="204"/>
        <v>300.88511065995885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119.14582260653066</v>
      </c>
      <c r="AA199" s="21">
        <f>EXP(-LN(2)/25)*AA198+(1-EXP(-LN(2)/25))/(LN(2)/25)*Calculateur!V199*Calculateur!X199*VLOOKUP('Données projet'!$B$9,Paramètres!$A$1:$I$89,3,0)*0.475*44/12</f>
        <v>17.950983578272776</v>
      </c>
      <c r="AB199" s="21">
        <f>EXP(-LN(2)/2)*AB198+(1-EXP(-LN(2)/2))/(LN(2)/2)*V199*Y199*VLOOKUP('Données projet'!$B$9,Paramètres!$A$1:$I$89,3,0)*0.475*44/12</f>
        <v>0.11738703822514625</v>
      </c>
      <c r="AC199" s="22">
        <f t="shared" si="163"/>
        <v>137.21419322302856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3.4106051316484809E-13</v>
      </c>
      <c r="AJ199" s="13">
        <f>AI199*VLOOKUP('Données projet'!$B$10,Paramètres!$A$1:$I$89,3,0)*VLOOKUP('Données projet'!$B$10,Paramètres!$A$1:$I$89,5,0)</f>
        <v>1.5961632016114892E-13</v>
      </c>
      <c r="AK199" s="13">
        <f t="shared" si="164"/>
        <v>2.2708641912150958E-12</v>
      </c>
      <c r="AL199" s="20">
        <f t="shared" si="165"/>
        <v>4.2330868906469593E-12</v>
      </c>
      <c r="AM199" s="59">
        <f t="shared" si="193"/>
        <v>290.3645304291544</v>
      </c>
      <c r="AN199" s="59">
        <f ca="1">AVERAGE(OFFSET($AM$3,0,0,'Données projet'!$E$10+1,1))-AVERAGE(OFFSET($H$3,0,0,'Données projet'!$E$10+1,1))</f>
        <v>325.45940224919184</v>
      </c>
      <c r="AO199" s="59">
        <f t="shared" si="205"/>
        <v>256.30046621034876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23.427591073828584</v>
      </c>
      <c r="AV199" s="21">
        <f>EXP(-LN(2)/25)*AV198+(1-EXP(-LN(2)/25))/(LN(2)/25)*Calculateur!AQ199*Calculateur!AS199*VLOOKUP('Données projet'!$B$10,Paramètres!$A$1:$I$89,3,0)*0.475*44/12</f>
        <v>3.7536842821857443</v>
      </c>
      <c r="AW199" s="21">
        <f>EXP(-LN(2)/2)*AW198+(1-EXP(-LN(2)/2))/(LN(2)/2)*AQ199*AT199*VLOOKUP('Données projet'!$B$10,Paramètres!$A$1:$I$89,3,0)*0.475*44/12</f>
        <v>2.5312723348103997E-12</v>
      </c>
      <c r="AX199" s="21">
        <f t="shared" si="166"/>
        <v>27.181275356016858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-2.8421709430404007E-13</v>
      </c>
      <c r="BE199" s="13">
        <f>BD199*VLOOKUP('Données projet'!$B$11,Paramètres!$A$1:$I$89,3,0)*VLOOKUP('Données projet'!$B$11,Paramètres!$A$1:$I$89,5,0)</f>
        <v>-2.8819613362429665E-13</v>
      </c>
      <c r="BF199" s="13" t="e">
        <f t="shared" si="167"/>
        <v>#NUM!</v>
      </c>
      <c r="BG199" s="20" t="e">
        <f t="shared" si="168"/>
        <v>#NUM!</v>
      </c>
      <c r="BH199" s="59" t="e">
        <f t="shared" si="194"/>
        <v>#NUM!</v>
      </c>
      <c r="BI199" s="59">
        <f ca="1">AVERAGE(OFFSET($BH$3,0,0,'Données projet'!$E$11+1,1))-AVERAGE(OFFSET($H$3,0,0,'Données projet'!$E$11+1,1))</f>
        <v>580.02848304986492</v>
      </c>
      <c r="BJ199" s="59">
        <f t="shared" si="206"/>
        <v>281.68891895586728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122.32235552574396</v>
      </c>
      <c r="BQ199" s="21">
        <f>EXP(-LN(2)/25)*BQ198+(1-EXP(-LN(2)/25))/(LN(2)/25)*Calculateur!BL199*Calculateur!BN199*VLOOKUP('Données projet'!$B$11,Paramètres!$A$1:$I$89,3,0)*0.475*44/12</f>
        <v>37.063835971198152</v>
      </c>
      <c r="BR199" s="21">
        <f>EXP(-LN(2)/2)*BR198+(1-EXP(-LN(2)/2))/(LN(2)/2)*BL199*BO199*VLOOKUP('Données projet'!$B$11,Paramètres!$A$1:$I$89,3,0)*0.475*44/12</f>
        <v>1.2262675813782788</v>
      </c>
      <c r="BS199" s="22">
        <f t="shared" si="169"/>
        <v>160.61245907832037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>
        <f>BY199*VLOOKUP('Données projet'!$B$12,Paramètres!$A$1:$I$89,3,0)*VLOOKUP('Données projet'!$B$12,Paramètres!$A$1:$I$89,5,0)</f>
        <v>0</v>
      </c>
      <c r="CA199" s="13" t="e">
        <f t="shared" si="170"/>
        <v>#NUM!</v>
      </c>
      <c r="CB199" s="20" t="e">
        <f t="shared" si="171"/>
        <v>#NUM!</v>
      </c>
      <c r="CC199" s="59" t="e">
        <f t="shared" si="195"/>
        <v>#NUM!</v>
      </c>
      <c r="CD199" s="59">
        <f ca="1">AVERAGE(OFFSET($CC$3,0,0,'Données projet'!$E$12+1,1))-AVERAGE(OFFSET($H$3,0,0,'Données projet'!$E$12+1,1))</f>
        <v>439.15394290667945</v>
      </c>
      <c r="CE199" s="59">
        <f t="shared" si="207"/>
        <v>423.56554025351068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5.0711511076043836</v>
      </c>
      <c r="CL199" s="21">
        <f>EXP(-LN(2)/25)*CL198+(1-EXP(-LN(2)/25))/(LN(2)/25)*Calculateur!CG199*Calculateur!CI199*VLOOKUP('Données projet'!$B$12,Paramètres!$A$1:$I$89,3,0)*0.475*44/12</f>
        <v>1.997521300742146</v>
      </c>
      <c r="CM199" s="21">
        <f>EXP(-LN(2)/2)*CM198+(1-EXP(-LN(2)/2))/(LN(2)/2)*CG199*CJ199*VLOOKUP('Données projet'!$B$12,Paramètres!$A$1:$I$89,3,0)*0.475*44/12</f>
        <v>2.5903167094041453E-16</v>
      </c>
      <c r="CN199" s="22">
        <f t="shared" si="172"/>
        <v>7.0686724083465293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>
        <f>CT199*VLOOKUP('Données projet'!$B$13,Paramètres!$A$1:$I$89,3,0)*VLOOKUP('Données projet'!$B$13,Paramètres!$A$1:$I$89,5,0)</f>
        <v>0</v>
      </c>
      <c r="CV199" s="13" t="e">
        <f t="shared" si="173"/>
        <v>#NUM!</v>
      </c>
      <c r="CW199" s="20" t="e">
        <f t="shared" si="174"/>
        <v>#NUM!</v>
      </c>
      <c r="CX199" s="59" t="e">
        <f t="shared" si="196"/>
        <v>#NUM!</v>
      </c>
      <c r="CY199" s="59">
        <f ca="1">AVERAGE(OFFSET($CX$3,0,0,'Données projet'!$E$13+1,1))-AVERAGE(OFFSET($H$3,0,0,'Données projet'!$E$13+1,1))</f>
        <v>408.246209980743</v>
      </c>
      <c r="CZ199" s="59">
        <f t="shared" si="208"/>
        <v>394.10236303013903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>
        <f>EXP(-LN(2)/35)*DF198+(1-EXP(-LN(2)/35))/(LN(2)/35)*DB199*DC199*VLOOKUP('Données projet'!$B$13,Paramètres!$A$1:$I$89,3,0)*0.475*44/12</f>
        <v>5.7381534454326486</v>
      </c>
      <c r="DG199" s="21">
        <f>EXP(-LN(2)/25)*DG198+(1-EXP(-LN(2)/25))/(LN(2)/25)*Calculateur!DB199*Calculateur!DD199*VLOOKUP('Données projet'!$B$13,Paramètres!$A$1:$I$89,3,0)*0.475*44/12</f>
        <v>2.2602528481138746</v>
      </c>
      <c r="DH199" s="21">
        <f>EXP(-LN(2)/2)*DH198+(1-EXP(-LN(2)/2))/(LN(2)/2)*DB199*DE199*VLOOKUP('Données projet'!$B$13,Paramètres!$A$1:$I$89,3,0)*0.475*44/12</f>
        <v>2.3779956676497078E-16</v>
      </c>
      <c r="DI199" s="22">
        <f t="shared" si="175"/>
        <v>7.9984062935465232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>
        <f>DO199*VLOOKUP('Données projet'!$B$14,Paramètres!$A$1:$I$89,3,0)*VLOOKUP('Données projet'!$B$14,Paramètres!$A$1:$I$89,5,0)</f>
        <v>0</v>
      </c>
      <c r="DQ199" s="13" t="e">
        <f t="shared" si="176"/>
        <v>#NUM!</v>
      </c>
      <c r="DR199" s="20" t="e">
        <f t="shared" si="177"/>
        <v>#NUM!</v>
      </c>
      <c r="DS199" s="59" t="e">
        <f t="shared" si="197"/>
        <v>#NUM!</v>
      </c>
      <c r="DT199" s="59">
        <f ca="1">AVERAGE(OFFSET($DS$3,0,0,'Données projet'!$E$14+1,1))-AVERAGE(OFFSET($H$3,0,0,'Données projet'!$E$14+1,1))</f>
        <v>371.07993287480366</v>
      </c>
      <c r="DU199" s="59">
        <f t="shared" si="209"/>
        <v>358.67120540290637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>
        <f>EXP(-LN(2)/35)*EA198+(1-EXP(-LN(2)/35))/(LN(2)/35)*DW199*DX199*VLOOKUP('Données projet'!$B$14,Paramètres!$A$1:$I$89,3,0)*0.475*44/12</f>
        <v>4.1566812357412948</v>
      </c>
      <c r="EB199" s="21">
        <f>EXP(-LN(2)/25)*EB198+(1-EXP(-LN(2)/25))/(LN(2)/25)*Calculateur!DW199*Calculateur!DY199*VLOOKUP('Données projet'!$B$14,Paramètres!$A$1:$I$89,3,0)*0.475*44/12</f>
        <v>1.6373125415919232</v>
      </c>
      <c r="EC199" s="21">
        <f>EXP(-LN(2)/2)*EC198+(1-EXP(-LN(2)/2))/(LN(2)/2)*DW199*DZ199*VLOOKUP('Données projet'!$B$14,Paramètres!$A$1:$I$89,3,0)*0.475*44/12</f>
        <v>2.1232104175443859E-16</v>
      </c>
      <c r="ED199" s="22">
        <f t="shared" si="178"/>
        <v>5.7939937773332177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45">
      <c r="A200" s="10">
        <f t="shared" si="161"/>
        <v>197</v>
      </c>
      <c r="B200" s="73">
        <f>'Scénario référence'!$B$16*5+'Scénario référence'!$B$17*0+'Scénario référence'!$B$18*5</f>
        <v>5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1">
        <f t="shared" si="202"/>
        <v>0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18.333333333333332</v>
      </c>
      <c r="H200" s="67">
        <f t="shared" si="192"/>
        <v>183.33333333333334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7.9580786405131221E-13</v>
      </c>
      <c r="O200" s="13">
        <f>N200*VLOOKUP('Données projet'!$B$9,Paramètres!$A$1:$I$89,3,0)*VLOOKUP('Données projet'!$B$9,Paramètres!$A$1:$I$89,5,0)</f>
        <v>7.2004695539362725E-13</v>
      </c>
      <c r="P200" s="13">
        <f t="shared" si="203"/>
        <v>8.5963894794935589E-12</v>
      </c>
      <c r="Q200" s="20">
        <f t="shared" si="162"/>
        <v>1.6226126790761848E-11</v>
      </c>
      <c r="R200" s="59">
        <f t="shared" si="191"/>
        <v>290.41603252230499</v>
      </c>
      <c r="S200" s="59">
        <f ca="1">AVERAGE(OFFSET($R$3,0,0,'Données projet'!$E$9+1,1))-AVERAGE(OFFSET($H$3,0,0,'Données projet'!$E$9+1,1))</f>
        <v>681.47578137804555</v>
      </c>
      <c r="T200" s="59">
        <f t="shared" si="204"/>
        <v>300.88511065995885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116.80944569699264</v>
      </c>
      <c r="AA200" s="21">
        <f>EXP(-LN(2)/25)*AA199+(1-EXP(-LN(2)/25))/(LN(2)/25)*Calculateur!V200*Calculateur!X200*VLOOKUP('Données projet'!$B$9,Paramètres!$A$1:$I$89,3,0)*0.475*44/12</f>
        <v>17.460112988323708</v>
      </c>
      <c r="AB200" s="21">
        <f>EXP(-LN(2)/2)*AB199+(1-EXP(-LN(2)/2))/(LN(2)/2)*V200*Y200*VLOOKUP('Données projet'!$B$9,Paramètres!$A$1:$I$89,3,0)*0.475*44/12</f>
        <v>8.3005170752405377E-2</v>
      </c>
      <c r="AC200" s="22">
        <f t="shared" si="163"/>
        <v>134.35256385606877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3.4106051316484809E-13</v>
      </c>
      <c r="AJ200" s="13">
        <f>AI200*VLOOKUP('Données projet'!$B$10,Paramètres!$A$1:$I$89,3,0)*VLOOKUP('Données projet'!$B$10,Paramètres!$A$1:$I$89,5,0)</f>
        <v>1.5961632016114892E-13</v>
      </c>
      <c r="AK200" s="13">
        <f t="shared" si="164"/>
        <v>2.2708641912150958E-12</v>
      </c>
      <c r="AL200" s="20">
        <f t="shared" si="165"/>
        <v>4.2330868906469593E-12</v>
      </c>
      <c r="AM200" s="59">
        <f t="shared" si="193"/>
        <v>290.41603252229299</v>
      </c>
      <c r="AN200" s="59">
        <f ca="1">AVERAGE(OFFSET($AM$3,0,0,'Données projet'!$E$10+1,1))-AVERAGE(OFFSET($H$3,0,0,'Données projet'!$E$10+1,1))</f>
        <v>325.45940224919184</v>
      </c>
      <c r="AO200" s="59">
        <f t="shared" si="205"/>
        <v>256.30046621034876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22.968190302290399</v>
      </c>
      <c r="AV200" s="21">
        <f>EXP(-LN(2)/25)*AV199+(1-EXP(-LN(2)/25))/(LN(2)/25)*Calculateur!AQ200*Calculateur!AS200*VLOOKUP('Données projet'!$B$10,Paramètres!$A$1:$I$89,3,0)*0.475*44/12</f>
        <v>3.6510395880916979</v>
      </c>
      <c r="AW200" s="21">
        <f>EXP(-LN(2)/2)*AW199+(1-EXP(-LN(2)/2))/(LN(2)/2)*AQ200*AT200*VLOOKUP('Données projet'!$B$10,Paramètres!$A$1:$I$89,3,0)*0.475*44/12</f>
        <v>1.7898798329743387E-12</v>
      </c>
      <c r="AX200" s="21">
        <f t="shared" si="166"/>
        <v>26.619229890383888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-2.8421709430404007E-13</v>
      </c>
      <c r="BE200" s="13">
        <f>BD200*VLOOKUP('Données projet'!$B$11,Paramètres!$A$1:$I$89,3,0)*VLOOKUP('Données projet'!$B$11,Paramètres!$A$1:$I$89,5,0)</f>
        <v>-2.8819613362429665E-13</v>
      </c>
      <c r="BF200" s="13" t="e">
        <f t="shared" si="167"/>
        <v>#NUM!</v>
      </c>
      <c r="BG200" s="20" t="e">
        <f t="shared" si="168"/>
        <v>#NUM!</v>
      </c>
      <c r="BH200" s="59" t="e">
        <f t="shared" si="194"/>
        <v>#NUM!</v>
      </c>
      <c r="BI200" s="59">
        <f ca="1">AVERAGE(OFFSET($BH$3,0,0,'Données projet'!$E$11+1,1))-AVERAGE(OFFSET($H$3,0,0,'Données projet'!$E$11+1,1))</f>
        <v>580.02848304986492</v>
      </c>
      <c r="BJ200" s="59">
        <f t="shared" si="206"/>
        <v>281.68891895586728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119.92368874315393</v>
      </c>
      <c r="BQ200" s="21">
        <f>EXP(-LN(2)/25)*BQ199+(1-EXP(-LN(2)/25))/(LN(2)/25)*Calculateur!BL200*Calculateur!BN200*VLOOKUP('Données projet'!$B$11,Paramètres!$A$1:$I$89,3,0)*0.475*44/12</f>
        <v>36.050323427463319</v>
      </c>
      <c r="BR200" s="21">
        <f>EXP(-LN(2)/2)*BR199+(1-EXP(-LN(2)/2))/(LN(2)/2)*BL200*BO200*VLOOKUP('Données projet'!$B$11,Paramètres!$A$1:$I$89,3,0)*0.475*44/12</f>
        <v>0.8671021223418075</v>
      </c>
      <c r="BS200" s="22">
        <f t="shared" si="169"/>
        <v>156.84111429295905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>
        <f>BY200*VLOOKUP('Données projet'!$B$12,Paramètres!$A$1:$I$89,3,0)*VLOOKUP('Données projet'!$B$12,Paramètres!$A$1:$I$89,5,0)</f>
        <v>0</v>
      </c>
      <c r="CA200" s="13" t="e">
        <f t="shared" si="170"/>
        <v>#NUM!</v>
      </c>
      <c r="CB200" s="20" t="e">
        <f t="shared" si="171"/>
        <v>#NUM!</v>
      </c>
      <c r="CC200" s="59" t="e">
        <f t="shared" si="195"/>
        <v>#NUM!</v>
      </c>
      <c r="CD200" s="59">
        <f ca="1">AVERAGE(OFFSET($CC$3,0,0,'Données projet'!$E$12+1,1))-AVERAGE(OFFSET($H$3,0,0,'Données projet'!$E$12+1,1))</f>
        <v>439.15394290667945</v>
      </c>
      <c r="CE200" s="59">
        <f t="shared" si="207"/>
        <v>423.56554025351068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4.9717089274810196</v>
      </c>
      <c r="CL200" s="21">
        <f>EXP(-LN(2)/25)*CL199+(1-EXP(-LN(2)/25))/(LN(2)/25)*Calculateur!CG200*Calculateur!CI200*VLOOKUP('Données projet'!$B$12,Paramètres!$A$1:$I$89,3,0)*0.475*44/12</f>
        <v>1.9428989757282722</v>
      </c>
      <c r="CM200" s="21">
        <f>EXP(-LN(2)/2)*CM199+(1-EXP(-LN(2)/2))/(LN(2)/2)*CG200*CJ200*VLOOKUP('Données projet'!$B$12,Paramètres!$A$1:$I$89,3,0)*0.475*44/12</f>
        <v>1.8316305106404948E-16</v>
      </c>
      <c r="CN200" s="22">
        <f t="shared" si="172"/>
        <v>6.9146079032092915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>
        <f>CT200*VLOOKUP('Données projet'!$B$13,Paramètres!$A$1:$I$89,3,0)*VLOOKUP('Données projet'!$B$13,Paramètres!$A$1:$I$89,5,0)</f>
        <v>0</v>
      </c>
      <c r="CV200" s="13" t="e">
        <f t="shared" si="173"/>
        <v>#NUM!</v>
      </c>
      <c r="CW200" s="20" t="e">
        <f t="shared" si="174"/>
        <v>#NUM!</v>
      </c>
      <c r="CX200" s="59" t="e">
        <f t="shared" si="196"/>
        <v>#NUM!</v>
      </c>
      <c r="CY200" s="59">
        <f ca="1">AVERAGE(OFFSET($CX$3,0,0,'Données projet'!$E$13+1,1))-AVERAGE(OFFSET($H$3,0,0,'Données projet'!$E$13+1,1))</f>
        <v>408.246209980743</v>
      </c>
      <c r="CZ200" s="59">
        <f t="shared" si="208"/>
        <v>394.10236303013903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>
        <f>EXP(-LN(2)/35)*DF199+(1-EXP(-LN(2)/35))/(LN(2)/35)*DB200*DC200*VLOOKUP('Données projet'!$B$13,Paramètres!$A$1:$I$89,3,0)*0.475*44/12</f>
        <v>5.6256317562957268</v>
      </c>
      <c r="DG200" s="21">
        <f>EXP(-LN(2)/25)*DG199+(1-EXP(-LN(2)/25))/(LN(2)/25)*Calculateur!DB200*Calculateur!DD200*VLOOKUP('Données projet'!$B$13,Paramètres!$A$1:$I$89,3,0)*0.475*44/12</f>
        <v>2.1984461151206691</v>
      </c>
      <c r="DH200" s="21">
        <f>EXP(-LN(2)/2)*DH199+(1-EXP(-LN(2)/2))/(LN(2)/2)*DB200*DE200*VLOOKUP('Données projet'!$B$13,Paramètres!$A$1:$I$89,3,0)*0.475*44/12</f>
        <v>1.68149686222734E-16</v>
      </c>
      <c r="DI200" s="22">
        <f t="shared" si="175"/>
        <v>7.8240778714163959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>
        <f>DO200*VLOOKUP('Données projet'!$B$14,Paramètres!$A$1:$I$89,3,0)*VLOOKUP('Données projet'!$B$14,Paramètres!$A$1:$I$89,5,0)</f>
        <v>0</v>
      </c>
      <c r="DQ200" s="13" t="e">
        <f t="shared" si="176"/>
        <v>#NUM!</v>
      </c>
      <c r="DR200" s="20" t="e">
        <f t="shared" si="177"/>
        <v>#NUM!</v>
      </c>
      <c r="DS200" s="59" t="e">
        <f t="shared" si="197"/>
        <v>#NUM!</v>
      </c>
      <c r="DT200" s="59">
        <f ca="1">AVERAGE(OFFSET($DS$3,0,0,'Données projet'!$E$14+1,1))-AVERAGE(OFFSET($H$3,0,0,'Données projet'!$E$14+1,1))</f>
        <v>371.07993287480366</v>
      </c>
      <c r="DU200" s="59">
        <f t="shared" si="209"/>
        <v>358.67120540290637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>
        <f>EXP(-LN(2)/35)*EA199+(1-EXP(-LN(2)/35))/(LN(2)/35)*DW200*DX200*VLOOKUP('Données projet'!$B$14,Paramètres!$A$1:$I$89,3,0)*0.475*44/12</f>
        <v>4.075171252033619</v>
      </c>
      <c r="EB200" s="21">
        <f>EXP(-LN(2)/25)*EB199+(1-EXP(-LN(2)/25))/(LN(2)/25)*Calculateur!DW200*Calculateur!DY200*VLOOKUP('Données projet'!$B$14,Paramètres!$A$1:$I$89,3,0)*0.475*44/12</f>
        <v>1.5925401440395677</v>
      </c>
      <c r="EC200" s="21">
        <f>EXP(-LN(2)/2)*EC199+(1-EXP(-LN(2)/2))/(LN(2)/2)*DW200*DZ200*VLOOKUP('Données projet'!$B$14,Paramètres!$A$1:$I$89,3,0)*0.475*44/12</f>
        <v>1.5013364841315562E-16</v>
      </c>
      <c r="ED200" s="22">
        <f t="shared" si="178"/>
        <v>5.6677113960731864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45">
      <c r="A201" s="10">
        <f>A200+1</f>
        <v>198</v>
      </c>
      <c r="B201" s="73">
        <f>'Scénario référence'!$B$16*5+'Scénario référence'!$B$17*0+'Scénario référence'!$B$18*5</f>
        <v>5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1">
        <f t="shared" si="202"/>
        <v>0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18.333333333333332</v>
      </c>
      <c r="H201" s="67">
        <f t="shared" si="192"/>
        <v>183.33333333333334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7.9580786405131221E-13</v>
      </c>
      <c r="O201" s="13">
        <f>N201*VLOOKUP('Données projet'!$B$9,Paramètres!$A$1:$I$89,3,0)*VLOOKUP('Données projet'!$B$9,Paramètres!$A$1:$I$89,5,0)</f>
        <v>7.2004695539362725E-13</v>
      </c>
      <c r="P201" s="13">
        <f t="shared" si="203"/>
        <v>8.5963894794935589E-12</v>
      </c>
      <c r="Q201" s="20">
        <f t="shared" si="162"/>
        <v>1.6226126790761848E-11</v>
      </c>
      <c r="R201" s="59">
        <f t="shared" si="191"/>
        <v>290.46664116926911</v>
      </c>
      <c r="S201" s="59">
        <f ca="1">AVERAGE(OFFSET($R$3,0,0,'Données projet'!$E$9+1,1))-AVERAGE(OFFSET($H$3,0,0,'Données projet'!$E$9+1,1))</f>
        <v>681.47578137804555</v>
      </c>
      <c r="T201" s="59">
        <f t="shared" si="204"/>
        <v>300.88511065995885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114.51888371360145</v>
      </c>
      <c r="AA201" s="21">
        <f>EXP(-LN(2)/25)*AA200+(1-EXP(-LN(2)/25))/(LN(2)/25)*Calculateur!V201*Calculateur!X201*VLOOKUP('Données projet'!$B$9,Paramètres!$A$1:$I$89,3,0)*0.475*44/12</f>
        <v>16.98266528047056</v>
      </c>
      <c r="AB201" s="21">
        <f>EXP(-LN(2)/2)*AB200+(1-EXP(-LN(2)/2))/(LN(2)/2)*V201*Y201*VLOOKUP('Données projet'!$B$9,Paramètres!$A$1:$I$89,3,0)*0.475*44/12</f>
        <v>5.8693519112573124E-2</v>
      </c>
      <c r="AC201" s="22">
        <f t="shared" si="163"/>
        <v>131.56024251318459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3.4106051316484809E-13</v>
      </c>
      <c r="AJ201" s="13">
        <f>AI201*VLOOKUP('Données projet'!$B$10,Paramètres!$A$1:$I$89,3,0)*VLOOKUP('Données projet'!$B$10,Paramètres!$A$1:$I$89,5,0)</f>
        <v>1.5961632016114892E-13</v>
      </c>
      <c r="AK201" s="13">
        <f t="shared" si="164"/>
        <v>2.2708641912150958E-12</v>
      </c>
      <c r="AL201" s="20">
        <f t="shared" si="165"/>
        <v>4.2330868906469593E-12</v>
      </c>
      <c r="AM201" s="59">
        <f t="shared" si="193"/>
        <v>290.46664116925712</v>
      </c>
      <c r="AN201" s="59">
        <f ca="1">AVERAGE(OFFSET($AM$3,0,0,'Données projet'!$E$10+1,1))-AVERAGE(OFFSET($H$3,0,0,'Données projet'!$E$10+1,1))</f>
        <v>325.45940224919184</v>
      </c>
      <c r="AO201" s="59">
        <f t="shared" si="205"/>
        <v>256.30046621034876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22.517798099675275</v>
      </c>
      <c r="AV201" s="21">
        <f>EXP(-LN(2)/25)*AV200+(1-EXP(-LN(2)/25))/(LN(2)/25)*Calculateur!AQ201*Calculateur!AS201*VLOOKUP('Données projet'!$B$10,Paramètres!$A$1:$I$89,3,0)*0.475*44/12</f>
        <v>3.5512017185555029</v>
      </c>
      <c r="AW201" s="21">
        <f>EXP(-LN(2)/2)*AW200+(1-EXP(-LN(2)/2))/(LN(2)/2)*AQ201*AT201*VLOOKUP('Données projet'!$B$10,Paramètres!$A$1:$I$89,3,0)*0.475*44/12</f>
        <v>1.2656361674052001E-12</v>
      </c>
      <c r="AX201" s="21">
        <f t="shared" si="166"/>
        <v>26.068999818232044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-2.8421709430404007E-13</v>
      </c>
      <c r="BE201" s="13">
        <f>BD201*VLOOKUP('Données projet'!$B$11,Paramètres!$A$1:$I$89,3,0)*VLOOKUP('Données projet'!$B$11,Paramètres!$A$1:$I$89,5,0)</f>
        <v>-2.8819613362429665E-13</v>
      </c>
      <c r="BF201" s="13" t="e">
        <f t="shared" si="167"/>
        <v>#NUM!</v>
      </c>
      <c r="BG201" s="20" t="e">
        <f t="shared" si="168"/>
        <v>#NUM!</v>
      </c>
      <c r="BH201" s="59" t="e">
        <f t="shared" si="194"/>
        <v>#NUM!</v>
      </c>
      <c r="BI201" s="59">
        <f ca="1">AVERAGE(OFFSET($BH$3,0,0,'Données projet'!$E$11+1,1))-AVERAGE(OFFSET($H$3,0,0,'Données projet'!$E$11+1,1))</f>
        <v>580.02848304986492</v>
      </c>
      <c r="BJ201" s="59">
        <f t="shared" si="206"/>
        <v>281.68891895586728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117.57205835312823</v>
      </c>
      <c r="BQ201" s="21">
        <f>EXP(-LN(2)/25)*BQ200+(1-EXP(-LN(2)/25))/(LN(2)/25)*Calculateur!BL201*Calculateur!BN201*VLOOKUP('Données projet'!$B$11,Paramètres!$A$1:$I$89,3,0)*0.475*44/12</f>
        <v>35.064525437535217</v>
      </c>
      <c r="BR201" s="21">
        <f>EXP(-LN(2)/2)*BR200+(1-EXP(-LN(2)/2))/(LN(2)/2)*BL201*BO201*VLOOKUP('Données projet'!$B$11,Paramètres!$A$1:$I$89,3,0)*0.475*44/12</f>
        <v>0.61313379068913954</v>
      </c>
      <c r="BS201" s="22">
        <f t="shared" si="169"/>
        <v>153.2497175813526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>
        <f>BY201*VLOOKUP('Données projet'!$B$12,Paramètres!$A$1:$I$89,3,0)*VLOOKUP('Données projet'!$B$12,Paramètres!$A$1:$I$89,5,0)</f>
        <v>0</v>
      </c>
      <c r="CA201" s="13" t="e">
        <f t="shared" si="170"/>
        <v>#NUM!</v>
      </c>
      <c r="CB201" s="20" t="e">
        <f t="shared" si="171"/>
        <v>#NUM!</v>
      </c>
      <c r="CC201" s="59" t="e">
        <f t="shared" si="195"/>
        <v>#NUM!</v>
      </c>
      <c r="CD201" s="59">
        <f ca="1">AVERAGE(OFFSET($CC$3,0,0,'Données projet'!$E$12+1,1))-AVERAGE(OFFSET($H$3,0,0,'Données projet'!$E$12+1,1))</f>
        <v>439.15394290667945</v>
      </c>
      <c r="CE201" s="59">
        <f t="shared" si="207"/>
        <v>423.56554025351068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4.874216747856134</v>
      </c>
      <c r="CL201" s="21">
        <f>EXP(-LN(2)/25)*CL200+(1-EXP(-LN(2)/25))/(LN(2)/25)*Calculateur!CG201*Calculateur!CI201*VLOOKUP('Données projet'!$B$12,Paramètres!$A$1:$I$89,3,0)*0.475*44/12</f>
        <v>1.8897703010643661</v>
      </c>
      <c r="CM201" s="21">
        <f>EXP(-LN(2)/2)*CM200+(1-EXP(-LN(2)/2))/(LN(2)/2)*CG201*CJ201*VLOOKUP('Données projet'!$B$12,Paramètres!$A$1:$I$89,3,0)*0.475*44/12</f>
        <v>1.2951583547020727E-16</v>
      </c>
      <c r="CN201" s="22">
        <f t="shared" si="172"/>
        <v>6.7639870489204998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>
        <f>CT201*VLOOKUP('Données projet'!$B$13,Paramètres!$A$1:$I$89,3,0)*VLOOKUP('Données projet'!$B$13,Paramètres!$A$1:$I$89,5,0)</f>
        <v>0</v>
      </c>
      <c r="CV201" s="13" t="e">
        <f t="shared" si="173"/>
        <v>#NUM!</v>
      </c>
      <c r="CW201" s="20" t="e">
        <f t="shared" si="174"/>
        <v>#NUM!</v>
      </c>
      <c r="CX201" s="59" t="e">
        <f t="shared" si="196"/>
        <v>#NUM!</v>
      </c>
      <c r="CY201" s="59">
        <f ca="1">AVERAGE(OFFSET($CX$3,0,0,'Données projet'!$E$13+1,1))-AVERAGE(OFFSET($H$3,0,0,'Données projet'!$E$13+1,1))</f>
        <v>408.246209980743</v>
      </c>
      <c r="CZ201" s="59">
        <f t="shared" si="208"/>
        <v>394.10236303013903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>
        <f>EXP(-LN(2)/35)*DF200+(1-EXP(-LN(2)/35))/(LN(2)/35)*DB201*DC201*VLOOKUP('Données projet'!$B$13,Paramètres!$A$1:$I$89,3,0)*0.475*44/12</f>
        <v>5.5153165488513265</v>
      </c>
      <c r="DG201" s="21">
        <f>EXP(-LN(2)/25)*DG200+(1-EXP(-LN(2)/25))/(LN(2)/25)*Calculateur!DB201*Calculateur!DD201*VLOOKUP('Données projet'!$B$13,Paramètres!$A$1:$I$89,3,0)*0.475*44/12</f>
        <v>2.1383294904914378</v>
      </c>
      <c r="DH201" s="21">
        <f>EXP(-LN(2)/2)*DH200+(1-EXP(-LN(2)/2))/(LN(2)/2)*DB201*DE201*VLOOKUP('Données projet'!$B$13,Paramètres!$A$1:$I$89,3,0)*0.475*44/12</f>
        <v>1.1889978338248539E-16</v>
      </c>
      <c r="DI201" s="22">
        <f t="shared" si="175"/>
        <v>7.6536460393427639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>
        <f>DO201*VLOOKUP('Données projet'!$B$14,Paramètres!$A$1:$I$89,3,0)*VLOOKUP('Données projet'!$B$14,Paramètres!$A$1:$I$89,5,0)</f>
        <v>0</v>
      </c>
      <c r="DQ201" s="13" t="e">
        <f t="shared" si="176"/>
        <v>#NUM!</v>
      </c>
      <c r="DR201" s="20" t="e">
        <f t="shared" si="177"/>
        <v>#NUM!</v>
      </c>
      <c r="DS201" s="59" t="e">
        <f t="shared" si="197"/>
        <v>#NUM!</v>
      </c>
      <c r="DT201" s="59">
        <f ca="1">AVERAGE(OFFSET($DS$3,0,0,'Données projet'!$E$14+1,1))-AVERAGE(OFFSET($H$3,0,0,'Données projet'!$E$14+1,1))</f>
        <v>371.07993287480366</v>
      </c>
      <c r="DU201" s="59">
        <f t="shared" si="209"/>
        <v>358.67120540290637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>
        <f>EXP(-LN(2)/35)*EA200+(1-EXP(-LN(2)/35))/(LN(2)/35)*DW201*DX201*VLOOKUP('Données projet'!$B$14,Paramètres!$A$1:$I$89,3,0)*0.475*44/12</f>
        <v>3.99525962939027</v>
      </c>
      <c r="EB201" s="21">
        <f>EXP(-LN(2)/25)*EB200+(1-EXP(-LN(2)/25))/(LN(2)/25)*Calculateur!DW201*Calculateur!DY201*VLOOKUP('Données projet'!$B$14,Paramètres!$A$1:$I$89,3,0)*0.475*44/12</f>
        <v>1.5489920500527594</v>
      </c>
      <c r="EC201" s="21">
        <f>EXP(-LN(2)/2)*EC200+(1-EXP(-LN(2)/2))/(LN(2)/2)*DW201*DZ201*VLOOKUP('Données projet'!$B$14,Paramètres!$A$1:$I$89,3,0)*0.475*44/12</f>
        <v>1.0616052087721929E-16</v>
      </c>
      <c r="ED201" s="22">
        <f t="shared" si="178"/>
        <v>5.544251679443029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45">
      <c r="A202" s="10">
        <f t="shared" si="161"/>
        <v>199</v>
      </c>
      <c r="B202" s="73">
        <f>'Scénario référence'!$B$16*5+'Scénario référence'!$B$17*0+'Scénario référence'!$B$18*5</f>
        <v>5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1">
        <f t="shared" si="202"/>
        <v>0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18.333333333333332</v>
      </c>
      <c r="H202" s="67">
        <f t="shared" si="192"/>
        <v>183.33333333333334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7.9580786405131221E-13</v>
      </c>
      <c r="O202" s="13">
        <f>N202*VLOOKUP('Données projet'!$B$9,Paramètres!$A$1:$I$89,3,0)*VLOOKUP('Données projet'!$B$9,Paramètres!$A$1:$I$89,5,0)</f>
        <v>7.2004695539362725E-13</v>
      </c>
      <c r="P202" s="13">
        <f t="shared" si="203"/>
        <v>8.5963894794935589E-12</v>
      </c>
      <c r="Q202" s="20">
        <f t="shared" si="162"/>
        <v>1.6226126790761848E-11</v>
      </c>
      <c r="R202" s="59">
        <f t="shared" si="191"/>
        <v>290.51637186935233</v>
      </c>
      <c r="S202" s="59">
        <f ca="1">AVERAGE(OFFSET($R$3,0,0,'Données projet'!$E$9+1,1))-AVERAGE(OFFSET($H$3,0,0,'Données projet'!$E$9+1,1))</f>
        <v>681.47578137804555</v>
      </c>
      <c r="T202" s="59">
        <f t="shared" si="204"/>
        <v>300.88511065995885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112.27323825359971</v>
      </c>
      <c r="AA202" s="21">
        <f>EXP(-LN(2)/25)*AA201+(1-EXP(-LN(2)/25))/(LN(2)/25)*Calculateur!V202*Calculateur!X202*VLOOKUP('Données projet'!$B$9,Paramètres!$A$1:$I$89,3,0)*0.475*44/12</f>
        <v>16.51827340529654</v>
      </c>
      <c r="AB202" s="21">
        <f>EXP(-LN(2)/2)*AB201+(1-EXP(-LN(2)/2))/(LN(2)/2)*V202*Y202*VLOOKUP('Données projet'!$B$9,Paramètres!$A$1:$I$89,3,0)*0.475*44/12</f>
        <v>4.1502585376202689E-2</v>
      </c>
      <c r="AC202" s="22">
        <f t="shared" si="163"/>
        <v>128.83301424427245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3.4106051316484809E-13</v>
      </c>
      <c r="AJ202" s="13">
        <f>AI202*VLOOKUP('Données projet'!$B$10,Paramètres!$A$1:$I$89,3,0)*VLOOKUP('Données projet'!$B$10,Paramètres!$A$1:$I$89,5,0)</f>
        <v>1.5961632016114892E-13</v>
      </c>
      <c r="AK202" s="13">
        <f t="shared" si="164"/>
        <v>2.2708641912150958E-12</v>
      </c>
      <c r="AL202" s="20">
        <f t="shared" si="165"/>
        <v>4.2330868906469593E-12</v>
      </c>
      <c r="AM202" s="59">
        <f t="shared" si="193"/>
        <v>290.51637186934033</v>
      </c>
      <c r="AN202" s="59">
        <f ca="1">AVERAGE(OFFSET($AM$3,0,0,'Données projet'!$E$10+1,1))-AVERAGE(OFFSET($H$3,0,0,'Données projet'!$E$10+1,1))</f>
        <v>325.45940224919184</v>
      </c>
      <c r="AO202" s="59">
        <f t="shared" si="205"/>
        <v>256.30046621034876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22.076237813441313</v>
      </c>
      <c r="AV202" s="21">
        <f>EXP(-LN(2)/25)*AV201+(1-EXP(-LN(2)/25))/(LN(2)/25)*Calculateur!AQ202*Calculateur!AS202*VLOOKUP('Données projet'!$B$10,Paramètres!$A$1:$I$89,3,0)*0.475*44/12</f>
        <v>3.4540939208120207</v>
      </c>
      <c r="AW202" s="21">
        <f>EXP(-LN(2)/2)*AW201+(1-EXP(-LN(2)/2))/(LN(2)/2)*AQ202*AT202*VLOOKUP('Données projet'!$B$10,Paramètres!$A$1:$I$89,3,0)*0.475*44/12</f>
        <v>8.9493991648716946E-13</v>
      </c>
      <c r="AX202" s="21">
        <f t="shared" si="166"/>
        <v>25.530331734254229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-2.8421709430404007E-13</v>
      </c>
      <c r="BE202" s="13">
        <f>BD202*VLOOKUP('Données projet'!$B$11,Paramètres!$A$1:$I$89,3,0)*VLOOKUP('Données projet'!$B$11,Paramètres!$A$1:$I$89,5,0)</f>
        <v>-2.8819613362429665E-13</v>
      </c>
      <c r="BF202" s="13" t="e">
        <f t="shared" si="167"/>
        <v>#NUM!</v>
      </c>
      <c r="BG202" s="20" t="e">
        <f t="shared" si="168"/>
        <v>#NUM!</v>
      </c>
      <c r="BH202" s="59" t="e">
        <f t="shared" si="194"/>
        <v>#NUM!</v>
      </c>
      <c r="BI202" s="59">
        <f ca="1">AVERAGE(OFFSET($BH$3,0,0,'Données projet'!$E$11+1,1))-AVERAGE(OFFSET($H$3,0,0,'Données projet'!$E$11+1,1))</f>
        <v>580.02848304986492</v>
      </c>
      <c r="BJ202" s="59">
        <f t="shared" si="206"/>
        <v>281.68891895586728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115.26654200069802</v>
      </c>
      <c r="BQ202" s="21">
        <f>EXP(-LN(2)/25)*BQ201+(1-EXP(-LN(2)/25))/(LN(2)/25)*Calculateur!BL202*Calculateur!BN202*VLOOKUP('Données projet'!$B$11,Paramètres!$A$1:$I$89,3,0)*0.475*44/12</f>
        <v>34.105684145482563</v>
      </c>
      <c r="BR202" s="21">
        <f>EXP(-LN(2)/2)*BR201+(1-EXP(-LN(2)/2))/(LN(2)/2)*BL202*BO202*VLOOKUP('Données projet'!$B$11,Paramètres!$A$1:$I$89,3,0)*0.475*44/12</f>
        <v>0.43355106117090386</v>
      </c>
      <c r="BS202" s="22">
        <f t="shared" si="169"/>
        <v>149.8057772073515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>
        <f>BY202*VLOOKUP('Données projet'!$B$12,Paramètres!$A$1:$I$89,3,0)*VLOOKUP('Données projet'!$B$12,Paramètres!$A$1:$I$89,5,0)</f>
        <v>0</v>
      </c>
      <c r="CA202" s="13" t="e">
        <f t="shared" si="170"/>
        <v>#NUM!</v>
      </c>
      <c r="CB202" s="20" t="e">
        <f t="shared" si="171"/>
        <v>#NUM!</v>
      </c>
      <c r="CC202" s="59" t="e">
        <f t="shared" si="195"/>
        <v>#NUM!</v>
      </c>
      <c r="CD202" s="59">
        <f ca="1">AVERAGE(OFFSET($CC$3,0,0,'Données projet'!$E$12+1,1))-AVERAGE(OFFSET($H$3,0,0,'Données projet'!$E$12+1,1))</f>
        <v>439.15394290667945</v>
      </c>
      <c r="CE202" s="59">
        <f t="shared" si="207"/>
        <v>423.56554025351068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4.7786363304093342</v>
      </c>
      <c r="CL202" s="21">
        <f>EXP(-LN(2)/25)*CL201+(1-EXP(-LN(2)/25))/(LN(2)/25)*Calculateur!CG202*Calculateur!CI202*VLOOKUP('Données projet'!$B$12,Paramètres!$A$1:$I$89,3,0)*0.475*44/12</f>
        <v>1.83809443280306</v>
      </c>
      <c r="CM202" s="21">
        <f>EXP(-LN(2)/2)*CM201+(1-EXP(-LN(2)/2))/(LN(2)/2)*CG202*CJ202*VLOOKUP('Données projet'!$B$12,Paramètres!$A$1:$I$89,3,0)*0.475*44/12</f>
        <v>9.158152553202474E-17</v>
      </c>
      <c r="CN202" s="22">
        <f t="shared" si="172"/>
        <v>6.6167307632123942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>
        <f>CT202*VLOOKUP('Données projet'!$B$13,Paramètres!$A$1:$I$89,3,0)*VLOOKUP('Données projet'!$B$13,Paramètres!$A$1:$I$89,5,0)</f>
        <v>0</v>
      </c>
      <c r="CV202" s="13" t="e">
        <f t="shared" si="173"/>
        <v>#NUM!</v>
      </c>
      <c r="CW202" s="20" t="e">
        <f t="shared" si="174"/>
        <v>#NUM!</v>
      </c>
      <c r="CX202" s="59" t="e">
        <f t="shared" si="196"/>
        <v>#NUM!</v>
      </c>
      <c r="CY202" s="59">
        <f ca="1">AVERAGE(OFFSET($CX$3,0,0,'Données projet'!$E$13+1,1))-AVERAGE(OFFSET($H$3,0,0,'Données projet'!$E$13+1,1))</f>
        <v>408.246209980743</v>
      </c>
      <c r="CZ202" s="59">
        <f t="shared" si="208"/>
        <v>394.10236303013903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>
        <f>EXP(-LN(2)/35)*DF201+(1-EXP(-LN(2)/35))/(LN(2)/35)*DB202*DC202*VLOOKUP('Données projet'!$B$13,Paramètres!$A$1:$I$89,3,0)*0.475*44/12</f>
        <v>5.4071645553392784</v>
      </c>
      <c r="DG202" s="21">
        <f>EXP(-LN(2)/25)*DG201+(1-EXP(-LN(2)/25))/(LN(2)/25)*Calculateur!DB202*Calculateur!DD202*VLOOKUP('Données projet'!$B$13,Paramètres!$A$1:$I$89,3,0)*0.475*44/12</f>
        <v>2.0798567581240888</v>
      </c>
      <c r="DH202" s="21">
        <f>EXP(-LN(2)/2)*DH201+(1-EXP(-LN(2)/2))/(LN(2)/2)*DB202*DE202*VLOOKUP('Données projet'!$B$13,Paramètres!$A$1:$I$89,3,0)*0.475*44/12</f>
        <v>8.4074843111366999E-17</v>
      </c>
      <c r="DI202" s="22">
        <f t="shared" si="175"/>
        <v>7.4870213134633676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>
        <f>DO202*VLOOKUP('Données projet'!$B$14,Paramètres!$A$1:$I$89,3,0)*VLOOKUP('Données projet'!$B$14,Paramètres!$A$1:$I$89,5,0)</f>
        <v>0</v>
      </c>
      <c r="DQ202" s="13" t="e">
        <f t="shared" si="176"/>
        <v>#NUM!</v>
      </c>
      <c r="DR202" s="20" t="e">
        <f t="shared" si="177"/>
        <v>#NUM!</v>
      </c>
      <c r="DS202" s="59" t="e">
        <f t="shared" si="197"/>
        <v>#NUM!</v>
      </c>
      <c r="DT202" s="59">
        <f ca="1">AVERAGE(OFFSET($DS$3,0,0,'Données projet'!$E$14+1,1))-AVERAGE(OFFSET($H$3,0,0,'Données projet'!$E$14+1,1))</f>
        <v>371.07993287480366</v>
      </c>
      <c r="DU202" s="59">
        <f t="shared" si="209"/>
        <v>358.67120540290637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>
        <f>EXP(-LN(2)/35)*EA201+(1-EXP(-LN(2)/35))/(LN(2)/35)*DW202*DX202*VLOOKUP('Données projet'!$B$14,Paramètres!$A$1:$I$89,3,0)*0.475*44/12</f>
        <v>3.9169150249256801</v>
      </c>
      <c r="EB202" s="21">
        <f>EXP(-LN(2)/25)*EB201+(1-EXP(-LN(2)/25))/(LN(2)/25)*Calculateur!DW202*Calculateur!DY202*VLOOKUP('Données projet'!$B$14,Paramètres!$A$1:$I$89,3,0)*0.475*44/12</f>
        <v>1.5066347809861151</v>
      </c>
      <c r="EC202" s="21">
        <f>EXP(-LN(2)/2)*EC201+(1-EXP(-LN(2)/2))/(LN(2)/2)*DW202*DZ202*VLOOKUP('Données projet'!$B$14,Paramètres!$A$1:$I$89,3,0)*0.475*44/12</f>
        <v>7.5066824206577812E-17</v>
      </c>
      <c r="ED202" s="22">
        <f t="shared" si="178"/>
        <v>5.4235498059117955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4.65" thickBot="1" x14ac:dyDescent="0.5">
      <c r="A203" s="10">
        <f>A202+1</f>
        <v>200</v>
      </c>
      <c r="B203" s="73">
        <f>'Scénario référence'!$B$16*5+'Scénario référence'!$B$17*0+'Scénario référence'!$B$18*5</f>
        <v>5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1">
        <f t="shared" si="202"/>
        <v>0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18.333333333333332</v>
      </c>
      <c r="H203" s="67">
        <f t="shared" si="192"/>
        <v>183.33333333333334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7.9580786405131221E-13</v>
      </c>
      <c r="O203" s="13">
        <f>N203*VLOOKUP('Données projet'!$B$9,Paramètres!$A$1:$I$89,3,0)*VLOOKUP('Données projet'!$B$9,Paramètres!$A$1:$I$89,5,0)</f>
        <v>7.2004695539362725E-13</v>
      </c>
      <c r="P203" s="13">
        <f t="shared" si="203"/>
        <v>8.5963894794935589E-12</v>
      </c>
      <c r="Q203" s="20">
        <f t="shared" si="162"/>
        <v>1.6226126790761848E-11</v>
      </c>
      <c r="R203" s="59">
        <f t="shared" si="191"/>
        <v>290.56523985297031</v>
      </c>
      <c r="S203" s="59">
        <f ca="1">AVERAGE(OFFSET($R$3,0,0,'Données projet'!$E$9+1,1))-AVERAGE(OFFSET($H$3,0,0,'Données projet'!$E$9+1,1))</f>
        <v>681.47578137804555</v>
      </c>
      <c r="T203" s="59">
        <f t="shared" si="204"/>
        <v>300.88511065995885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110.07162853136013</v>
      </c>
      <c r="AA203" s="21">
        <f>EXP(-LN(2)/25)*AA202+(1-EXP(-LN(2)/25))/(LN(2)/25)*Calculateur!V203*Calculateur!X203*VLOOKUP('Données projet'!$B$9,Paramètres!$A$1:$I$89,3,0)*0.475*44/12</f>
        <v>16.066580350370462</v>
      </c>
      <c r="AB203" s="21">
        <f>EXP(-LN(2)/2)*AB202+(1-EXP(-LN(2)/2))/(LN(2)/2)*V203*Y203*VLOOKUP('Données projet'!$B$9,Paramètres!$A$1:$I$89,3,0)*0.475*44/12</f>
        <v>2.9346759556286562E-2</v>
      </c>
      <c r="AC203" s="22">
        <f t="shared" si="163"/>
        <v>126.16755564128688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3.4106051316484809E-13</v>
      </c>
      <c r="AJ203" s="13">
        <f>AI203*VLOOKUP('Données projet'!$B$10,Paramètres!$A$1:$I$89,3,0)*VLOOKUP('Données projet'!$B$10,Paramètres!$A$1:$I$89,5,0)</f>
        <v>1.5961632016114892E-13</v>
      </c>
      <c r="AK203" s="13">
        <f t="shared" si="164"/>
        <v>2.2708641912150958E-12</v>
      </c>
      <c r="AL203" s="20">
        <f t="shared" si="165"/>
        <v>4.2330868906469593E-12</v>
      </c>
      <c r="AM203" s="59">
        <f t="shared" si="193"/>
        <v>290.56523985295831</v>
      </c>
      <c r="AN203" s="59">
        <f ca="1">AVERAGE(OFFSET($AM$3,0,0,'Données projet'!$E$10+1,1))-AVERAGE(OFFSET($H$3,0,0,'Données projet'!$E$10+1,1))</f>
        <v>325.45940224919184</v>
      </c>
      <c r="AO203" s="59">
        <f t="shared" si="205"/>
        <v>256.30046621034876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21.643336255095221</v>
      </c>
      <c r="AV203" s="21">
        <f>EXP(-LN(2)/25)*AV202+(1-EXP(-LN(2)/25))/(LN(2)/25)*Calculateur!AQ203*Calculateur!AS203*VLOOKUP('Données projet'!$B$10,Paramètres!$A$1:$I$89,3,0)*0.475*44/12</f>
        <v>3.3596415409045113</v>
      </c>
      <c r="AW203" s="21">
        <f>EXP(-LN(2)/2)*AW202+(1-EXP(-LN(2)/2))/(LN(2)/2)*AQ203*AT203*VLOOKUP('Données projet'!$B$10,Paramètres!$A$1:$I$89,3,0)*0.475*44/12</f>
        <v>6.3281808370260014E-13</v>
      </c>
      <c r="AX203" s="21">
        <f t="shared" si="166"/>
        <v>25.002977796000366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-2.8421709430404007E-13</v>
      </c>
      <c r="BE203" s="13">
        <f>BD203*VLOOKUP('Données projet'!$B$11,Paramètres!$A$1:$I$89,3,0)*VLOOKUP('Données projet'!$B$11,Paramètres!$A$1:$I$89,5,0)</f>
        <v>-2.8819613362429665E-13</v>
      </c>
      <c r="BF203" s="13" t="e">
        <f t="shared" si="167"/>
        <v>#NUM!</v>
      </c>
      <c r="BG203" s="20" t="e">
        <f t="shared" si="168"/>
        <v>#NUM!</v>
      </c>
      <c r="BH203" s="59" t="e">
        <f t="shared" si="194"/>
        <v>#NUM!</v>
      </c>
      <c r="BI203" s="59">
        <f ca="1">AVERAGE(OFFSET($BH$3,0,0,'Données projet'!$E$11+1,1))-AVERAGE(OFFSET($H$3,0,0,'Données projet'!$E$11+1,1))</f>
        <v>580.02848304986492</v>
      </c>
      <c r="BJ203" s="59">
        <f t="shared" si="206"/>
        <v>281.68891895586728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113.00623541771284</v>
      </c>
      <c r="BQ203" s="21">
        <f>EXP(-LN(2)/25)*BQ202+(1-EXP(-LN(2)/25))/(LN(2)/25)*Calculateur!BL203*Calculateur!BN203*VLOOKUP('Données projet'!$B$11,Paramètres!$A$1:$I$89,3,0)*0.475*44/12</f>
        <v>33.173062418984365</v>
      </c>
      <c r="BR203" s="21">
        <f>EXP(-LN(2)/2)*BR202+(1-EXP(-LN(2)/2))/(LN(2)/2)*BL203*BO203*VLOOKUP('Données projet'!$B$11,Paramètres!$A$1:$I$89,3,0)*0.475*44/12</f>
        <v>0.30656689534456982</v>
      </c>
      <c r="BS203" s="22">
        <f t="shared" si="169"/>
        <v>146.48586473204176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>
        <f>BY203*VLOOKUP('Données projet'!$B$12,Paramètres!$A$1:$I$89,3,0)*VLOOKUP('Données projet'!$B$12,Paramètres!$A$1:$I$89,5,0)</f>
        <v>0</v>
      </c>
      <c r="CA203" s="13" t="e">
        <f t="shared" si="170"/>
        <v>#NUM!</v>
      </c>
      <c r="CB203" s="20" t="e">
        <f t="shared" si="171"/>
        <v>#NUM!</v>
      </c>
      <c r="CC203" s="59" t="e">
        <f t="shared" si="195"/>
        <v>#NUM!</v>
      </c>
      <c r="CD203" s="59">
        <f ca="1">AVERAGE(OFFSET($CC$3,0,0,'Données projet'!$E$12+1,1))-AVERAGE(OFFSET($H$3,0,0,'Données projet'!$E$12+1,1))</f>
        <v>439.15394290667945</v>
      </c>
      <c r="CE203" s="59">
        <f t="shared" si="207"/>
        <v>423.56554025351068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4.6849301866503676</v>
      </c>
      <c r="CL203" s="21">
        <f>EXP(-LN(2)/25)*CL202+(1-EXP(-LN(2)/25))/(LN(2)/25)*Calculateur!CG203*Calculateur!CI203*VLOOKUP('Données projet'!$B$12,Paramètres!$A$1:$I$89,3,0)*0.475*44/12</f>
        <v>1.7878316438768751</v>
      </c>
      <c r="CM203" s="21">
        <f>EXP(-LN(2)/2)*CM202+(1-EXP(-LN(2)/2))/(LN(2)/2)*CG203*CJ203*VLOOKUP('Données projet'!$B$12,Paramètres!$A$1:$I$89,3,0)*0.475*44/12</f>
        <v>6.4757917735103633E-17</v>
      </c>
      <c r="CN203" s="22">
        <f t="shared" si="172"/>
        <v>6.4727618305272427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>
        <f>CT203*VLOOKUP('Données projet'!$B$13,Paramètres!$A$1:$I$89,3,0)*VLOOKUP('Données projet'!$B$13,Paramètres!$A$1:$I$89,5,0)</f>
        <v>0</v>
      </c>
      <c r="CV203" s="13" t="e">
        <f t="shared" si="173"/>
        <v>#NUM!</v>
      </c>
      <c r="CW203" s="20" t="e">
        <f t="shared" si="174"/>
        <v>#NUM!</v>
      </c>
      <c r="CX203" s="59" t="e">
        <f t="shared" si="196"/>
        <v>#NUM!</v>
      </c>
      <c r="CY203" s="59">
        <f ca="1">AVERAGE(OFFSET($CX$3,0,0,'Données projet'!$E$13+1,1))-AVERAGE(OFFSET($H$3,0,0,'Données projet'!$E$13+1,1))</f>
        <v>408.246209980743</v>
      </c>
      <c r="CZ203" s="59">
        <f t="shared" si="208"/>
        <v>394.10236303013903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>
        <f>EXP(-LN(2)/35)*DF202+(1-EXP(-LN(2)/35))/(LN(2)/35)*DB203*DC203*VLOOKUP('Données projet'!$B$13,Paramètres!$A$1:$I$89,3,0)*0.475*44/12</f>
        <v>5.301133356453799</v>
      </c>
      <c r="DG203" s="21">
        <f>EXP(-LN(2)/25)*DG202+(1-EXP(-LN(2)/25))/(LN(2)/25)*Calculateur!DB203*Calculateur!DD203*VLOOKUP('Données projet'!$B$13,Paramètres!$A$1:$I$89,3,0)*0.475*44/12</f>
        <v>2.0229829656982723</v>
      </c>
      <c r="DH203" s="21">
        <f>EXP(-LN(2)/2)*DH202+(1-EXP(-LN(2)/2))/(LN(2)/2)*DB203*DE203*VLOOKUP('Données projet'!$B$13,Paramètres!$A$1:$I$89,3,0)*0.475*44/12</f>
        <v>5.9449891691242696E-17</v>
      </c>
      <c r="DI203" s="22">
        <f t="shared" si="175"/>
        <v>7.3241163221520713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>
        <f>DO203*VLOOKUP('Données projet'!$B$14,Paramètres!$A$1:$I$89,3,0)*VLOOKUP('Données projet'!$B$14,Paramètres!$A$1:$I$89,5,0)</f>
        <v>0</v>
      </c>
      <c r="DQ203" s="13" t="e">
        <f t="shared" si="176"/>
        <v>#NUM!</v>
      </c>
      <c r="DR203" s="20" t="e">
        <f t="shared" si="177"/>
        <v>#NUM!</v>
      </c>
      <c r="DS203" s="59" t="e">
        <f t="shared" si="197"/>
        <v>#NUM!</v>
      </c>
      <c r="DT203" s="59">
        <f ca="1">AVERAGE(OFFSET($DS$3,0,0,'Données projet'!$E$14+1,1))-AVERAGE(OFFSET($H$3,0,0,'Données projet'!$E$14+1,1))</f>
        <v>371.07993287480366</v>
      </c>
      <c r="DU203" s="59">
        <f t="shared" si="209"/>
        <v>358.67120540290637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>
        <f>EXP(-LN(2)/35)*EA202+(1-EXP(-LN(2)/35))/(LN(2)/35)*DW203*DX203*VLOOKUP('Données projet'!$B$14,Paramètres!$A$1:$I$89,3,0)*0.475*44/12</f>
        <v>3.8401067103691506</v>
      </c>
      <c r="EB203" s="21">
        <f>EXP(-LN(2)/25)*EB202+(1-EXP(-LN(2)/25))/(LN(2)/25)*Calculateur!DW203*Calculateur!DY203*VLOOKUP('Données projet'!$B$14,Paramètres!$A$1:$I$89,3,0)*0.475*44/12</f>
        <v>1.4654357736695702</v>
      </c>
      <c r="EC203" s="21">
        <f>EXP(-LN(2)/2)*EC202+(1-EXP(-LN(2)/2))/(LN(2)/2)*DW203*DZ203*VLOOKUP('Données projet'!$B$14,Paramètres!$A$1:$I$89,3,0)*0.475*44/12</f>
        <v>5.3080260438609647E-17</v>
      </c>
      <c r="ED203" s="22">
        <f t="shared" si="178"/>
        <v>5.3055424840387211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4.65" thickBot="1" x14ac:dyDescent="0.5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4.65" thickBot="1" x14ac:dyDescent="0.5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1.1303799945549604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1.1203305107380264</v>
      </c>
      <c r="BA205" s="82">
        <f>EXP(LN('Données projet'!B88)/'Données projet'!A88)</f>
        <v>1.0924684246274448</v>
      </c>
      <c r="BV205" s="82">
        <f>EXP(LN('Données projet'!B114)/'Données projet'!A114)</f>
        <v>1.3208724756526424</v>
      </c>
      <c r="CQ205" s="82">
        <f>EXP(LN('Données projet'!B140)/'Données projet'!A140)</f>
        <v>1.3208724756526424</v>
      </c>
      <c r="DL205" s="82">
        <f>EXP(LN('Données projet'!B166)/'Données projet'!A166)</f>
        <v>1.3208724756526424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6484375" defaultRowHeight="14.25" x14ac:dyDescent="0.45"/>
  <cols>
    <col min="1" max="1" width="23.46484375" style="4" bestFit="1" customWidth="1"/>
    <col min="2" max="2" width="27.59765625" style="4" bestFit="1" customWidth="1"/>
    <col min="3" max="3" width="11.9296875" style="4" bestFit="1" customWidth="1"/>
    <col min="4" max="4" width="40" style="4" bestFit="1" customWidth="1"/>
    <col min="5" max="5" width="11.9296875" style="4" bestFit="1" customWidth="1"/>
    <col min="6" max="6" width="13.59765625" style="4" bestFit="1" customWidth="1"/>
    <col min="7" max="7" width="11.46484375" style="4" bestFit="1" customWidth="1"/>
    <col min="8" max="8" width="39" style="4" bestFit="1" customWidth="1"/>
    <col min="9" max="9" width="16.59765625" style="4" customWidth="1"/>
    <col min="10" max="14" width="11.46484375" style="4"/>
    <col min="15" max="15" width="23.46484375" style="4" bestFit="1" customWidth="1"/>
    <col min="16" max="16384" width="11.46484375" style="4"/>
  </cols>
  <sheetData>
    <row r="1" spans="1:16" ht="43.15" thickBot="1" x14ac:dyDescent="0.5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45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1" t="s">
        <v>238</v>
      </c>
      <c r="P2" s="121">
        <v>0</v>
      </c>
    </row>
    <row r="3" spans="1:16" ht="14.65" thickBot="1" x14ac:dyDescent="0.5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4.65" thickBot="1" x14ac:dyDescent="0.5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45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1" t="s">
        <v>237</v>
      </c>
      <c r="P5" s="121">
        <v>0</v>
      </c>
    </row>
    <row r="6" spans="1:16" x14ac:dyDescent="0.45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45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4.65" thickBot="1" x14ac:dyDescent="0.5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4.65" thickBot="1" x14ac:dyDescent="0.5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45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1" t="s">
        <v>236</v>
      </c>
      <c r="P10" s="121">
        <v>0</v>
      </c>
    </row>
    <row r="11" spans="1:16" ht="14.65" thickBot="1" x14ac:dyDescent="0.5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45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45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45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45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45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45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45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45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45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45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45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45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45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45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45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45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45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45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45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45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45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45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45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45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45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45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45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45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45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45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45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45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45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45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45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45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45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45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45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45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45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45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45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45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45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45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45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45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45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45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45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45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45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45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45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45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45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45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45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45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45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45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45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45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45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45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45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45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45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45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45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45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45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45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45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45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45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4.65" thickBot="1" x14ac:dyDescent="0.5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45">
      <c r="A93" s="122" t="s">
        <v>208</v>
      </c>
    </row>
    <row r="94" spans="1:14" x14ac:dyDescent="0.45">
      <c r="A94" s="122" t="s">
        <v>209</v>
      </c>
    </row>
    <row r="95" spans="1:14" x14ac:dyDescent="0.45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zoomScale="90" zoomScaleNormal="90" workbookViewId="0">
      <selection activeCell="D16" sqref="D16"/>
    </sheetView>
  </sheetViews>
  <sheetFormatPr baseColWidth="10" defaultColWidth="11.46484375" defaultRowHeight="14.25" x14ac:dyDescent="0.45"/>
  <cols>
    <col min="1" max="1" width="22.9296875" style="1" bestFit="1" customWidth="1"/>
    <col min="2" max="2" width="10.53125" style="1" bestFit="1" customWidth="1"/>
    <col min="3" max="3" width="15.53125" style="1" bestFit="1" customWidth="1"/>
    <col min="4" max="4" width="13.46484375" style="1" bestFit="1" customWidth="1"/>
    <col min="5" max="8" width="11.46484375" style="1"/>
    <col min="9" max="13" width="11.46484375" style="62"/>
    <col min="14" max="15" width="11.46484375" style="1"/>
    <col min="16" max="17" width="13.46484375" style="1" customWidth="1"/>
    <col min="18" max="16384" width="11.46484375" style="1"/>
  </cols>
  <sheetData>
    <row r="1" spans="1:62" ht="14.65" thickBot="1" x14ac:dyDescent="0.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5.9" thickBot="1" x14ac:dyDescent="0.8">
      <c r="A2" s="272" t="s">
        <v>271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4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4.65" thickBot="1" x14ac:dyDescent="0.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57.4" thickBot="1" x14ac:dyDescent="0.5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45">
      <c r="A6" s="145" t="str">
        <f>IF('Données projet'!$B$9="","",'Données projet'!$B$9)</f>
        <v>Chêne sessile</v>
      </c>
      <c r="B6" s="146">
        <f>'Données projet'!D9</f>
        <v>5.5759999999999996</v>
      </c>
      <c r="C6" s="147">
        <f ca="1">IF(OR('Données projet'!B9="",'Données projet'!C9="",'Données projet'!C9=0%),0,Calculateur!S3)</f>
        <v>681.47578137804555</v>
      </c>
      <c r="D6" s="147">
        <f>IF(OR('Données projet'!B9="",'Données projet'!C9="",'Données projet'!C9=0%),0,Calculateur!T3)</f>
        <v>300.88511065995885</v>
      </c>
      <c r="E6" s="147">
        <f ca="1">MIN(C6,D6)</f>
        <v>300.88511065995885</v>
      </c>
      <c r="F6" s="147">
        <f ca="1">E6*B6</f>
        <v>1677.7353770399304</v>
      </c>
      <c r="G6" s="147">
        <f ca="1">F6*(100%-'Données projet'!$C$24)*(100%-'Données projet'!$C$25)*(100%-'Données projet'!$C$26)*(100%-'Données projet'!$C$27)</f>
        <v>1358.9656554023436</v>
      </c>
      <c r="H6" s="148">
        <f>IF(OR('Données projet'!B9="",'Données projet'!C9="",'Données projet'!C9=0%),0,AVERAGE(Calculateur!$AC$3:$AC$33)*B6)</f>
        <v>0</v>
      </c>
      <c r="I6" s="149">
        <f>H6*(100%-'Données projet'!$C$24)*(100%-'Données projet'!$C$25)*(100%-'Données projet'!$C$26)*(100%-'Données projet'!$C$27)</f>
        <v>0</v>
      </c>
      <c r="J6" s="150">
        <f>IF(OR('Données projet'!B9="",'Données projet'!C9="",'Données projet'!C9=0%),0,SUM(Calculateur!$V$3:$V$33)*VLOOKUP('Données projet'!$B$9,Paramètres!$A$1:$I$89,9,0)*B6)</f>
        <v>0</v>
      </c>
      <c r="K6" s="151">
        <f>J6*(100%-'Données projet'!$C$24)*(100%-'Données projet'!$C$25)*(100%-'Données projet'!$C$26)*(100%-'Données projet'!$C$27)</f>
        <v>0</v>
      </c>
      <c r="L6" s="152">
        <f ca="1">G6+I6+K6</f>
        <v>1358.9656554023436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45">
      <c r="A7" s="153" t="str">
        <f>IF('Données projet'!$B$10="","",'Données projet'!$B$10)</f>
        <v>Cèdre de l'Atlas</v>
      </c>
      <c r="B7" s="154">
        <f>'Données projet'!D10</f>
        <v>0.82</v>
      </c>
      <c r="C7" s="147">
        <f ca="1">IF(OR('Données projet'!B10="",'Données projet'!C10="",'Données projet'!C10=0%),0,Calculateur!AN3)</f>
        <v>325.45940224919184</v>
      </c>
      <c r="D7" s="147">
        <f>IF(OR('Données projet'!B10="",'Données projet'!C10="",'Données projet'!C10=0%),0,Calculateur!AO3)</f>
        <v>256.30046621034876</v>
      </c>
      <c r="E7" s="147">
        <f t="shared" ref="E7:E15" ca="1" si="0">MIN(C7,D7)</f>
        <v>256.30046621034876</v>
      </c>
      <c r="F7" s="147">
        <f t="shared" ref="F7:F15" ca="1" si="1">E7*B7</f>
        <v>210.16638229248596</v>
      </c>
      <c r="G7" s="147">
        <f ca="1">F7*(100%-'Données projet'!$C$24)*(100%-'Données projet'!$C$25)*(100%-'Données projet'!$C$26)*(100%-'Données projet'!$C$27)</f>
        <v>170.23476965691364</v>
      </c>
      <c r="H7" s="155">
        <f>IF(OR('Données projet'!B10="",'Données projet'!C10="",'Données projet'!C10=0%),0,AVERAGE(Calculateur!$AX$3:$AX$33)*B7)</f>
        <v>0</v>
      </c>
      <c r="I7" s="149">
        <f>H7*(100%-'Données projet'!$C$24)*(100%-'Données projet'!$C$25)*(100%-'Données projet'!$C$26)*(100%-'Données projet'!$C$27)</f>
        <v>0</v>
      </c>
      <c r="J7" s="150">
        <f>IF(OR('Données projet'!B10="",'Données projet'!C10="",'Données projet'!C10=0%),0,SUM(Calculateur!$AQ$3:$AQ$33)*VLOOKUP('Données projet'!$B$10,Paramètres!$A$1:$I$89,9,0)*B7)</f>
        <v>0</v>
      </c>
      <c r="K7" s="151">
        <f>J7*(100%-'Données projet'!$C$24)*(100%-'Données projet'!$C$25)*(100%-'Données projet'!$C$26)*(100%-'Données projet'!$C$27)</f>
        <v>0</v>
      </c>
      <c r="L7" s="152">
        <f t="shared" ref="L7:L15" ca="1" si="2">G7+I7+K7</f>
        <v>170.23476965691364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45">
      <c r="A8" s="153" t="str">
        <f>IF('Données projet'!$B$11="","",'Données projet'!$B$11)</f>
        <v>Chêne pubescent</v>
      </c>
      <c r="B8" s="154">
        <f>'Données projet'!D11</f>
        <v>0.73799999999999988</v>
      </c>
      <c r="C8" s="147">
        <f ca="1">IF(OR('Données projet'!B11="",'Données projet'!C11="",'Données projet'!C11=0%),0,Calculateur!BI3)</f>
        <v>580.02848304986492</v>
      </c>
      <c r="D8" s="147">
        <f>IF(OR('Données projet'!B11="",'Données projet'!C11="",'Données projet'!C11=0%),0,Calculateur!BJ3)</f>
        <v>281.68891895586728</v>
      </c>
      <c r="E8" s="147">
        <f t="shared" ca="1" si="0"/>
        <v>281.68891895586728</v>
      </c>
      <c r="F8" s="147">
        <f t="shared" ca="1" si="1"/>
        <v>207.88642218943002</v>
      </c>
      <c r="G8" s="147">
        <f ca="1">F8*(100%-'Données projet'!$C$24)*(100%-'Données projet'!$C$25)*(100%-'Données projet'!$C$26)*(100%-'Données projet'!$C$27)</f>
        <v>168.38800197343832</v>
      </c>
      <c r="H8" s="155">
        <f>IF(OR('Données projet'!B11="",'Données projet'!C11="",'Données projet'!C11=0%),0,AVERAGE(Calculateur!$BS$3:$BS$33)*B8)</f>
        <v>0</v>
      </c>
      <c r="I8" s="149">
        <f>H8*(100%-'Données projet'!$C$24)*(100%-'Données projet'!$C$25)*(100%-'Données projet'!$C$26)*(100%-'Données projet'!$C$27)</f>
        <v>0</v>
      </c>
      <c r="J8" s="150">
        <f>IF(OR('Données projet'!B11="",'Données projet'!C11="",'Données projet'!C11=0%),0,SUM(Calculateur!$BL$3:$BL$33)*VLOOKUP('Données projet'!$B$11,Paramètres!$A$1:$I$89,9,0)*B8)</f>
        <v>0</v>
      </c>
      <c r="K8" s="151">
        <f>J8*(100%-'Données projet'!$C$24)*(100%-'Données projet'!$C$25)*(100%-'Données projet'!$C$26)*(100%-'Données projet'!$C$27)</f>
        <v>0</v>
      </c>
      <c r="L8" s="152">
        <f t="shared" ca="1" si="2"/>
        <v>168.38800197343832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45">
      <c r="A9" s="153" t="str">
        <f>IF('Données projet'!$B$12="","",'Données projet'!$B$12)</f>
        <v>Charme</v>
      </c>
      <c r="B9" s="154">
        <f>'Données projet'!D12</f>
        <v>0.35028996161071629</v>
      </c>
      <c r="C9" s="147">
        <f ca="1">IF(OR('Données projet'!B12="",'Données projet'!C12="",'Données projet'!C12=0%),0,Calculateur!CD3)</f>
        <v>439.15394290667945</v>
      </c>
      <c r="D9" s="147">
        <f>IF(OR('Données projet'!B12="",'Données projet'!C12="",'Données projet'!C12=0%),0,Calculateur!CE3)</f>
        <v>423.56554025351068</v>
      </c>
      <c r="E9" s="147">
        <f t="shared" ca="1" si="0"/>
        <v>423.56554025351068</v>
      </c>
      <c r="F9" s="147">
        <f t="shared" ca="1" si="1"/>
        <v>148.37075683502457</v>
      </c>
      <c r="G9" s="147">
        <f ca="1">F9*(100%-'Données projet'!$C$24)*(100%-'Données projet'!$C$25)*(100%-'Données projet'!$C$26)*(100%-'Données projet'!$C$27)</f>
        <v>120.1803130363699</v>
      </c>
      <c r="H9" s="155">
        <f>IF(OR('Données projet'!B12="",'Données projet'!C12="",'Données projet'!C12=0%),0,AVERAGE(Calculateur!$CN$3:$CN$33)*B9)</f>
        <v>2.2272424530096031</v>
      </c>
      <c r="I9" s="149">
        <f>H9*(100%-'Données projet'!$C$24)*(100%-'Données projet'!$C$25)*(100%-'Données projet'!$C$26)*(100%-'Données projet'!$C$27)</f>
        <v>1.8040663869377784</v>
      </c>
      <c r="J9" s="150">
        <f>IF(OR('Données projet'!B12="",'Données projet'!C12="",'Données projet'!C12=0%),0,SUM(Calculateur!$CG$3:$CG$33)*VLOOKUP('Données projet'!$B$12,Paramètres!$A$1:$I$89,9,0)*B9)</f>
        <v>11.997431185167033</v>
      </c>
      <c r="K9" s="151">
        <f>J9*(100%-'Données projet'!$C$24)*(100%-'Données projet'!$C$25)*(100%-'Données projet'!$C$26)*(100%-'Données projet'!$C$27)</f>
        <v>9.7179192599852957</v>
      </c>
      <c r="L9" s="152">
        <f t="shared" ca="1" si="2"/>
        <v>131.70229868329298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45">
      <c r="A10" s="153" t="str">
        <f>IF('Données projet'!$B$13="","",'Données projet'!$B$13)</f>
        <v>Erable champêtre</v>
      </c>
      <c r="B10" s="154">
        <f>'Données projet'!D13</f>
        <v>0.35028996161071629</v>
      </c>
      <c r="C10" s="147">
        <f ca="1">IF(OR('Données projet'!B13="",'Données projet'!C13="",'Données projet'!C13=0%),0,Calculateur!CY3)</f>
        <v>408.246209980743</v>
      </c>
      <c r="D10" s="147">
        <f>IF(OR('Données projet'!B13="",'Données projet'!C13="",'Données projet'!C13=0%),0,Calculateur!CZ3)</f>
        <v>394.10236303013903</v>
      </c>
      <c r="E10" s="147">
        <f t="shared" ca="1" si="0"/>
        <v>394.10236303013903</v>
      </c>
      <c r="F10" s="147">
        <f t="shared" ca="1" si="1"/>
        <v>138.05010161651998</v>
      </c>
      <c r="G10" s="147">
        <f ca="1">F10*(100%-'Données projet'!$C$24)*(100%-'Données projet'!$C$25)*(100%-'Données projet'!$C$26)*(100%-'Données projet'!$C$27)</f>
        <v>111.82058230938119</v>
      </c>
      <c r="H10" s="155">
        <f>IF(OR('Données projet'!B13="",'Données projet'!C13="",'Données projet'!C13=0%),0,AVERAGE(Calculateur!$DI$3:$DI$33)*B10)</f>
        <v>2.3224058907128575</v>
      </c>
      <c r="I10" s="149">
        <f>H10*(100%-'Données projet'!$C$24)*(100%-'Données projet'!$C$25)*(100%-'Données projet'!$C$26)*(100%-'Données projet'!$C$27)</f>
        <v>1.8811487714774149</v>
      </c>
      <c r="J10" s="150">
        <f>IF(OR('Données projet'!B13="",'Données projet'!C13="",'Données projet'!C13=0%),0,SUM(Calculateur!$DB$3:$DB$33)*VLOOKUP('Données projet'!$B$13,Paramètres!$A$1:$I$89,9,0)*B10)</f>
        <v>11.997431185167033</v>
      </c>
      <c r="K10" s="151">
        <f>J10*(100%-'Données projet'!$C$24)*(100%-'Données projet'!$C$25)*(100%-'Données projet'!$C$26)*(100%-'Données projet'!$C$27)</f>
        <v>9.7179192599852957</v>
      </c>
      <c r="L10" s="152">
        <f t="shared" ca="1" si="2"/>
        <v>123.4196503408439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45">
      <c r="A11" s="153" t="str">
        <f>IF('Données projet'!$B$14="","",'Données projet'!$B$14)</f>
        <v>Merisier</v>
      </c>
      <c r="B11" s="154">
        <f>'Données projet'!D14</f>
        <v>0.35028996161071629</v>
      </c>
      <c r="C11" s="147">
        <f ca="1">IF(OR('Données projet'!B14="",'Données projet'!C14="",'Données projet'!C14=0%),0,Calculateur!DT3)</f>
        <v>371.07993287480366</v>
      </c>
      <c r="D11" s="147">
        <f>IF(OR('Données projet'!B14="",'Données projet'!C14="",'Données projet'!C14=0%),0,Calculateur!DU3)</f>
        <v>358.67120540290637</v>
      </c>
      <c r="E11" s="147">
        <f t="shared" ca="1" si="0"/>
        <v>358.67120540290637</v>
      </c>
      <c r="F11" s="147">
        <f t="shared" ca="1" si="1"/>
        <v>125.63892277145341</v>
      </c>
      <c r="G11" s="147">
        <f ca="1">F11*(100%-'Données projet'!$C$24)*(100%-'Données projet'!$C$25)*(100%-'Données projet'!$C$26)*(100%-'Données projet'!$C$27)</f>
        <v>101.76752744487726</v>
      </c>
      <c r="H11" s="155">
        <f>IF(OR('Données projet'!B14="",'Données projet'!C14="",'Données projet'!C14=0%),0,AVERAGE(Calculateur!$ED$3:$ED$33)*B11)</f>
        <v>1.825608568040658</v>
      </c>
      <c r="I11" s="149">
        <f>H11*(100%-'Données projet'!$C$24)*(100%-'Données projet'!$C$25)*(100%-'Données projet'!$C$26)*(100%-'Données projet'!$C$27)</f>
        <v>1.4787429401129331</v>
      </c>
      <c r="J11" s="150">
        <f>IF(OR('Données projet'!B14="",'Données projet'!C14="",'Données projet'!C14=0%),0,SUM(Calculateur!$DW$3:$DW$33)*VLOOKUP('Données projet'!$B$14,Paramètres!$A$1:$I$89,9,0)*B11)</f>
        <v>11.997431185167033</v>
      </c>
      <c r="K11" s="151">
        <f>J11*(100%-'Données projet'!$C$24)*(100%-'Données projet'!$C$25)*(100%-'Données projet'!$C$26)*(100%-'Données projet'!$C$27)</f>
        <v>9.7179192599852957</v>
      </c>
      <c r="L11" s="152">
        <f t="shared" ca="1" si="2"/>
        <v>112.96418964497549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45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45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45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4.65" thickBot="1" x14ac:dyDescent="0.5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4.65" thickBot="1" x14ac:dyDescent="0.5">
      <c r="A16" s="209"/>
      <c r="B16" s="213"/>
      <c r="C16" s="214"/>
      <c r="D16" s="23"/>
      <c r="E16" s="23"/>
      <c r="F16" s="165">
        <f t="shared" ref="F16:L16" ca="1" si="3">SUM(F6:F15)</f>
        <v>2507.8479627448442</v>
      </c>
      <c r="G16" s="166">
        <f t="shared" ca="1" si="3"/>
        <v>2031.356849823324</v>
      </c>
      <c r="H16" s="167">
        <f t="shared" si="3"/>
        <v>6.3752569117631186</v>
      </c>
      <c r="I16" s="167">
        <f t="shared" si="3"/>
        <v>5.1639580985281262</v>
      </c>
      <c r="J16" s="168">
        <f t="shared" si="3"/>
        <v>35.992293555501099</v>
      </c>
      <c r="K16" s="168">
        <f t="shared" si="3"/>
        <v>29.153757779955889</v>
      </c>
      <c r="L16" s="169">
        <f t="shared" ca="1" si="3"/>
        <v>2065.6745657018082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45">
      <c r="A17" s="209"/>
      <c r="B17" s="213"/>
      <c r="C17" s="214"/>
      <c r="D17" s="23"/>
      <c r="E17" s="23"/>
      <c r="F17" s="284" t="s">
        <v>246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45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4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4.65" thickBot="1" x14ac:dyDescent="0.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4.65" thickBot="1" x14ac:dyDescent="0.5">
      <c r="A21" s="170" t="str">
        <f>A6</f>
        <v>Chêne sessile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4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4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4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4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4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4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4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4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4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4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4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4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4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4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4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4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4.65" thickBot="1" x14ac:dyDescent="0.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4.65" thickBot="1" x14ac:dyDescent="0.5">
      <c r="A39" s="170" t="str">
        <f>A7</f>
        <v>Cèdre de l'Atlas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4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4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4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4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4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4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4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4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4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4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4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4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4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4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4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4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4.65" thickBot="1" x14ac:dyDescent="0.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4.65" thickBot="1" x14ac:dyDescent="0.5">
      <c r="A57" s="170" t="str">
        <f>A8</f>
        <v>Chêne pubescent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4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4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4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4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4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4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4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4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4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4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4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4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4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4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4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4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4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4.65" thickBot="1" x14ac:dyDescent="0.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4.65" thickBot="1" x14ac:dyDescent="0.5">
      <c r="A76" s="170" t="str">
        <f>A9</f>
        <v>Charme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4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4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4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4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4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4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4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4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4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4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4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4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4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4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4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4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4.65" thickBot="1" x14ac:dyDescent="0.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4.65" thickBot="1" x14ac:dyDescent="0.5">
      <c r="A94" s="170" t="str">
        <f>A10</f>
        <v>Erable champêtre</v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4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4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4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4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4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4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4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4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4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4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4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4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4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4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4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4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4.65" thickBot="1" x14ac:dyDescent="0.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4.65" thickBot="1" x14ac:dyDescent="0.5">
      <c r="A112" s="170" t="str">
        <f>A11</f>
        <v>Merisier</v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4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4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4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4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4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4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4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4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4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4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4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4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4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4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4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4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4.65" thickBot="1" x14ac:dyDescent="0.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4.65" thickBot="1" x14ac:dyDescent="0.5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4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4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4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4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4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4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4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4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4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4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4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4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4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4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4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4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4.65" thickBot="1" x14ac:dyDescent="0.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4.65" thickBot="1" x14ac:dyDescent="0.5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4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4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4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4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4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4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4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4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4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4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4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4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4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4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4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4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4.65" thickBot="1" x14ac:dyDescent="0.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4.65" thickBot="1" x14ac:dyDescent="0.5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4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4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4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4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4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4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4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4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4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4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4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4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4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4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4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4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4.65" thickBot="1" x14ac:dyDescent="0.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4.65" thickBot="1" x14ac:dyDescent="0.5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4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4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4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4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4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4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4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4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4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4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4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4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4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4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4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4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4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4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4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4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4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4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4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4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4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4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4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4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4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4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4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4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4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4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4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4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4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4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4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4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4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4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4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4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4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4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4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4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4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4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4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4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4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4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4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4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4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4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4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4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4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4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4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4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4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4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4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4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4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4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4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4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4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4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4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4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4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4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4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4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4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4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4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4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4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4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4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4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4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4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4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4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4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4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4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4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4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4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4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4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4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4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4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4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4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4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4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4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4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4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4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4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4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4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4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4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4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4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4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4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4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4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4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4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4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4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4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4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4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4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4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4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4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4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4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4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4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4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4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4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4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4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4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4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4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4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4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4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4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4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4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4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4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4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4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4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4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4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4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4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4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4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4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4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4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4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4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4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4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4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4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4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4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zoomScale="55" zoomScaleNormal="55" workbookViewId="0">
      <selection activeCell="E178" sqref="E178:E191"/>
    </sheetView>
  </sheetViews>
  <sheetFormatPr baseColWidth="10" defaultColWidth="11.46484375" defaultRowHeight="14.25" x14ac:dyDescent="0.45"/>
  <cols>
    <col min="1" max="1" width="11.46484375" style="1"/>
    <col min="2" max="2" width="30.9296875" style="1" bestFit="1" customWidth="1"/>
    <col min="3" max="3" width="18.06640625" style="1" bestFit="1" customWidth="1"/>
    <col min="4" max="5" width="11.46484375" style="1"/>
    <col min="6" max="6" width="14" style="1" customWidth="1"/>
    <col min="7" max="7" width="17.53125" style="1" customWidth="1"/>
    <col min="8" max="8" width="21.59765625" style="1" customWidth="1"/>
    <col min="9" max="9" width="37" style="1" customWidth="1"/>
    <col min="10" max="10" width="11.46484375" style="1"/>
    <col min="11" max="11" width="8.9296875" style="1" customWidth="1"/>
    <col min="12" max="12" width="11.46484375" style="1"/>
    <col min="13" max="13" width="21" style="1" customWidth="1"/>
    <col min="14" max="16" width="11.46484375" style="1"/>
    <col min="17" max="17" width="8" style="1" customWidth="1"/>
    <col min="18" max="18" width="11.46484375" style="1"/>
    <col min="19" max="19" width="31" style="1" customWidth="1"/>
    <col min="20" max="20" width="18.06640625" style="1" customWidth="1"/>
    <col min="21" max="21" width="16.46484375" style="1" customWidth="1"/>
    <col min="22" max="22" width="17.9296875" style="1" customWidth="1"/>
    <col min="23" max="16384" width="11.46484375" style="1"/>
  </cols>
  <sheetData>
    <row r="1" spans="1:42" ht="14.65" thickBot="1" x14ac:dyDescent="0.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5.9" thickBot="1" x14ac:dyDescent="0.8">
      <c r="A2" s="4"/>
      <c r="B2" s="272" t="s">
        <v>272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45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45">
      <c r="A4" s="4"/>
      <c r="B4" s="4"/>
      <c r="C4" s="4"/>
      <c r="D4" s="4"/>
      <c r="E4" s="4"/>
      <c r="G4" s="4"/>
      <c r="H4" s="258" t="s">
        <v>315</v>
      </c>
      <c r="I4" s="258"/>
      <c r="K4" s="300" t="s">
        <v>253</v>
      </c>
      <c r="L4" s="301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4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4.65" thickBot="1" x14ac:dyDescent="0.5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8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2" t="s">
        <v>310</v>
      </c>
      <c r="S7" s="293"/>
      <c r="T7" s="293"/>
      <c r="U7" s="293"/>
      <c r="V7" s="29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45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45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45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Chêne sessile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657.68968547477937</v>
      </c>
      <c r="U10" s="178">
        <f>'Données projet'!D9</f>
        <v>5.5759999999999996</v>
      </c>
      <c r="V10" s="177">
        <f>U10*T10</f>
        <v>3667.2776862073697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45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Cèdre de l'Atlas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415.27121804806728</v>
      </c>
      <c r="U11" s="178">
        <f>'Données projet'!D10</f>
        <v>0.82</v>
      </c>
      <c r="V11" s="177">
        <f t="shared" ref="V11" si="0">U11*T11</f>
        <v>340.52239879941516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45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Chêne pubescent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140.89006296130091</v>
      </c>
      <c r="U12" s="178">
        <f>'Données projet'!D11</f>
        <v>0.73799999999999988</v>
      </c>
      <c r="V12" s="177">
        <f t="shared" ref="V12:V19" si="1">U12*T12</f>
        <v>103.97686646544005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45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>Charme</v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1292.2930758010384</v>
      </c>
      <c r="U13" s="178">
        <f>'Données projet'!D12</f>
        <v>0.35028996161071629</v>
      </c>
      <c r="V13" s="177">
        <f t="shared" si="1"/>
        <v>452.67729191214022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45">
      <c r="A14" s="46" t="s">
        <v>165</v>
      </c>
      <c r="B14" s="174" t="str">
        <f>IF('Données projet'!$B$9="","",'Données projet'!$B$9)</f>
        <v>Chêne sessile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>Erable champêtre</v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1292.2930758010384</v>
      </c>
      <c r="U14" s="178">
        <f>'Données projet'!D13</f>
        <v>0.35028996161071629</v>
      </c>
      <c r="V14" s="177">
        <f t="shared" si="1"/>
        <v>452.67729191214022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45">
      <c r="A15" s="4"/>
      <c r="B15" s="4"/>
      <c r="C15" s="4"/>
      <c r="D15" s="4"/>
      <c r="E15" s="4"/>
      <c r="F15" s="230"/>
      <c r="G15" s="303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>Merisier</v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1292.2930758010384</v>
      </c>
      <c r="U15" s="178">
        <f>'Données projet'!D14</f>
        <v>0.35028996161071629</v>
      </c>
      <c r="V15" s="177">
        <f t="shared" si="1"/>
        <v>452.67729191214022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45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303"/>
      <c r="H16" s="190"/>
      <c r="I16" s="191"/>
      <c r="J16" s="202"/>
      <c r="K16" s="208"/>
      <c r="L16" s="300" t="s">
        <v>254</v>
      </c>
      <c r="M16" s="301"/>
      <c r="N16" s="2"/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45">
      <c r="A17" s="49">
        <v>0</v>
      </c>
      <c r="B17" s="199" t="s">
        <v>132</v>
      </c>
      <c r="C17" s="198" t="s">
        <v>132</v>
      </c>
      <c r="D17" s="197" t="s">
        <v>132</v>
      </c>
      <c r="E17" s="193"/>
      <c r="F17" s="230"/>
      <c r="G17" s="303"/>
      <c r="J17" s="202"/>
      <c r="K17" s="208"/>
      <c r="L17" s="260" t="s">
        <v>289</v>
      </c>
      <c r="M17" s="262"/>
      <c r="N17" s="175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45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303"/>
      <c r="J18" s="202"/>
      <c r="K18" s="208"/>
      <c r="L18" s="260" t="s">
        <v>255</v>
      </c>
      <c r="M18" s="262"/>
      <c r="N18" s="192"/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45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303"/>
      <c r="H19" s="212" t="s">
        <v>178</v>
      </c>
      <c r="I19" s="212" t="s">
        <v>287</v>
      </c>
      <c r="J19" s="93"/>
      <c r="K19" s="173"/>
      <c r="L19" s="300" t="s">
        <v>288</v>
      </c>
      <c r="M19" s="301"/>
      <c r="N19" s="179">
        <f>N17*N18</f>
        <v>0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45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303"/>
      <c r="H20" s="190">
        <v>1</v>
      </c>
      <c r="I20" s="191">
        <v>3500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45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>
        <v>2</v>
      </c>
      <c r="I21" s="191">
        <v>600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45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>
        <v>3</v>
      </c>
      <c r="I22" s="191">
        <v>600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45">
      <c r="A23" s="180">
        <f>'Données projet'!A36</f>
        <v>42</v>
      </c>
      <c r="B23" s="181">
        <f>'Données projet'!D36</f>
        <v>44.510000000000005</v>
      </c>
      <c r="C23" s="193">
        <v>12.5</v>
      </c>
      <c r="D23" s="182">
        <f>B23*C23</f>
        <v>556.37500000000011</v>
      </c>
      <c r="E23" s="193">
        <v>60</v>
      </c>
      <c r="F23" s="230"/>
      <c r="H23" s="190">
        <v>4</v>
      </c>
      <c r="I23" s="191">
        <v>500</v>
      </c>
      <c r="K23" s="208"/>
      <c r="L23" s="302" t="s">
        <v>260</v>
      </c>
      <c r="M23" s="302"/>
      <c r="N23" s="302"/>
      <c r="O23" s="23"/>
      <c r="P23" s="23"/>
      <c r="Q23" s="234"/>
      <c r="R23" s="23"/>
      <c r="S23" s="36" t="s">
        <v>264</v>
      </c>
      <c r="T23" s="297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-34249.178166097488</v>
      </c>
      <c r="U23" s="297"/>
      <c r="V23" s="297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45">
      <c r="A24" s="180">
        <f>'Données projet'!A37</f>
        <v>50</v>
      </c>
      <c r="B24" s="181">
        <f>'Données projet'!D37</f>
        <v>37.54000000000002</v>
      </c>
      <c r="C24" s="193">
        <v>12.5</v>
      </c>
      <c r="D24" s="182">
        <f t="shared" ref="D24:D42" si="2">B24*C24</f>
        <v>469.25000000000023</v>
      </c>
      <c r="E24" s="193">
        <v>60</v>
      </c>
      <c r="F24" s="233"/>
      <c r="H24" s="190"/>
      <c r="I24" s="191"/>
      <c r="K24" s="208"/>
      <c r="O24" s="23"/>
      <c r="P24" s="23"/>
      <c r="Q24" s="234"/>
      <c r="R24" s="23"/>
      <c r="S24" s="36" t="s">
        <v>261</v>
      </c>
      <c r="T24" s="298">
        <f ca="1">'Scénario référence'!$B$8*$M$30*'Données projet'!$C$5+('Scénario référence'!B9+'Scénario référence'!B10+'Scénario référence'!F8+'Scénario référence'!F9)*$N$19/(1+M4)^N16*'Données projet'!$C$5</f>
        <v>27755.374260958899</v>
      </c>
      <c r="U24" s="298"/>
      <c r="V24" s="298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45">
      <c r="A25" s="180">
        <f>'Données projet'!A38</f>
        <v>58</v>
      </c>
      <c r="B25" s="181">
        <f>'Données projet'!D38</f>
        <v>47.789999999999992</v>
      </c>
      <c r="C25" s="193">
        <v>12.5</v>
      </c>
      <c r="D25" s="182">
        <f t="shared" si="2"/>
        <v>597.37499999999989</v>
      </c>
      <c r="E25" s="193">
        <v>60</v>
      </c>
      <c r="F25" s="233"/>
      <c r="H25" s="190"/>
      <c r="I25" s="191"/>
      <c r="K25" s="208"/>
      <c r="L25" s="130" t="s">
        <v>285</v>
      </c>
      <c r="M25" s="130"/>
      <c r="N25" s="130"/>
      <c r="O25" s="130"/>
      <c r="P25" s="192">
        <v>150</v>
      </c>
      <c r="Q25" s="234"/>
      <c r="R25" s="23"/>
      <c r="S25" s="186" t="s">
        <v>266</v>
      </c>
      <c r="T25" s="299">
        <f ca="1">T23-T24</f>
        <v>-62004.552427056391</v>
      </c>
      <c r="U25" s="299"/>
      <c r="V25" s="299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45">
      <c r="A26" s="180">
        <f>'Données projet'!A39</f>
        <v>66</v>
      </c>
      <c r="B26" s="181">
        <f>'Données projet'!D39</f>
        <v>53.679999999999978</v>
      </c>
      <c r="C26" s="193">
        <v>45.375</v>
      </c>
      <c r="D26" s="182">
        <f t="shared" si="2"/>
        <v>2435.7299999999991</v>
      </c>
      <c r="E26" s="193">
        <v>60</v>
      </c>
      <c r="F26" s="233"/>
      <c r="G26" s="229"/>
      <c r="H26" s="190"/>
      <c r="I26" s="191"/>
      <c r="K26" s="208"/>
      <c r="L26" s="286" t="s">
        <v>258</v>
      </c>
      <c r="M26" s="287"/>
      <c r="N26" s="287"/>
      <c r="O26" s="287"/>
      <c r="P26" s="288"/>
      <c r="Q26" s="234"/>
      <c r="R26" s="23"/>
      <c r="S26" s="186" t="s">
        <v>265</v>
      </c>
      <c r="T26" s="296" t="str">
        <f ca="1">IF(T25&lt;0,"Votre projet est additionnel","Votre projet n'est pas additionnel")</f>
        <v>Votre projet est additionnel</v>
      </c>
      <c r="U26" s="296"/>
      <c r="V26" s="296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45">
      <c r="A27" s="180">
        <f>'Données projet'!A40</f>
        <v>74</v>
      </c>
      <c r="B27" s="181">
        <f>'Données projet'!D40</f>
        <v>51.339999999999975</v>
      </c>
      <c r="C27" s="193">
        <v>45.375</v>
      </c>
      <c r="D27" s="182">
        <f t="shared" si="2"/>
        <v>2329.5524999999989</v>
      </c>
      <c r="E27" s="193">
        <v>60</v>
      </c>
      <c r="F27" s="233"/>
      <c r="G27" s="229"/>
      <c r="H27" s="190"/>
      <c r="I27" s="191"/>
      <c r="K27" s="208"/>
      <c r="L27" s="289"/>
      <c r="M27" s="290"/>
      <c r="N27" s="290"/>
      <c r="O27" s="290"/>
      <c r="P27" s="291"/>
      <c r="Q27" s="234"/>
      <c r="R27" s="23"/>
      <c r="S27" s="295" t="s">
        <v>267</v>
      </c>
      <c r="T27" s="295"/>
      <c r="U27" s="295"/>
      <c r="V27" s="295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45">
      <c r="A28" s="180">
        <f>'Données projet'!A41</f>
        <v>84</v>
      </c>
      <c r="B28" s="181">
        <f>'Données projet'!D41</f>
        <v>66.69</v>
      </c>
      <c r="C28" s="193">
        <v>45.375</v>
      </c>
      <c r="D28" s="182">
        <f t="shared" si="2"/>
        <v>3026.0587499999997</v>
      </c>
      <c r="E28" s="193">
        <v>60</v>
      </c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45">
      <c r="A29" s="180">
        <f>'Données projet'!A42</f>
        <v>94</v>
      </c>
      <c r="B29" s="181">
        <f>'Données projet'!D42</f>
        <v>67.350000000000023</v>
      </c>
      <c r="C29" s="193">
        <v>45.375</v>
      </c>
      <c r="D29" s="182">
        <f t="shared" si="2"/>
        <v>3056.0062500000008</v>
      </c>
      <c r="E29" s="193">
        <v>60</v>
      </c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45">
      <c r="A30" s="180">
        <f>'Données projet'!A43</f>
        <v>104</v>
      </c>
      <c r="B30" s="181">
        <f>'Données projet'!D43</f>
        <v>66.089999999999975</v>
      </c>
      <c r="C30" s="193">
        <v>45.375</v>
      </c>
      <c r="D30" s="182">
        <f t="shared" si="2"/>
        <v>2998.8337499999989</v>
      </c>
      <c r="E30" s="193">
        <v>60</v>
      </c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3384.8017391413296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45">
      <c r="A31" s="180">
        <f>'Données projet'!A44</f>
        <v>114</v>
      </c>
      <c r="B31" s="181">
        <f>'Données projet'!D44</f>
        <v>61.860000000000014</v>
      </c>
      <c r="C31" s="193">
        <v>45.375</v>
      </c>
      <c r="D31" s="182">
        <f t="shared" si="2"/>
        <v>2806.8975000000005</v>
      </c>
      <c r="E31" s="193">
        <v>60</v>
      </c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45">
      <c r="A32" s="180">
        <f>'Données projet'!A45</f>
        <v>124</v>
      </c>
      <c r="B32" s="181">
        <f>'Données projet'!D45</f>
        <v>57.81</v>
      </c>
      <c r="C32" s="193">
        <v>45.375</v>
      </c>
      <c r="D32" s="182">
        <f t="shared" si="2"/>
        <v>2623.1287500000003</v>
      </c>
      <c r="E32" s="193">
        <v>60</v>
      </c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45">
      <c r="A33" s="180">
        <f>'Données projet'!A46</f>
        <v>134</v>
      </c>
      <c r="B33" s="181">
        <f>'Données projet'!D46</f>
        <v>60.779999999999973</v>
      </c>
      <c r="C33" s="193">
        <v>138</v>
      </c>
      <c r="D33" s="182">
        <f t="shared" si="2"/>
        <v>8387.6399999999958</v>
      </c>
      <c r="E33" s="193">
        <v>60</v>
      </c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150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45">
      <c r="A34" s="180">
        <f>'Données projet'!A47</f>
        <v>144</v>
      </c>
      <c r="B34" s="181">
        <f>'Données projet'!D47</f>
        <v>61.800000000000068</v>
      </c>
      <c r="C34" s="193">
        <v>138</v>
      </c>
      <c r="D34" s="182">
        <f t="shared" si="2"/>
        <v>8528.4000000000087</v>
      </c>
      <c r="E34" s="193">
        <v>60</v>
      </c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143.54066985645935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45">
      <c r="A35" s="180">
        <f>'Données projet'!A48</f>
        <v>154</v>
      </c>
      <c r="B35" s="181">
        <f>'Données projet'!D48</f>
        <v>61.050000000000011</v>
      </c>
      <c r="C35" s="193">
        <v>138</v>
      </c>
      <c r="D35" s="182">
        <f t="shared" si="2"/>
        <v>8424.9000000000015</v>
      </c>
      <c r="E35" s="193">
        <v>60</v>
      </c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137.35949268560705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45">
      <c r="A36" s="180">
        <f>'Données projet'!A49</f>
        <v>164</v>
      </c>
      <c r="B36" s="181">
        <f>'Données projet'!D49</f>
        <v>66.020000000000095</v>
      </c>
      <c r="C36" s="193">
        <v>138</v>
      </c>
      <c r="D36" s="182">
        <f t="shared" si="2"/>
        <v>9110.760000000013</v>
      </c>
      <c r="E36" s="193">
        <v>60</v>
      </c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131.44449060823641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45">
      <c r="A37" s="180">
        <f>'Données projet'!A50</f>
        <v>174</v>
      </c>
      <c r="B37" s="181">
        <f>'Données projet'!D50</f>
        <v>240</v>
      </c>
      <c r="C37" s="193">
        <v>156.375</v>
      </c>
      <c r="D37" s="182">
        <f t="shared" si="2"/>
        <v>37530</v>
      </c>
      <c r="E37" s="193">
        <v>60</v>
      </c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125.78420153898223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45">
      <c r="A38" s="180">
        <f>'Données projet'!A51</f>
        <v>177</v>
      </c>
      <c r="B38" s="181">
        <f>'Données projet'!D51</f>
        <v>128.66000000000003</v>
      </c>
      <c r="C38" s="193">
        <v>156.375</v>
      </c>
      <c r="D38" s="182">
        <f t="shared" si="2"/>
        <v>20119.207500000004</v>
      </c>
      <c r="E38" s="193">
        <v>60</v>
      </c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120.36765697510262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45">
      <c r="A39" s="180">
        <f>'Données projet'!A52</f>
        <v>180</v>
      </c>
      <c r="B39" s="181">
        <f>'Données projet'!D52</f>
        <v>86.97</v>
      </c>
      <c r="C39" s="193">
        <v>156.375</v>
      </c>
      <c r="D39" s="182">
        <f t="shared" si="2"/>
        <v>13599.93375</v>
      </c>
      <c r="E39" s="193">
        <v>60</v>
      </c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115.18436074172502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45">
      <c r="A40" s="180">
        <f>'Données projet'!A53</f>
        <v>183</v>
      </c>
      <c r="B40" s="181">
        <f>'Données projet'!D53</f>
        <v>191.47</v>
      </c>
      <c r="C40" s="193">
        <v>156.375</v>
      </c>
      <c r="D40" s="182">
        <f t="shared" si="2"/>
        <v>29941.12125</v>
      </c>
      <c r="E40" s="193">
        <v>60</v>
      </c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110.22426865236844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45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105.47776904532867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45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100.93566415820926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45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96.589152304506499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45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92.429810817709566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45">
      <c r="A45" s="46" t="s">
        <v>166</v>
      </c>
      <c r="B45" s="174" t="str">
        <f>IF('Données projet'!$B$10="","",'Données projet'!$B$10)</f>
        <v>Cèdre de l'Atlas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88.449579729865633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45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84.640746152981464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45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80.995929332996624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45">
      <c r="A48" s="49">
        <v>0</v>
      </c>
      <c r="B48" s="199" t="s">
        <v>132</v>
      </c>
      <c r="C48" s="198" t="s">
        <v>132</v>
      </c>
      <c r="D48" s="197" t="s">
        <v>132</v>
      </c>
      <c r="E48" s="193"/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77.508066347365187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45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74.170398418531306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45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70.976457816776374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45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67.920055327058748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45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64.995268255558614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45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62.196428952687683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45">
      <c r="A54" s="180">
        <f>'Données projet'!A62</f>
        <v>51</v>
      </c>
      <c r="B54" s="181">
        <f>'Données projet'!D62</f>
        <v>101.57999999999998</v>
      </c>
      <c r="C54" s="191">
        <v>10.9375</v>
      </c>
      <c r="D54" s="179">
        <f>B54*C54</f>
        <v>1111.0312499999998</v>
      </c>
      <c r="E54" s="193">
        <v>60</v>
      </c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59.518113830323131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45">
      <c r="A55" s="180">
        <f>'Données projet'!A63</f>
        <v>63</v>
      </c>
      <c r="B55" s="181">
        <f>'Données projet'!D63</f>
        <v>115.59000000000003</v>
      </c>
      <c r="C55" s="191">
        <v>26.25</v>
      </c>
      <c r="D55" s="179">
        <f t="shared" ref="D55:D73" si="4">B55*C55</f>
        <v>3034.2375000000006</v>
      </c>
      <c r="E55" s="193">
        <v>60</v>
      </c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56.955132851983883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45">
      <c r="A56" s="180">
        <f>'Données projet'!A64</f>
        <v>75</v>
      </c>
      <c r="B56" s="181">
        <f>'Données projet'!D64</f>
        <v>93.759999999999991</v>
      </c>
      <c r="C56" s="191">
        <v>26.25</v>
      </c>
      <c r="D56" s="179">
        <f t="shared" si="4"/>
        <v>2461.1999999999998</v>
      </c>
      <c r="E56" s="193">
        <v>60</v>
      </c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54.502519475582659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45">
      <c r="A57" s="180">
        <f>'Données projet'!A65</f>
        <v>87</v>
      </c>
      <c r="B57" s="181">
        <f>'Données projet'!D65</f>
        <v>92.519999999999982</v>
      </c>
      <c r="C57" s="191">
        <v>26.25</v>
      </c>
      <c r="D57" s="179">
        <f t="shared" si="4"/>
        <v>2428.6499999999996</v>
      </c>
      <c r="E57" s="193">
        <v>60</v>
      </c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52.155521029265714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45">
      <c r="A58" s="180">
        <f>'Données projet'!A66</f>
        <v>99</v>
      </c>
      <c r="B58" s="181">
        <f>'Données projet'!D66</f>
        <v>222.86</v>
      </c>
      <c r="C58" s="191">
        <v>31.5</v>
      </c>
      <c r="D58" s="179">
        <f t="shared" si="4"/>
        <v>7020.09</v>
      </c>
      <c r="E58" s="193">
        <v>60</v>
      </c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49.90958950168968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45">
      <c r="A59" s="180">
        <f>'Données projet'!A67</f>
        <v>109</v>
      </c>
      <c r="B59" s="181">
        <f>'Données projet'!D67</f>
        <v>290.11</v>
      </c>
      <c r="C59" s="191">
        <v>31.5</v>
      </c>
      <c r="D59" s="179">
        <f t="shared" si="4"/>
        <v>9138.4650000000001</v>
      </c>
      <c r="E59" s="193">
        <v>60</v>
      </c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47.760372728889656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45">
      <c r="A60" s="180">
        <f>'Données projet'!A68</f>
        <v>0</v>
      </c>
      <c r="B60" s="181">
        <f>'Données projet'!D68</f>
        <v>0</v>
      </c>
      <c r="C60" s="191"/>
      <c r="D60" s="179">
        <f t="shared" si="4"/>
        <v>0</v>
      </c>
      <c r="E60" s="193"/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45.70370596065996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45">
      <c r="A61" s="180">
        <f>'Données projet'!A69</f>
        <v>0</v>
      </c>
      <c r="B61" s="181">
        <f>'Données projet'!D69</f>
        <v>0</v>
      </c>
      <c r="C61" s="191"/>
      <c r="D61" s="179">
        <f t="shared" si="4"/>
        <v>0</v>
      </c>
      <c r="E61" s="193"/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43.735603790105237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45">
      <c r="A62" s="180">
        <f>'Données projet'!A70</f>
        <v>0</v>
      </c>
      <c r="B62" s="181">
        <f>'Données projet'!D70</f>
        <v>0</v>
      </c>
      <c r="C62" s="191"/>
      <c r="D62" s="179">
        <f t="shared" si="4"/>
        <v>0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41.852252430722707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45">
      <c r="A63" s="180">
        <f>'Données projet'!A71</f>
        <v>0</v>
      </c>
      <c r="B63" s="181">
        <f>'Données projet'!D71</f>
        <v>0</v>
      </c>
      <c r="C63" s="191"/>
      <c r="D63" s="179">
        <f t="shared" si="4"/>
        <v>0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40.050002326050453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45">
      <c r="A64" s="180">
        <f>'Données projet'!A72</f>
        <v>0</v>
      </c>
      <c r="B64" s="181">
        <f>'Données projet'!D72</f>
        <v>0</v>
      </c>
      <c r="C64" s="191"/>
      <c r="D64" s="179">
        <f t="shared" si="4"/>
        <v>0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38.325361077560231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45">
      <c r="A65" s="180">
        <f>'Données projet'!A73</f>
        <v>0</v>
      </c>
      <c r="B65" s="181">
        <f>'Données projet'!D73</f>
        <v>0</v>
      </c>
      <c r="C65" s="191"/>
      <c r="D65" s="179">
        <f t="shared" si="4"/>
        <v>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36.674986677091148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45">
      <c r="A66" s="180">
        <f>'Données projet'!A74</f>
        <v>0</v>
      </c>
      <c r="B66" s="181">
        <f>'Données projet'!D74</f>
        <v>0</v>
      </c>
      <c r="C66" s="191"/>
      <c r="D66" s="179">
        <f t="shared" si="4"/>
        <v>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35.095681030709244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45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33.584383761444251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45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32.138166278894019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45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30.754226104204811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45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29.429881439430442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45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28.16256597074684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45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26.949823895451523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45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25.789305163111511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45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24.678760921637814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45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23.616039159462026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45">
      <c r="A76" s="46" t="s">
        <v>167</v>
      </c>
      <c r="B76" s="174" t="str">
        <f>IF('Données projet'!B11="","",'Données projet'!B11)</f>
        <v>Chêne pubescent</v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22.599080535370359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45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21.625914387914221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45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20.694654916664327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45">
      <c r="A79" s="49">
        <v>0</v>
      </c>
      <c r="B79" s="199" t="s">
        <v>132</v>
      </c>
      <c r="C79" s="198" t="s">
        <v>132</v>
      </c>
      <c r="D79" s="197" t="s">
        <v>132</v>
      </c>
      <c r="E79" s="193"/>
      <c r="F79" s="231"/>
      <c r="G79" s="206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19.803497527908451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45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18.950715337711436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45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18.13465582556119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45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17.353737632115969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45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16.606447494847824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45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15.891337315643849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45">
      <c r="A85" s="180">
        <f>'Données projet'!A88</f>
        <v>60</v>
      </c>
      <c r="B85" s="181">
        <f>'Données projet'!D88</f>
        <v>72.87</v>
      </c>
      <c r="C85" s="191">
        <v>11.25</v>
      </c>
      <c r="D85" s="179">
        <f>B85*C85</f>
        <v>819.78750000000002</v>
      </c>
      <c r="E85" s="193">
        <v>60</v>
      </c>
      <c r="F85" s="232"/>
      <c r="G85" s="205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15.207021354683112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45">
      <c r="A86" s="180">
        <f>'Données projet'!A89</f>
        <v>69</v>
      </c>
      <c r="B86" s="181">
        <f>'Données projet'!D89</f>
        <v>42.22</v>
      </c>
      <c r="C86" s="191">
        <v>11.25</v>
      </c>
      <c r="D86" s="179">
        <f t="shared" ref="D86:D104" si="6">B86*C86</f>
        <v>474.97499999999997</v>
      </c>
      <c r="E86" s="193">
        <v>60</v>
      </c>
      <c r="F86" s="232"/>
      <c r="G86" s="205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14.552173545151303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45">
      <c r="A87" s="180">
        <f>'Données projet'!A90</f>
        <v>77</v>
      </c>
      <c r="B87" s="181">
        <f>'Données projet'!D90</f>
        <v>33.950000000000017</v>
      </c>
      <c r="C87" s="191">
        <v>11.25</v>
      </c>
      <c r="D87" s="179">
        <f t="shared" si="6"/>
        <v>381.93750000000017</v>
      </c>
      <c r="E87" s="193">
        <v>60</v>
      </c>
      <c r="F87" s="232"/>
      <c r="G87" s="205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5"/>
        <v>13.925524923589769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45">
      <c r="A88" s="180">
        <f>'Données projet'!A91</f>
        <v>86</v>
      </c>
      <c r="B88" s="181">
        <f>'Données projet'!D91</f>
        <v>37.54000000000002</v>
      </c>
      <c r="C88" s="191">
        <v>18.125</v>
      </c>
      <c r="D88" s="179">
        <f t="shared" si="6"/>
        <v>680.41250000000036</v>
      </c>
      <c r="E88" s="193">
        <v>60</v>
      </c>
      <c r="F88" s="232"/>
      <c r="G88" s="205"/>
      <c r="H88" s="190"/>
      <c r="I88" s="191"/>
      <c r="J88" s="4"/>
      <c r="K88" s="173"/>
      <c r="L88" s="4"/>
      <c r="M88" s="4"/>
      <c r="N88" s="4"/>
      <c r="O88" s="194">
        <f>IF(O87+1&lt;=MIN('Données projet'!$E$9:$E$18),O87+1,"STOP")</f>
        <v>55</v>
      </c>
      <c r="P88" s="185">
        <f t="shared" si="5"/>
        <v>13.3258611708993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45">
      <c r="A89" s="180">
        <f>'Données projet'!A92</f>
        <v>95</v>
      </c>
      <c r="B89" s="181">
        <f>'Données projet'!D92</f>
        <v>42.199999999999989</v>
      </c>
      <c r="C89" s="191">
        <v>18.125</v>
      </c>
      <c r="D89" s="179">
        <f t="shared" si="6"/>
        <v>764.87499999999977</v>
      </c>
      <c r="E89" s="193">
        <v>60</v>
      </c>
      <c r="F89" s="232"/>
      <c r="G89" s="205"/>
      <c r="H89" s="190"/>
      <c r="I89" s="191"/>
      <c r="J89" s="4"/>
      <c r="K89" s="173"/>
      <c r="L89" s="4"/>
      <c r="M89" s="4"/>
      <c r="N89" s="4"/>
      <c r="O89" s="194">
        <f>IF(O88+1&lt;=MIN('Données projet'!$E$9:$E$18),O88+1,"STOP")</f>
        <v>56</v>
      </c>
      <c r="P89" s="185">
        <f t="shared" si="5"/>
        <v>12.752020259233783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45">
      <c r="A90" s="180">
        <f>'Données projet'!A93</f>
        <v>104</v>
      </c>
      <c r="B90" s="181">
        <f>'Données projet'!D93</f>
        <v>39.400000000000006</v>
      </c>
      <c r="C90" s="191">
        <v>18.125</v>
      </c>
      <c r="D90" s="179">
        <f t="shared" si="6"/>
        <v>714.12500000000011</v>
      </c>
      <c r="E90" s="193">
        <v>60</v>
      </c>
      <c r="F90" s="232"/>
      <c r="G90" s="205"/>
      <c r="H90" s="190"/>
      <c r="I90" s="191"/>
      <c r="J90" s="4"/>
      <c r="K90" s="173"/>
      <c r="L90" s="4"/>
      <c r="M90" s="4"/>
      <c r="N90" s="4"/>
      <c r="O90" s="194">
        <f>IF(O89+1&lt;=MIN('Données projet'!$E$9:$E$18),O89+1,"STOP")</f>
        <v>57</v>
      </c>
      <c r="P90" s="185">
        <f t="shared" si="5"/>
        <v>12.202890200223717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45">
      <c r="A91" s="180">
        <f>'Données projet'!A94</f>
        <v>113</v>
      </c>
      <c r="B91" s="181">
        <f>'Données projet'!D94</f>
        <v>41.639999999999986</v>
      </c>
      <c r="C91" s="191">
        <v>18.125</v>
      </c>
      <c r="D91" s="179">
        <f t="shared" si="6"/>
        <v>754.7249999999998</v>
      </c>
      <c r="E91" s="193">
        <v>60</v>
      </c>
      <c r="F91" s="232"/>
      <c r="G91" s="206"/>
      <c r="H91" s="190"/>
      <c r="I91" s="191"/>
      <c r="J91" s="4"/>
      <c r="K91" s="173"/>
      <c r="L91" s="4"/>
      <c r="M91" s="4"/>
      <c r="N91" s="4"/>
      <c r="O91" s="194">
        <f>IF(O90+1&lt;=MIN('Données projet'!$E$9:$E$18),O90+1,"STOP")</f>
        <v>58</v>
      </c>
      <c r="P91" s="185">
        <f t="shared" si="5"/>
        <v>11.677406890166239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45">
      <c r="A92" s="180">
        <f>'Données projet'!A95</f>
        <v>122</v>
      </c>
      <c r="B92" s="181">
        <f>'Données projet'!D95</f>
        <v>45.829999999999984</v>
      </c>
      <c r="C92" s="191">
        <v>18.125</v>
      </c>
      <c r="D92" s="179">
        <f t="shared" si="6"/>
        <v>830.6687499999997</v>
      </c>
      <c r="E92" s="193">
        <v>60</v>
      </c>
      <c r="F92" s="232"/>
      <c r="G92" s="206"/>
      <c r="H92" s="190"/>
      <c r="I92" s="191"/>
      <c r="J92" s="4"/>
      <c r="K92" s="173"/>
      <c r="L92" s="4"/>
      <c r="M92" s="4"/>
      <c r="N92" s="4"/>
      <c r="O92" s="194">
        <f>IF(O91+1&lt;=MIN('Données projet'!$E$9:$E$18),O91+1,"STOP")</f>
        <v>59</v>
      </c>
      <c r="P92" s="185">
        <f t="shared" si="5"/>
        <v>11.174552048005971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45">
      <c r="A93" s="180">
        <f>'Données projet'!A96</f>
        <v>132</v>
      </c>
      <c r="B93" s="181">
        <f>'Données projet'!D96</f>
        <v>48.699999999999989</v>
      </c>
      <c r="C93" s="191">
        <v>32.1875</v>
      </c>
      <c r="D93" s="179">
        <f t="shared" si="6"/>
        <v>1567.5312499999995</v>
      </c>
      <c r="E93" s="193">
        <v>60</v>
      </c>
      <c r="F93" s="232"/>
      <c r="G93" s="206"/>
      <c r="H93" s="190"/>
      <c r="I93" s="191"/>
      <c r="J93" s="4"/>
      <c r="K93" s="173"/>
      <c r="L93" s="4"/>
      <c r="M93" s="4"/>
      <c r="N93" s="4"/>
      <c r="O93" s="194">
        <f>IF(O92+1&lt;=MIN('Données projet'!$E$9:$E$18),O92+1,"STOP")</f>
        <v>60</v>
      </c>
      <c r="P93" s="185">
        <f t="shared" si="5"/>
        <v>10.693351242110978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45">
      <c r="A94" s="180">
        <f>'Données projet'!A97</f>
        <v>144</v>
      </c>
      <c r="B94" s="181">
        <f>'Données projet'!D97</f>
        <v>60.949999999999989</v>
      </c>
      <c r="C94" s="191">
        <v>32.1875</v>
      </c>
      <c r="D94" s="179">
        <f t="shared" si="6"/>
        <v>1961.8281249999995</v>
      </c>
      <c r="E94" s="193">
        <v>60</v>
      </c>
      <c r="F94" s="232"/>
      <c r="G94" s="206"/>
      <c r="H94" s="190"/>
      <c r="I94" s="191"/>
      <c r="J94" s="4"/>
      <c r="K94" s="173"/>
      <c r="L94" s="4"/>
      <c r="M94" s="4"/>
      <c r="N94" s="4"/>
      <c r="O94" s="194">
        <f>IF(O93+1&lt;=MIN('Données projet'!$E$9:$E$18),O93+1,"STOP")</f>
        <v>61</v>
      </c>
      <c r="P94" s="185">
        <f t="shared" si="5"/>
        <v>10.232872002020073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45">
      <c r="A95" s="180">
        <f>'Données projet'!A98</f>
        <v>156</v>
      </c>
      <c r="B95" s="181">
        <f>'Données projet'!D98</f>
        <v>65.69</v>
      </c>
      <c r="C95" s="191">
        <v>32.1875</v>
      </c>
      <c r="D95" s="179">
        <f t="shared" si="6"/>
        <v>2114.3968749999999</v>
      </c>
      <c r="E95" s="193">
        <v>60</v>
      </c>
      <c r="F95" s="232"/>
      <c r="G95" s="206"/>
      <c r="H95" s="190"/>
      <c r="I95" s="191"/>
      <c r="J95" s="4"/>
      <c r="K95" s="173"/>
      <c r="L95" s="4"/>
      <c r="M95" s="4"/>
      <c r="N95" s="4"/>
      <c r="O95" s="194">
        <f>IF(O94+1&lt;=MIN('Données projet'!$E$9:$E$18),O94+1,"STOP")</f>
        <v>62</v>
      </c>
      <c r="P95" s="185">
        <f t="shared" si="5"/>
        <v>9.7922220115024654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45">
      <c r="A96" s="180">
        <f>'Données projet'!A99</f>
        <v>168</v>
      </c>
      <c r="B96" s="181">
        <f>'Données projet'!D99</f>
        <v>71.37</v>
      </c>
      <c r="C96" s="191">
        <v>32.1875</v>
      </c>
      <c r="D96" s="179">
        <f t="shared" si="6"/>
        <v>2297.2218750000002</v>
      </c>
      <c r="E96" s="193">
        <v>60</v>
      </c>
      <c r="F96" s="232"/>
      <c r="G96" s="206"/>
      <c r="H96" s="190"/>
      <c r="I96" s="191"/>
      <c r="J96" s="4"/>
      <c r="K96" s="173"/>
      <c r="L96" s="4"/>
      <c r="M96" s="4"/>
      <c r="N96" s="4"/>
      <c r="O96" s="194">
        <f>IF(O95+1&lt;=MIN('Données projet'!$E$9:$E$18),O95+1,"STOP")</f>
        <v>63</v>
      </c>
      <c r="P96" s="185">
        <f t="shared" si="5"/>
        <v>9.3705473794281957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45">
      <c r="A97" s="180">
        <f>'Données projet'!A100</f>
        <v>180</v>
      </c>
      <c r="B97" s="181">
        <f>'Données projet'!D100</f>
        <v>175.59000000000003</v>
      </c>
      <c r="C97" s="191">
        <v>32.1875</v>
      </c>
      <c r="D97" s="179">
        <f t="shared" si="6"/>
        <v>5651.8031250000013</v>
      </c>
      <c r="E97" s="193">
        <v>60</v>
      </c>
      <c r="F97" s="232"/>
      <c r="G97" s="206"/>
      <c r="H97" s="190"/>
      <c r="I97" s="191"/>
      <c r="J97" s="4"/>
      <c r="K97" s="173"/>
      <c r="L97" s="4"/>
      <c r="M97" s="4"/>
      <c r="N97" s="4"/>
      <c r="O97" s="194">
        <f>IF(O96+1&lt;=MIN('Données projet'!$E$9:$E$18),O96+1,"STOP")</f>
        <v>64</v>
      </c>
      <c r="P97" s="185">
        <f t="shared" ref="P97:P128" si="7">$P$25/(1+$M$4)^O97</f>
        <v>8.9670309850987575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45">
      <c r="A98" s="180">
        <f>'Données projet'!A101</f>
        <v>184</v>
      </c>
      <c r="B98" s="181">
        <f>'Données projet'!D101</f>
        <v>101.19999999999999</v>
      </c>
      <c r="C98" s="191">
        <v>32.1875</v>
      </c>
      <c r="D98" s="179">
        <f t="shared" si="6"/>
        <v>3257.3749999999995</v>
      </c>
      <c r="E98" s="193">
        <v>60</v>
      </c>
      <c r="F98" s="232"/>
      <c r="G98" s="206"/>
      <c r="H98" s="190"/>
      <c r="I98" s="191"/>
      <c r="J98" s="4"/>
      <c r="K98" s="173"/>
      <c r="L98" s="4"/>
      <c r="M98" s="4"/>
      <c r="N98" s="4"/>
      <c r="O98" s="194">
        <f>IF(O97+1&lt;=MIN('Données projet'!$E$9:$E$18),O97+1,"STOP")</f>
        <v>65</v>
      </c>
      <c r="P98" s="185">
        <f t="shared" si="7"/>
        <v>8.5808908948313452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45">
      <c r="A99" s="180">
        <f>'Données projet'!A102</f>
        <v>188</v>
      </c>
      <c r="B99" s="181">
        <f>'Données projet'!D102</f>
        <v>72.180000000000007</v>
      </c>
      <c r="C99" s="191">
        <v>32.1875</v>
      </c>
      <c r="D99" s="179">
        <f t="shared" si="6"/>
        <v>2323.2937500000003</v>
      </c>
      <c r="E99" s="193">
        <v>60</v>
      </c>
      <c r="F99" s="232"/>
      <c r="G99" s="206"/>
      <c r="H99" s="190"/>
      <c r="I99" s="191"/>
      <c r="J99" s="4"/>
      <c r="K99" s="173"/>
      <c r="L99" s="4"/>
      <c r="M99" s="4"/>
      <c r="N99" s="4"/>
      <c r="O99" s="194">
        <f>IF(O98+1&lt;=MIN('Données projet'!$E$9:$E$18),O98+1,"STOP")</f>
        <v>66</v>
      </c>
      <c r="P99" s="185">
        <f t="shared" si="7"/>
        <v>8.2113788467285627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45">
      <c r="A100" s="180">
        <f>'Données projet'!A103</f>
        <v>191</v>
      </c>
      <c r="B100" s="181">
        <f>'Données projet'!D103</f>
        <v>145.01</v>
      </c>
      <c r="C100" s="191">
        <v>32.1875</v>
      </c>
      <c r="D100" s="179">
        <f t="shared" si="6"/>
        <v>4667.5093749999996</v>
      </c>
      <c r="E100" s="193">
        <v>60</v>
      </c>
      <c r="F100" s="232"/>
      <c r="G100" s="206"/>
      <c r="H100" s="190"/>
      <c r="I100" s="191"/>
      <c r="J100" s="4"/>
      <c r="K100" s="173"/>
      <c r="L100" s="4"/>
      <c r="M100" s="4"/>
      <c r="N100" s="4"/>
      <c r="O100" s="194">
        <f>IF(O99+1&lt;=MIN('Données projet'!$E$9:$E$18),O99+1,"STOP")</f>
        <v>67</v>
      </c>
      <c r="P100" s="185">
        <f t="shared" si="7"/>
        <v>7.8577788006971891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45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>
        <f>IF(O100+1&lt;=MIN('Données projet'!$E$9:$E$18),O100+1,"STOP")</f>
        <v>68</v>
      </c>
      <c r="P101" s="185">
        <f t="shared" si="7"/>
        <v>7.5194055509064022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45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>
        <f>IF(O101+1&lt;=MIN('Données projet'!$E$9:$E$18),O101+1,"STOP")</f>
        <v>69</v>
      </c>
      <c r="P102" s="185">
        <f t="shared" si="7"/>
        <v>7.1956033979965577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45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>
        <f>IF(O102+1&lt;=MIN('Données projet'!$E$9:$E$18),O102+1,"STOP")</f>
        <v>70</v>
      </c>
      <c r="P103" s="185">
        <f t="shared" si="7"/>
        <v>6.8857448784656068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45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>
        <f>IF(O103+1&lt;=MIN('Données projet'!$E$9:$E$18),O103+1,"STOP")</f>
        <v>71</v>
      </c>
      <c r="P104" s="185">
        <f t="shared" si="7"/>
        <v>6.5892295487709163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45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>
        <f>IF(O104+1&lt;=MIN('Données projet'!$E$9:$E$18),O104+1,"STOP")</f>
        <v>72</v>
      </c>
      <c r="P105" s="185">
        <f t="shared" si="7"/>
        <v>6.3054828217903518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45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>
        <f>IF(O105+1&lt;=MIN('Données projet'!$E$9:$E$18),O105+1,"STOP")</f>
        <v>73</v>
      </c>
      <c r="P106" s="185">
        <f t="shared" si="7"/>
        <v>6.0339548533878968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45">
      <c r="A107" s="46" t="s">
        <v>168</v>
      </c>
      <c r="B107" s="174" t="str">
        <f>IF('Données projet'!B12="","",'Données projet'!B12)</f>
        <v>Charme</v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>
        <f>IF(O106+1&lt;=MIN('Données projet'!$E$9:$E$18),O106+1,"STOP")</f>
        <v>74</v>
      </c>
      <c r="P107" s="185">
        <f t="shared" si="7"/>
        <v>5.7741194769262174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45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>
        <f>IF(O107+1&lt;=MIN('Données projet'!$E$9:$E$18),O107+1,"STOP")</f>
        <v>75</v>
      </c>
      <c r="P108" s="185">
        <f t="shared" si="7"/>
        <v>5.5254731836614521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45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>
        <f>IF(O108+1&lt;=MIN('Données projet'!$E$9:$E$18),O108+1,"STOP")</f>
        <v>76</v>
      </c>
      <c r="P109" s="185">
        <f t="shared" si="7"/>
        <v>5.287534147044453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45">
      <c r="A110" s="49">
        <v>0</v>
      </c>
      <c r="B110" s="199" t="s">
        <v>132</v>
      </c>
      <c r="C110" s="198" t="s">
        <v>132</v>
      </c>
      <c r="D110" s="197" t="s">
        <v>132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>
        <f>IF(O109+1&lt;=MIN('Données projet'!$E$9:$E$18),O109+1,"STOP")</f>
        <v>77</v>
      </c>
      <c r="P110" s="185">
        <f t="shared" si="7"/>
        <v>5.0598412890377542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45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>
        <f>IF(O110+1&lt;=MIN('Données projet'!$E$9:$E$18),O110+1,"STOP")</f>
        <v>78</v>
      </c>
      <c r="P111" s="185">
        <f t="shared" si="7"/>
        <v>4.841953386639001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45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>
        <f>IF(O111+1&lt;=MIN('Données projet'!$E$9:$E$18),O111+1,"STOP")</f>
        <v>79</v>
      </c>
      <c r="P112" s="185">
        <f t="shared" si="7"/>
        <v>4.633448216879426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45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>
        <f>IF(O112+1&lt;=MIN('Données projet'!$E$9:$E$18),O112+1,"STOP")</f>
        <v>80</v>
      </c>
      <c r="P113" s="185">
        <f t="shared" si="7"/>
        <v>4.4339217386406009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45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str">
        <f>IF(O113+1&lt;=MIN('Données projet'!$E$9:$E$18),O113+1,"STOP")</f>
        <v>STOP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45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45">
      <c r="A116" s="180">
        <f>'Données projet'!A114</f>
        <v>15</v>
      </c>
      <c r="B116" s="181">
        <f>'Données projet'!D114</f>
        <v>32</v>
      </c>
      <c r="C116" s="191">
        <v>11.25</v>
      </c>
      <c r="D116" s="179">
        <f>B116*C116</f>
        <v>360</v>
      </c>
      <c r="E116" s="193">
        <v>60</v>
      </c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45">
      <c r="A117" s="180">
        <f>'Données projet'!A115</f>
        <v>20</v>
      </c>
      <c r="B117" s="181">
        <f>'Données projet'!D115</f>
        <v>35</v>
      </c>
      <c r="C117" s="191">
        <v>11.25</v>
      </c>
      <c r="D117" s="179">
        <f t="shared" ref="D117:D135" si="8">B117*C117</f>
        <v>393.75</v>
      </c>
      <c r="E117" s="193">
        <v>60</v>
      </c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45">
      <c r="A118" s="180">
        <f>'Données projet'!A116</f>
        <v>25</v>
      </c>
      <c r="B118" s="181">
        <f>'Données projet'!D116</f>
        <v>35</v>
      </c>
      <c r="C118" s="191">
        <v>11.25</v>
      </c>
      <c r="D118" s="179">
        <f t="shared" si="8"/>
        <v>393.75</v>
      </c>
      <c r="E118" s="193">
        <v>60</v>
      </c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45">
      <c r="A119" s="180">
        <f>'Données projet'!A117</f>
        <v>30</v>
      </c>
      <c r="B119" s="181">
        <f>'Données projet'!D117</f>
        <v>35</v>
      </c>
      <c r="C119" s="191">
        <v>18.125</v>
      </c>
      <c r="D119" s="179">
        <f t="shared" si="8"/>
        <v>634.375</v>
      </c>
      <c r="E119" s="193">
        <v>60</v>
      </c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45">
      <c r="A120" s="180">
        <f>'Données projet'!A118</f>
        <v>35</v>
      </c>
      <c r="B120" s="181">
        <f>'Données projet'!D118</f>
        <v>35</v>
      </c>
      <c r="C120" s="191">
        <v>18.125</v>
      </c>
      <c r="D120" s="179">
        <f t="shared" si="8"/>
        <v>634.375</v>
      </c>
      <c r="E120" s="193">
        <v>60</v>
      </c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45">
      <c r="A121" s="180">
        <f>'Données projet'!A119</f>
        <v>40</v>
      </c>
      <c r="B121" s="181">
        <f>'Données projet'!D119</f>
        <v>35</v>
      </c>
      <c r="C121" s="191">
        <v>18.125</v>
      </c>
      <c r="D121" s="179">
        <f t="shared" si="8"/>
        <v>634.375</v>
      </c>
      <c r="E121" s="193">
        <v>60</v>
      </c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45">
      <c r="A122" s="180">
        <f>'Données projet'!A120</f>
        <v>45</v>
      </c>
      <c r="B122" s="181">
        <f>'Données projet'!D120</f>
        <v>24</v>
      </c>
      <c r="C122" s="191">
        <v>18.125</v>
      </c>
      <c r="D122" s="179">
        <f t="shared" si="8"/>
        <v>435</v>
      </c>
      <c r="E122" s="193">
        <v>60</v>
      </c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45">
      <c r="A123" s="180">
        <f>'Données projet'!A121</f>
        <v>50</v>
      </c>
      <c r="B123" s="181">
        <f>'Données projet'!D121</f>
        <v>19</v>
      </c>
      <c r="C123" s="191">
        <v>18.125</v>
      </c>
      <c r="D123" s="179">
        <f t="shared" si="8"/>
        <v>344.375</v>
      </c>
      <c r="E123" s="193">
        <v>60</v>
      </c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45">
      <c r="A124" s="180">
        <f>'Données projet'!A122</f>
        <v>55</v>
      </c>
      <c r="B124" s="181">
        <f>'Données projet'!D122</f>
        <v>16</v>
      </c>
      <c r="C124" s="191">
        <v>32.1875</v>
      </c>
      <c r="D124" s="179">
        <f t="shared" si="8"/>
        <v>515</v>
      </c>
      <c r="E124" s="193">
        <v>60</v>
      </c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45">
      <c r="A125" s="180">
        <f>'Données projet'!A123</f>
        <v>60</v>
      </c>
      <c r="B125" s="181">
        <f>'Données projet'!D123</f>
        <v>14</v>
      </c>
      <c r="C125" s="191">
        <v>32.1875</v>
      </c>
      <c r="D125" s="179">
        <f t="shared" si="8"/>
        <v>450.625</v>
      </c>
      <c r="E125" s="193">
        <v>60</v>
      </c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45">
      <c r="A126" s="180">
        <f>'Données projet'!A124</f>
        <v>65</v>
      </c>
      <c r="B126" s="181">
        <f>'Données projet'!D124</f>
        <v>13</v>
      </c>
      <c r="C126" s="191">
        <v>32.1875</v>
      </c>
      <c r="D126" s="179">
        <f t="shared" si="8"/>
        <v>418.4375</v>
      </c>
      <c r="E126" s="193">
        <v>60</v>
      </c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45">
      <c r="A127" s="180">
        <f>'Données projet'!A125</f>
        <v>70</v>
      </c>
      <c r="B127" s="181">
        <f>'Données projet'!D125</f>
        <v>13</v>
      </c>
      <c r="C127" s="191">
        <v>32.1875</v>
      </c>
      <c r="D127" s="179">
        <f t="shared" si="8"/>
        <v>418.4375</v>
      </c>
      <c r="E127" s="193">
        <v>60</v>
      </c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45">
      <c r="A128" s="180">
        <f>'Données projet'!A126</f>
        <v>75</v>
      </c>
      <c r="B128" s="181">
        <f>'Données projet'!D126</f>
        <v>12</v>
      </c>
      <c r="C128" s="191">
        <v>32.1875</v>
      </c>
      <c r="D128" s="179">
        <f t="shared" si="8"/>
        <v>386.25</v>
      </c>
      <c r="E128" s="193">
        <v>60</v>
      </c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45">
      <c r="A129" s="180">
        <f>'Données projet'!A127</f>
        <v>80</v>
      </c>
      <c r="B129" s="181">
        <f>'Données projet'!D127</f>
        <v>330</v>
      </c>
      <c r="C129" s="191">
        <v>32.1875</v>
      </c>
      <c r="D129" s="179">
        <f t="shared" si="8"/>
        <v>10621.875</v>
      </c>
      <c r="E129" s="193">
        <v>60</v>
      </c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45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45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45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45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45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45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45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45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45">
      <c r="A138" s="46" t="s">
        <v>169</v>
      </c>
      <c r="B138" s="174" t="str">
        <f>IF('Données projet'!B13="","",'Données projet'!B13)</f>
        <v>Erable champêtre</v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45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45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45">
      <c r="A141" s="49">
        <v>0</v>
      </c>
      <c r="B141" s="199" t="s">
        <v>132</v>
      </c>
      <c r="C141" s="198" t="s">
        <v>132</v>
      </c>
      <c r="D141" s="197" t="s">
        <v>132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45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45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45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45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45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45">
      <c r="A147" s="42">
        <f>'Données projet'!A140</f>
        <v>15</v>
      </c>
      <c r="B147" s="175">
        <f>'Données projet'!D140</f>
        <v>32</v>
      </c>
      <c r="C147" s="191">
        <v>11.25</v>
      </c>
      <c r="D147" s="182">
        <f>B147*C147</f>
        <v>360</v>
      </c>
      <c r="E147" s="193">
        <v>60</v>
      </c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45">
      <c r="A148" s="42">
        <f>'Données projet'!A141</f>
        <v>20</v>
      </c>
      <c r="B148" s="175">
        <f>'Données projet'!D141</f>
        <v>35</v>
      </c>
      <c r="C148" s="191">
        <v>11.25</v>
      </c>
      <c r="D148" s="182">
        <f t="shared" ref="D148:D166" si="10">B148*C148</f>
        <v>393.75</v>
      </c>
      <c r="E148" s="193">
        <v>60</v>
      </c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45">
      <c r="A149" s="42">
        <f>'Données projet'!A142</f>
        <v>25</v>
      </c>
      <c r="B149" s="175">
        <f>'Données projet'!D142</f>
        <v>35</v>
      </c>
      <c r="C149" s="191">
        <v>11.25</v>
      </c>
      <c r="D149" s="182">
        <f t="shared" si="10"/>
        <v>393.75</v>
      </c>
      <c r="E149" s="193">
        <v>60</v>
      </c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45">
      <c r="A150" s="42">
        <f>'Données projet'!A143</f>
        <v>30</v>
      </c>
      <c r="B150" s="175">
        <f>'Données projet'!D143</f>
        <v>35</v>
      </c>
      <c r="C150" s="191">
        <v>18.125</v>
      </c>
      <c r="D150" s="182">
        <f t="shared" si="10"/>
        <v>634.375</v>
      </c>
      <c r="E150" s="193">
        <v>60</v>
      </c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45">
      <c r="A151" s="42">
        <f>'Données projet'!A144</f>
        <v>35</v>
      </c>
      <c r="B151" s="175">
        <f>'Données projet'!D144</f>
        <v>35</v>
      </c>
      <c r="C151" s="191">
        <v>18.125</v>
      </c>
      <c r="D151" s="182">
        <f t="shared" si="10"/>
        <v>634.375</v>
      </c>
      <c r="E151" s="193">
        <v>60</v>
      </c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45">
      <c r="A152" s="42">
        <f>'Données projet'!A145</f>
        <v>40</v>
      </c>
      <c r="B152" s="175">
        <f>'Données projet'!D145</f>
        <v>35</v>
      </c>
      <c r="C152" s="191">
        <v>18.125</v>
      </c>
      <c r="D152" s="182">
        <f t="shared" si="10"/>
        <v>634.375</v>
      </c>
      <c r="E152" s="193">
        <v>60</v>
      </c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45">
      <c r="A153" s="42">
        <f>'Données projet'!A146</f>
        <v>45</v>
      </c>
      <c r="B153" s="175">
        <f>'Données projet'!D146</f>
        <v>24</v>
      </c>
      <c r="C153" s="191">
        <v>18.125</v>
      </c>
      <c r="D153" s="182">
        <f t="shared" si="10"/>
        <v>435</v>
      </c>
      <c r="E153" s="193">
        <v>60</v>
      </c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45">
      <c r="A154" s="42">
        <f>'Données projet'!A147</f>
        <v>50</v>
      </c>
      <c r="B154" s="175">
        <f>'Données projet'!D147</f>
        <v>19</v>
      </c>
      <c r="C154" s="191">
        <v>18.125</v>
      </c>
      <c r="D154" s="182">
        <f t="shared" si="10"/>
        <v>344.375</v>
      </c>
      <c r="E154" s="193">
        <v>60</v>
      </c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45">
      <c r="A155" s="42">
        <f>'Données projet'!A148</f>
        <v>55</v>
      </c>
      <c r="B155" s="175">
        <f>'Données projet'!D148</f>
        <v>16</v>
      </c>
      <c r="C155" s="191">
        <v>32.1875</v>
      </c>
      <c r="D155" s="182">
        <f t="shared" si="10"/>
        <v>515</v>
      </c>
      <c r="E155" s="193">
        <v>60</v>
      </c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45">
      <c r="A156" s="42">
        <f>'Données projet'!A149</f>
        <v>60</v>
      </c>
      <c r="B156" s="175">
        <f>'Données projet'!D149</f>
        <v>14</v>
      </c>
      <c r="C156" s="191">
        <v>32.1875</v>
      </c>
      <c r="D156" s="182">
        <f t="shared" si="10"/>
        <v>450.625</v>
      </c>
      <c r="E156" s="193">
        <v>60</v>
      </c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45">
      <c r="A157" s="42">
        <f>'Données projet'!A150</f>
        <v>65</v>
      </c>
      <c r="B157" s="175">
        <f>'Données projet'!D150</f>
        <v>13</v>
      </c>
      <c r="C157" s="191">
        <v>32.1875</v>
      </c>
      <c r="D157" s="182">
        <f t="shared" si="10"/>
        <v>418.4375</v>
      </c>
      <c r="E157" s="193">
        <v>60</v>
      </c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45">
      <c r="A158" s="42">
        <f>'Données projet'!A151</f>
        <v>70</v>
      </c>
      <c r="B158" s="175">
        <f>'Données projet'!D151</f>
        <v>13</v>
      </c>
      <c r="C158" s="191">
        <v>32.1875</v>
      </c>
      <c r="D158" s="182">
        <f t="shared" si="10"/>
        <v>418.4375</v>
      </c>
      <c r="E158" s="193">
        <v>60</v>
      </c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45">
      <c r="A159" s="42">
        <f>'Données projet'!A152</f>
        <v>75</v>
      </c>
      <c r="B159" s="175">
        <f>'Données projet'!D152</f>
        <v>12</v>
      </c>
      <c r="C159" s="191">
        <v>32.1875</v>
      </c>
      <c r="D159" s="182">
        <f t="shared" si="10"/>
        <v>386.25</v>
      </c>
      <c r="E159" s="193">
        <v>60</v>
      </c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45">
      <c r="A160" s="42">
        <f>'Données projet'!A153</f>
        <v>80</v>
      </c>
      <c r="B160" s="175">
        <f>'Données projet'!D153</f>
        <v>330</v>
      </c>
      <c r="C160" s="191">
        <v>32.1875</v>
      </c>
      <c r="D160" s="182">
        <f t="shared" si="10"/>
        <v>10621.875</v>
      </c>
      <c r="E160" s="193">
        <v>60</v>
      </c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45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45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45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45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45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45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45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45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45">
      <c r="A169" s="46" t="s">
        <v>170</v>
      </c>
      <c r="B169" s="174" t="str">
        <f>IF('Données projet'!B14="","",'Données projet'!B14)</f>
        <v>Merisier</v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45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45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45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45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45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45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45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45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45">
      <c r="A178" s="180">
        <f>'Données projet'!A166</f>
        <v>15</v>
      </c>
      <c r="B178" s="181">
        <f>'Données projet'!D166</f>
        <v>32</v>
      </c>
      <c r="C178" s="193">
        <v>11.25</v>
      </c>
      <c r="D178" s="179">
        <f>B178*C178</f>
        <v>360</v>
      </c>
      <c r="E178" s="193">
        <v>60</v>
      </c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45">
      <c r="A179" s="180">
        <f>'Données projet'!A167</f>
        <v>20</v>
      </c>
      <c r="B179" s="181">
        <f>'Données projet'!D167</f>
        <v>35</v>
      </c>
      <c r="C179" s="193">
        <v>11.25</v>
      </c>
      <c r="D179" s="179">
        <f t="shared" ref="D179:D197" si="11">B179*C179</f>
        <v>393.75</v>
      </c>
      <c r="E179" s="193">
        <v>60</v>
      </c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45">
      <c r="A180" s="180">
        <f>'Données projet'!A168</f>
        <v>25</v>
      </c>
      <c r="B180" s="181">
        <f>'Données projet'!D168</f>
        <v>35</v>
      </c>
      <c r="C180" s="193">
        <v>11.25</v>
      </c>
      <c r="D180" s="179">
        <f t="shared" si="11"/>
        <v>393.75</v>
      </c>
      <c r="E180" s="193">
        <v>60</v>
      </c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45">
      <c r="A181" s="180">
        <f>'Données projet'!A169</f>
        <v>30</v>
      </c>
      <c r="B181" s="181">
        <f>'Données projet'!D169</f>
        <v>35</v>
      </c>
      <c r="C181" s="193">
        <v>18.125</v>
      </c>
      <c r="D181" s="179">
        <f t="shared" si="11"/>
        <v>634.375</v>
      </c>
      <c r="E181" s="193">
        <v>60</v>
      </c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45">
      <c r="A182" s="180">
        <f>'Données projet'!A170</f>
        <v>35</v>
      </c>
      <c r="B182" s="181">
        <f>'Données projet'!D170</f>
        <v>35</v>
      </c>
      <c r="C182" s="193">
        <v>18.125</v>
      </c>
      <c r="D182" s="179">
        <f t="shared" si="11"/>
        <v>634.375</v>
      </c>
      <c r="E182" s="193">
        <v>60</v>
      </c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45">
      <c r="A183" s="180">
        <f>'Données projet'!A171</f>
        <v>40</v>
      </c>
      <c r="B183" s="181">
        <f>'Données projet'!D171</f>
        <v>35</v>
      </c>
      <c r="C183" s="193">
        <v>18.125</v>
      </c>
      <c r="D183" s="179">
        <f t="shared" si="11"/>
        <v>634.375</v>
      </c>
      <c r="E183" s="193">
        <v>60</v>
      </c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45">
      <c r="A184" s="180">
        <f>'Données projet'!A172</f>
        <v>45</v>
      </c>
      <c r="B184" s="181">
        <f>'Données projet'!D172</f>
        <v>24</v>
      </c>
      <c r="C184" s="193">
        <v>18.125</v>
      </c>
      <c r="D184" s="179">
        <f t="shared" si="11"/>
        <v>435</v>
      </c>
      <c r="E184" s="193">
        <v>60</v>
      </c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45">
      <c r="A185" s="180">
        <f>'Données projet'!A173</f>
        <v>50</v>
      </c>
      <c r="B185" s="181">
        <f>'Données projet'!D173</f>
        <v>19</v>
      </c>
      <c r="C185" s="193">
        <v>18.125</v>
      </c>
      <c r="D185" s="179">
        <f t="shared" si="11"/>
        <v>344.375</v>
      </c>
      <c r="E185" s="193">
        <v>60</v>
      </c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45">
      <c r="A186" s="180">
        <f>'Données projet'!A174</f>
        <v>55</v>
      </c>
      <c r="B186" s="181">
        <f>'Données projet'!D174</f>
        <v>16</v>
      </c>
      <c r="C186" s="193">
        <v>32.1875</v>
      </c>
      <c r="D186" s="179">
        <f t="shared" si="11"/>
        <v>515</v>
      </c>
      <c r="E186" s="193">
        <v>60</v>
      </c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45">
      <c r="A187" s="180">
        <f>'Données projet'!A175</f>
        <v>60</v>
      </c>
      <c r="B187" s="181">
        <f>'Données projet'!D175</f>
        <v>14</v>
      </c>
      <c r="C187" s="193">
        <v>32.1875</v>
      </c>
      <c r="D187" s="179">
        <f t="shared" si="11"/>
        <v>450.625</v>
      </c>
      <c r="E187" s="193">
        <v>60</v>
      </c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45">
      <c r="A188" s="180">
        <f>'Données projet'!A176</f>
        <v>65</v>
      </c>
      <c r="B188" s="181">
        <f>'Données projet'!D176</f>
        <v>13</v>
      </c>
      <c r="C188" s="193">
        <v>32.1875</v>
      </c>
      <c r="D188" s="179">
        <f t="shared" si="11"/>
        <v>418.4375</v>
      </c>
      <c r="E188" s="193">
        <v>60</v>
      </c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45">
      <c r="A189" s="180">
        <f>'Données projet'!A177</f>
        <v>70</v>
      </c>
      <c r="B189" s="181">
        <f>'Données projet'!D177</f>
        <v>13</v>
      </c>
      <c r="C189" s="193">
        <v>32.1875</v>
      </c>
      <c r="D189" s="179">
        <f t="shared" si="11"/>
        <v>418.4375</v>
      </c>
      <c r="E189" s="193">
        <v>60</v>
      </c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45">
      <c r="A190" s="180">
        <f>'Données projet'!A178</f>
        <v>75</v>
      </c>
      <c r="B190" s="181">
        <f>'Données projet'!D178</f>
        <v>12</v>
      </c>
      <c r="C190" s="193">
        <v>32.1875</v>
      </c>
      <c r="D190" s="179">
        <f t="shared" si="11"/>
        <v>386.25</v>
      </c>
      <c r="E190" s="193">
        <v>60</v>
      </c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45">
      <c r="A191" s="180">
        <f>'Données projet'!A179</f>
        <v>80</v>
      </c>
      <c r="B191" s="181">
        <f>'Données projet'!D179</f>
        <v>330</v>
      </c>
      <c r="C191" s="193">
        <v>32.1875</v>
      </c>
      <c r="D191" s="179">
        <f t="shared" si="11"/>
        <v>10621.875</v>
      </c>
      <c r="E191" s="193">
        <v>60</v>
      </c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45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45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45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45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45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45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45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45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45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45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45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45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45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45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45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45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45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45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45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45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45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45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45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45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45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45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45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45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45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45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45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45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45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45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45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45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45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45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45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45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45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45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45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45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45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45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45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45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45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45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45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45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45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45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45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45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45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45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45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45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45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45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45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45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45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45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45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45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45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45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45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45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45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45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45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45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45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45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45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45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45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45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45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45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45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45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45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45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45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45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45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45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45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45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45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45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45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45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45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45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45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45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45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45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45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45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45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45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45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45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45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45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45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45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45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45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45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45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45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45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45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45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45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45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45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45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45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45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45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45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45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45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45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45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45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45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4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4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4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4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4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4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4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4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4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4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4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4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4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4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4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4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4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4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4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4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4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4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4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4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4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4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4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4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4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4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4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4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4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4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4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4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4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4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4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4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4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4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4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4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4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4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4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4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4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4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4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4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4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4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4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4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4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4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4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4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4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4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4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4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4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4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4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4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4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4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4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4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4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4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4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4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4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4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4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4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4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4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4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4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4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4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4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4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4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4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4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4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4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4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4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4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4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4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4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4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4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4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4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4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4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4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4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4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4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4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4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4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4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4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4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4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4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4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4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4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4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4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4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4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4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4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4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4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4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4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4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4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4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4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4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4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4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4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4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4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4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4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4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4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4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4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4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4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4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4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4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4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4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4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4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4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4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4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4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4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4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4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4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4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4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4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4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4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4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4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4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4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4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4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4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4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4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4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4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4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4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4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4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4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4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4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4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4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4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4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4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4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4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4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4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4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4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4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4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4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4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4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4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4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4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4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4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4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4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4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4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4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4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4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4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4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4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4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4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4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4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4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4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4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4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382d34-9bb8-44b7-b653-fe70b92f328c" xsi:nil="true"/>
    <lcf76f155ced4ddcb4097134ff3c332f xmlns="0b31a522-a3bf-48c4-bec5-a17f159ba481">
      <Terms xmlns="http://schemas.microsoft.com/office/infopath/2007/PartnerControls"/>
    </lcf76f155ced4ddcb4097134ff3c332f>
    <_Flow_SignoffStatus xmlns="0b31a522-a3bf-48c4-bec5-a17f159ba481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6884909D472E4887D0D71289C24DC5" ma:contentTypeVersion="15" ma:contentTypeDescription="Create a new document." ma:contentTypeScope="" ma:versionID="a73ee3bb35a9bd7478c61e6e8e2bc4ee">
  <xsd:schema xmlns:xsd="http://www.w3.org/2001/XMLSchema" xmlns:xs="http://www.w3.org/2001/XMLSchema" xmlns:p="http://schemas.microsoft.com/office/2006/metadata/properties" xmlns:ns2="0b31a522-a3bf-48c4-bec5-a17f159ba481" xmlns:ns3="e2382d34-9bb8-44b7-b653-fe70b92f328c" targetNamespace="http://schemas.microsoft.com/office/2006/metadata/properties" ma:root="true" ma:fieldsID="0e87dbacb70e8a9550b50faea6e54f53" ns2:_="" ns3:_="">
    <xsd:import namespace="0b31a522-a3bf-48c4-bec5-a17f159ba481"/>
    <xsd:import namespace="e2382d34-9bb8-44b7-b653-fe70b92f328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_Flow_SignoffStatu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31a522-a3bf-48c4-bec5-a17f159ba48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d1090b2c-5079-4c1b-ae3e-0f22ffb919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21" nillable="true" ma:displayName="Sign-off status" ma:internalName="Sign_x002d_off_x0020_status">
      <xsd:simpleType>
        <xsd:restriction base="dms:Text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382d34-9bb8-44b7-b653-fe70b92f328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ea42f30-ac50-40fe-8b72-1112505a2dd8}" ma:internalName="TaxCatchAll" ma:showField="CatchAllData" ma:web="e2382d34-9bb8-44b7-b653-fe70b92f32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A6861AC-80B4-4803-8030-7424409AD984}">
  <ds:schemaRefs>
    <ds:schemaRef ds:uri="http://schemas.microsoft.com/office/2006/metadata/properties"/>
    <ds:schemaRef ds:uri="http://schemas.microsoft.com/office/infopath/2007/PartnerControls"/>
    <ds:schemaRef ds:uri="e2382d34-9bb8-44b7-b653-fe70b92f328c"/>
    <ds:schemaRef ds:uri="0b31a522-a3bf-48c4-bec5-a17f159ba481"/>
  </ds:schemaRefs>
</ds:datastoreItem>
</file>

<file path=customXml/itemProps2.xml><?xml version="1.0" encoding="utf-8"?>
<ds:datastoreItem xmlns:ds="http://schemas.openxmlformats.org/officeDocument/2006/customXml" ds:itemID="{97375F83-DE23-4706-80ED-4A8DA07E8E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6B83D90-FE1A-4F7B-8980-3D35DFD8233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b31a522-a3bf-48c4-bec5-a17f159ba481"/>
    <ds:schemaRef ds:uri="e2382d34-9bb8-44b7-b653-fe70b92f328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Lucas ELLENS</cp:lastModifiedBy>
  <dcterms:created xsi:type="dcterms:W3CDTF">2021-02-01T08:22:39Z</dcterms:created>
  <dcterms:modified xsi:type="dcterms:W3CDTF">2023-12-20T14:37:55Z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0x010100A36884909D472E4887D0D71289C24DC5</vt:lpwstr>
  </property>
  <property fmtid="{D5CDD505-2E9C-101B-9397-08002B2CF9AE}" pid="3" name="Order">
    <vt:r8>2102600</vt:r8>
  </property>
  <property fmtid="{D5CDD505-2E9C-101B-9397-08002B2CF9AE}" pid="4" name="MediaServiceImageTags">
    <vt:lpwstr/>
  </property>
</Properties>
</file>