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Hippolyte.Reignier\Documents\1_Projets\_Déposés\30 - Le Garn\"/>
    </mc:Choice>
  </mc:AlternateContent>
  <bookViews>
    <workbookView xWindow="0" yWindow="0" windowWidth="11748" windowHeight="531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3" i="1" l="1"/>
  <c r="B153" i="1"/>
  <c r="B146" i="1"/>
  <c r="D145" i="1"/>
  <c r="B145" i="1"/>
  <c r="B144" i="1"/>
  <c r="D143" i="1"/>
  <c r="B143" i="1"/>
  <c r="B142" i="1"/>
  <c r="D141" i="1"/>
  <c r="B141" i="1"/>
  <c r="B140" i="1"/>
  <c r="D172" i="1"/>
  <c r="B172" i="1"/>
  <c r="D171" i="1"/>
  <c r="B171" i="1"/>
  <c r="B170" i="1"/>
  <c r="D170" i="1" s="1"/>
  <c r="B169" i="1"/>
  <c r="D169" i="1" s="1"/>
  <c r="D168" i="1"/>
  <c r="B168" i="1"/>
  <c r="D167" i="1"/>
  <c r="B167" i="1"/>
  <c r="B16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A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D200" i="2"/>
  <c r="EB201" i="2"/>
  <c r="EA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129" i="2" l="1" a="1"/>
  <c r="CS129" i="2" s="1"/>
  <c r="CS114" i="2" a="1"/>
  <c r="CS114" i="2" s="1"/>
  <c r="CS52" i="2" a="1"/>
  <c r="CS52" i="2" s="1"/>
  <c r="CS38" i="2" a="1"/>
  <c r="CS38" i="2" s="1"/>
  <c r="CS116" i="2" a="1"/>
  <c r="CS116" i="2" s="1"/>
  <c r="CS66" i="2" a="1"/>
  <c r="CS66" i="2" s="1"/>
  <c r="CS161" i="2" a="1"/>
  <c r="CS161" i="2" s="1"/>
  <c r="CS77" i="2" a="1"/>
  <c r="CS77" i="2" s="1"/>
  <c r="BP203" i="2"/>
  <c r="AH151" i="2" a="1"/>
  <c r="AH151" i="2" s="1"/>
  <c r="AH62" i="2" a="1"/>
  <c r="AH62" i="2" s="1"/>
  <c r="AH19" i="2" a="1"/>
  <c r="AH19" i="2" s="1"/>
  <c r="AH90" i="2" a="1"/>
  <c r="AH90" i="2" s="1"/>
  <c r="AH166" i="2" a="1"/>
  <c r="AH166" i="2" s="1"/>
  <c r="AH92" i="2" a="1"/>
  <c r="AH92" i="2" s="1"/>
  <c r="AH199" i="2" a="1"/>
  <c r="AH199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47" i="2" l="1"/>
  <c r="CD31" i="2"/>
  <c r="CD134" i="2"/>
  <c r="CD92" i="2"/>
  <c r="CD129" i="2"/>
  <c r="CD107" i="2"/>
  <c r="CD82" i="2"/>
  <c r="CD50" i="2"/>
  <c r="CD154" i="2"/>
  <c r="CD176" i="2"/>
  <c r="CD41" i="2"/>
  <c r="CD85" i="2"/>
  <c r="CD184" i="2"/>
  <c r="CD44" i="2"/>
  <c r="CD26" i="2"/>
  <c r="CD104" i="2"/>
  <c r="CD128" i="2"/>
  <c r="CD6" i="2"/>
  <c r="CD90" i="2"/>
  <c r="CD63" i="2"/>
  <c r="CD171" i="2"/>
  <c r="CD148" i="2"/>
  <c r="CD186" i="2"/>
  <c r="CD55" i="2"/>
  <c r="CD136" i="2"/>
  <c r="CD13" i="2"/>
  <c r="CD115" i="2"/>
  <c r="CD21" i="2"/>
  <c r="CD61" i="2"/>
  <c r="CD194" i="2"/>
  <c r="CD37" i="2"/>
  <c r="CD150" i="2"/>
  <c r="CD109" i="2"/>
  <c r="CD34" i="2"/>
  <c r="CD96" i="2"/>
  <c r="CD133" i="2"/>
  <c r="CD192" i="2"/>
  <c r="CD101" i="2"/>
  <c r="CD19" i="2"/>
  <c r="CD125" i="2"/>
  <c r="CD9" i="2"/>
  <c r="CD169" i="2"/>
  <c r="CD14" i="2"/>
  <c r="CD58" i="2"/>
  <c r="CD122" i="2"/>
  <c r="CD60" i="2"/>
  <c r="CD132" i="2"/>
  <c r="CD189" i="2"/>
  <c r="CD17" i="2"/>
  <c r="CD75" i="2"/>
  <c r="CD199" i="2"/>
  <c r="CD84" i="2"/>
  <c r="CD33" i="2"/>
  <c r="CD138" i="2"/>
  <c r="CD118" i="2"/>
  <c r="CD97" i="2"/>
  <c r="CD69" i="2"/>
  <c r="CD18" i="2"/>
  <c r="CD200" i="2"/>
  <c r="CD79" i="2"/>
  <c r="CD168" i="2"/>
  <c r="CD77" i="2"/>
  <c r="CD165" i="2"/>
  <c r="CD72" i="2"/>
  <c r="CD88" i="2"/>
  <c r="CD105" i="2"/>
  <c r="CD42" i="2"/>
  <c r="CD152" i="2"/>
  <c r="CD30" i="2"/>
  <c r="CD12" i="2"/>
  <c r="CD89" i="2"/>
  <c r="CD62" i="2"/>
  <c r="CD95" i="2"/>
  <c r="CD158" i="2"/>
  <c r="CD106" i="2"/>
  <c r="CD198" i="2"/>
  <c r="CD46" i="2"/>
  <c r="CD67" i="2"/>
  <c r="CD172" i="2"/>
  <c r="CD203" i="2"/>
  <c r="CD151" i="2"/>
  <c r="CD121" i="2"/>
  <c r="CD8" i="2"/>
  <c r="CD94" i="2"/>
  <c r="CD175" i="2"/>
  <c r="CD71" i="2"/>
  <c r="CD183" i="2"/>
  <c r="CD188" i="2"/>
  <c r="CD73" i="2"/>
  <c r="CD159" i="2"/>
  <c r="CD170" i="2"/>
  <c r="CD65" i="2"/>
  <c r="CD197" i="2"/>
  <c r="CD102" i="2"/>
  <c r="CD180" i="2"/>
  <c r="CD4" i="2"/>
  <c r="CD155" i="2"/>
  <c r="CD119" i="2"/>
  <c r="CD164" i="2"/>
  <c r="CD177" i="2"/>
  <c r="CD123" i="2"/>
  <c r="CD29" i="2"/>
  <c r="CD160" i="2"/>
  <c r="CD22" i="2"/>
  <c r="CD36" i="2"/>
  <c r="CD112" i="2"/>
  <c r="CD16" i="2"/>
  <c r="CD167" i="2"/>
  <c r="CD7" i="2"/>
  <c r="CD27" i="2"/>
  <c r="CD179" i="2"/>
  <c r="CD38" i="2"/>
  <c r="CD120" i="2"/>
  <c r="CD70" i="2"/>
  <c r="CD39" i="2"/>
  <c r="CD187" i="2"/>
  <c r="CD185" i="2"/>
  <c r="CD157" i="2"/>
  <c r="CD141" i="2"/>
  <c r="CD43" i="2"/>
  <c r="CD163" i="2"/>
  <c r="CD64" i="2"/>
  <c r="CD59" i="2"/>
  <c r="CD10" i="2"/>
  <c r="CD156" i="2"/>
  <c r="CD144" i="2"/>
  <c r="CD130" i="2"/>
  <c r="CD86" i="2"/>
  <c r="CD45" i="2"/>
  <c r="CD162" i="2"/>
  <c r="CD153" i="2"/>
  <c r="CD15" i="2"/>
  <c r="CD68" i="2"/>
  <c r="CD117" i="2"/>
  <c r="CD142" i="2"/>
  <c r="CD28" i="2"/>
  <c r="CD146" i="2"/>
  <c r="CD111" i="2"/>
  <c r="CD143" i="2"/>
  <c r="CD66" i="2"/>
  <c r="CD201" i="2"/>
  <c r="CD178" i="2"/>
  <c r="CD76" i="2"/>
  <c r="CD53" i="2"/>
  <c r="CD173" i="2"/>
  <c r="CD40" i="2"/>
  <c r="CD147" i="2"/>
  <c r="CD25" i="2"/>
  <c r="CD78" i="2"/>
  <c r="CD57" i="2"/>
  <c r="CD48" i="2"/>
  <c r="CD103" i="2"/>
  <c r="CD127" i="2"/>
  <c r="CD100" i="2"/>
  <c r="CD81" i="2"/>
  <c r="CD202" i="2"/>
  <c r="CD98" i="2"/>
  <c r="CD135" i="2"/>
  <c r="CD83" i="2"/>
  <c r="CD113" i="2"/>
  <c r="CD87" i="2"/>
  <c r="CD161" i="2"/>
  <c r="CD140" i="2"/>
  <c r="CD35" i="2"/>
  <c r="CD80" i="2"/>
  <c r="CD52" i="2"/>
  <c r="CD126" i="2"/>
  <c r="CD139" i="2"/>
  <c r="CD93" i="2"/>
  <c r="CD190" i="2"/>
  <c r="CD137" i="2"/>
  <c r="CD54" i="2"/>
  <c r="CD91" i="2"/>
  <c r="CD182" i="2"/>
  <c r="CD51" i="2"/>
  <c r="CD99" i="2"/>
  <c r="CD74" i="2"/>
  <c r="CD149" i="2"/>
  <c r="CD114" i="2"/>
  <c r="CD174" i="2"/>
  <c r="CD195" i="2"/>
  <c r="CD32" i="2"/>
  <c r="CD181" i="2"/>
  <c r="CD166" i="2"/>
  <c r="CD116" i="2"/>
  <c r="CD56" i="2"/>
  <c r="CD5" i="2"/>
  <c r="CD108" i="2"/>
  <c r="CD23" i="2"/>
  <c r="CD11" i="2"/>
  <c r="CD3" i="2"/>
  <c r="C9" i="4" s="1"/>
  <c r="E9" i="4" s="1"/>
  <c r="F9" i="4" s="1"/>
  <c r="G9" i="4" s="1"/>
  <c r="L9" i="4" s="1"/>
  <c r="CD20" i="2"/>
  <c r="CD131" i="2"/>
  <c r="CD110" i="2"/>
  <c r="CD193" i="2"/>
  <c r="CD24" i="2"/>
  <c r="CD145" i="2"/>
  <c r="CD196" i="2"/>
  <c r="CD191" i="2"/>
  <c r="CD49" i="2"/>
  <c r="CD124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<sst xmlns="http://schemas.openxmlformats.org/spreadsheetml/2006/main" count="1176" uniqueCount="326">
  <si>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</si>
  <si>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</si>
  <si>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</si>
  <si>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</si>
  <si>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</si>
  <si>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</si>
  <si>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</si>
  <si>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</si>
  <si>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</si>
  <si>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</si>
  <si>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</si>
  <si>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</si>
  <si>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</si>
  <si>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</si>
  <si>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</si>
  <si>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</si>
  <si>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</si>
  <si>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</si>
  <si>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</si>
  <si>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</si>
  <si>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</si>
  <si>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</si>
  <si>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</si>
  <si>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</si>
  <si>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</si>
  <si>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</si>
  <si>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</si>
  <si>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</si>
  <si>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</si>
  <si>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</si>
  <si>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</si>
  <si>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</si>
  <si>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</si>
  <si>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</si>
  <si>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</si>
  <si>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</si>
  <si>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</si>
  <si>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</si>
  <si>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</si>
  <si>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</si>
  <si>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</si>
  <si>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</si>
  <si>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</si>
  <si>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</si>
  <si>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</si>
  <si>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</si>
  <si>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</si>
  <si>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</si>
  <si>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</si>
  <si>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</si>
  <si>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</si>
  <si>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</si>
  <si>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</si>
  <si>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</si>
  <si>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</si>
  <si>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</si>
  <si>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</si>
  <si>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</si>
  <si>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</si>
  <si>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</si>
  <si>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</si>
  <si>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</si>
  <si>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</si>
  <si>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</si>
  <si>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</si>
  <si>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</si>
  <si>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</si>
  <si>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</si>
  <si>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</si>
  <si>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</si>
  <si>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</si>
  <si>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</si>
  <si>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</si>
  <si>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</si>
  <si>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</si>
  <si>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</si>
  <si>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</si>
  <si>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</si>
  <si>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</si>
  <si>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</si>
  <si>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</si>
  <si>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</si>
  <si>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</si>
  <si>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</si>
  <si>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</si>
  <si>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</si>
  <si>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</si>
  <si>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</si>
  <si>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</si>
  <si>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</si>
  <si>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</si>
  <si>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</si>
  <si>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</si>
  <si>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</si>
  <si>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</si>
  <si>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</si>
  <si>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</si>
  <si>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</si>
  <si>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</si>
  <si>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</si>
  <si>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</si>
  <si>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</si>
  <si>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</si>
  <si>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</si>
  <si>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</si>
  <si>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</si>
  <si>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</si>
  <si>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</si>
  <si>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</si>
  <si>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</si>
  <si>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</si>
  <si>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</si>
  <si>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</si>
  <si>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</si>
  <si>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</si>
  <si>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</si>
  <si>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</si>
  <si>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</si>
  <si>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</si>
  <si>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</si>
  <si>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</si>
  <si>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</si>
  <si>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</si>
  <si>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</si>
  <si>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</si>
  <si>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</si>
  <si>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</si>
  <si>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</si>
  <si>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</si>
  <si>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</si>
  <si>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</si>
  <si>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</si>
  <si>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</si>
  <si>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</si>
  <si>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</si>
  <si>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</si>
  <si>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</si>
  <si>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</si>
  <si>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</si>
  <si>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</si>
  <si>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</si>
  <si>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</si>
  <si>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</si>
  <si>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</si>
  <si>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</si>
  <si>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</si>
  <si>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</si>
  <si>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</si>
  <si>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</si>
  <si>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</si>
  <si>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</si>
  <si>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</si>
  <si>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</si>
  <si>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</si>
  <si>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</si>
  <si>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</si>
  <si>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</si>
  <si>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</si>
  <si>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</si>
  <si>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</si>
  <si>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</si>
  <si>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</si>
  <si>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</si>
  <si>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</si>
  <si>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</si>
  <si>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</si>
  <si>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</si>
  <si>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</si>
  <si>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</si>
  <si>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</si>
  <si>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</si>
  <si>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</si>
  <si>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</si>
  <si>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</si>
  <si>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</si>
  <si>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</si>
  <si>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</si>
  <si>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</si>
  <si>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</si>
  <si>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</si>
  <si>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</si>
  <si>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</si>
  <si>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</si>
  <si>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</si>
  <si>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</si>
  <si>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</si>
  <si>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</si>
  <si>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</si>
  <si>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</si>
  <si>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</si>
  <si>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</si>
  <si>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</si>
  <si>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</si>
  <si>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</si>
  <si>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</si>
  <si>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</si>
  <si>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</si>
  <si>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</si>
  <si>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</si>
  <si>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</si>
  <si>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</si>
  <si>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</si>
  <si>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</si>
  <si>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</si>
  <si>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</si>
  <si>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</si>
  <si>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</si>
  <si>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</si>
  <si>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</si>
  <si>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</si>
  <si>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</si>
  <si>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</si>
  <si>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</si>
  <si>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</si>
  <si>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</si>
  <si>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</si>
  <si>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</si>
  <si>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</si>
  <si>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</si>
  <si>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</si>
  <si>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</si>
  <si>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</si>
  <si>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</si>
  <si>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</si>
  <si>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</si>
  <si>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</si>
  <si>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</si>
  <si>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</si>
  <si>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</si>
  <si>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</si>
  <si>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</si>
  <si>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</si>
  <si>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</si>
  <si>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</si>
  <si>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</si>
  <si>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</si>
  <si>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</si>
  <si>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</si>
  <si>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</si>
  <si>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</si>
  <si>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</si>
  <si>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</si>
  <si>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</si>
  <si>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</si>
  <si>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</si>
  <si>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</si>
  <si>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</si>
  <si>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</si>
  <si>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</si>
  <si>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</si>
  <si>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</si>
  <si>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</si>
  <si>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</si>
  <si>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</si>
  <si>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</si>
  <si>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</si>
  <si>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</si>
  <si>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</si>
  <si>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</si>
  <si>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</si>
  <si>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</si>
  <si>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</si>
  <si>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</si>
  <si>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</si>
  <si>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</si>
  <si>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</si>
  <si>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</si>
  <si>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</si>
  <si>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</si>
  <si>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</si>
  <si>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</si>
  <si>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</si>
  <si>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</si>
  <si>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</si>
  <si>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</si>
  <si>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</si>
  <si>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</si>
  <si>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</si>
  <si>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</si>
  <si>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</si>
  <si>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</si>
  <si>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</si>
  <si>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</si>
  <si>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</si>
  <si>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</si>
  <si>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</si>
  <si>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</si>
  <si>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</si>
  <si>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</si>
  <si>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</si>
  <si>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</si>
  <si>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</si>
  <si>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</si>
  <si>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</si>
  <si>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</si>
  <si>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</si>
  <si>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</si>
  <si>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</si>
  <si>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</si>
  <si>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</si>
  <si>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</si>
  <si>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</si>
  <si>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</si>
  <si>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</si>
  <si>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</si>
  <si>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</si>
  <si>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</si>
  <si>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</si>
  <si>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</si>
  <si>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</si>
  <si>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</si>
  <si>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</si>
  <si>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</si>
  <si>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</si>
  <si>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</si>
  <si>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</si>
  <si>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</si>
  <si>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</si>
  <si>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</si>
  <si>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</si>
  <si>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</si>
  <si>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</si>
  <si>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</si>
  <si>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</si>
  <si>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Pour le Frêne à fleu; la densité la plus proche étant celle du chêne tauzin, c'est celle qui est adopotée dans ce tableau</t>
  </si>
  <si>
    <t>100*%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</si>
</sst>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3070192"/>
        <c:axId val="-641601888"/>
      </c:scatterChart>
      <c:valAx>
        <c:axId val="-873070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01888"/>
        <c:crosses val="autoZero"/>
        <c:crossBetween val="midCat"/>
      </c:valAx>
      <c:valAx>
        <c:axId val="-64160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73070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1607872"/>
        <c:axId val="-641607328"/>
      </c:scatterChart>
      <c:valAx>
        <c:axId val="-641607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07328"/>
        <c:crosses val="autoZero"/>
        <c:crossBetween val="midCat"/>
      </c:valAx>
      <c:valAx>
        <c:axId val="-64160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07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3.1573033109207391</c:v>
                </c:pt>
                <c:pt idx="2">
                  <c:v>4.542539889431926</c:v>
                </c:pt>
                <c:pt idx="3">
                  <c:v>6.5381842286011134</c:v>
                </c:pt>
                <c:pt idx="4">
                  <c:v>9.4143077988320094</c:v>
                </c:pt>
                <c:pt idx="5">
                  <c:v>13.560923482464032</c:v>
                </c:pt>
                <c:pt idx="6">
                  <c:v>19.541436964106779</c:v>
                </c:pt>
                <c:pt idx="7">
                  <c:v>28.169993676400313</c:v>
                </c:pt>
                <c:pt idx="8">
                  <c:v>40.623434422438827</c:v>
                </c:pt>
                <c:pt idx="9">
                  <c:v>58.603388210119924</c:v>
                </c:pt>
                <c:pt idx="10">
                  <c:v>84.571015723159533</c:v>
                </c:pt>
                <c:pt idx="11">
                  <c:v>122.08705064487715</c:v>
                </c:pt>
                <c:pt idx="12">
                  <c:v>116.99226460308721</c:v>
                </c:pt>
                <c:pt idx="13">
                  <c:v>125.11261778872849</c:v>
                </c:pt>
                <c:pt idx="14">
                  <c:v>133.2201814420155</c:v>
                </c:pt>
                <c:pt idx="15">
                  <c:v>141.3158449235743</c:v>
                </c:pt>
                <c:pt idx="16">
                  <c:v>149.40038716805009</c:v>
                </c:pt>
                <c:pt idx="17">
                  <c:v>157.47449576373018</c:v>
                </c:pt>
                <c:pt idx="18">
                  <c:v>165.53878190467975</c:v>
                </c:pt>
                <c:pt idx="19">
                  <c:v>173.59379227020034</c:v>
                </c:pt>
                <c:pt idx="20">
                  <c:v>181.64001857939056</c:v>
                </c:pt>
                <c:pt idx="21">
                  <c:v>189.67790536084979</c:v>
                </c:pt>
                <c:pt idx="22">
                  <c:v>197.7078563340734</c:v>
                </c:pt>
                <c:pt idx="23">
                  <c:v>205.73023969812138</c:v>
                </c:pt>
                <c:pt idx="24">
                  <c:v>213.74539255089869</c:v>
                </c:pt>
                <c:pt idx="25">
                  <c:v>221.75362460989996</c:v>
                </c:pt>
                <c:pt idx="26">
                  <c:v>229.7552213666097</c:v>
                </c:pt>
                <c:pt idx="27">
                  <c:v>237.75044677790379</c:v>
                </c:pt>
                <c:pt idx="28">
                  <c:v>245.73954557602795</c:v>
                </c:pt>
                <c:pt idx="29">
                  <c:v>253.72274526211379</c:v>
                </c:pt>
                <c:pt idx="30">
                  <c:v>261.70025783539228</c:v>
                </c:pt>
                <c:pt idx="31">
                  <c:v>269.6722813003077</c:v>
                </c:pt>
                <c:pt idx="32">
                  <c:v>211.8442096502632</c:v>
                </c:pt>
                <c:pt idx="33">
                  <c:v>219.99144498034619</c:v>
                </c:pt>
                <c:pt idx="34">
                  <c:v>228.13175225387363</c:v>
                </c:pt>
                <c:pt idx="35">
                  <c:v>236.26541384020661</c:v>
                </c:pt>
                <c:pt idx="36">
                  <c:v>244.39269105572384</c:v>
                </c:pt>
                <c:pt idx="37">
                  <c:v>252.51382639691974</c:v>
                </c:pt>
                <c:pt idx="38">
                  <c:v>260.62904547087663</c:v>
                </c:pt>
                <c:pt idx="39">
                  <c:v>268.73855867247033</c:v>
                </c:pt>
                <c:pt idx="40">
                  <c:v>276.84256264833795</c:v>
                </c:pt>
                <c:pt idx="41">
                  <c:v>284.9412415802995</c:v>
                </c:pt>
                <c:pt idx="42">
                  <c:v>222.07191947323034</c:v>
                </c:pt>
                <c:pt idx="43">
                  <c:v>228.92411382466028</c:v>
                </c:pt>
                <c:pt idx="44">
                  <c:v>235.77161693456014</c:v>
                </c:pt>
                <c:pt idx="45">
                  <c:v>242.61458446573886</c:v>
                </c:pt>
                <c:pt idx="46">
                  <c:v>249.45316257065087</c:v>
                </c:pt>
                <c:pt idx="47">
                  <c:v>256.28748872308034</c:v>
                </c:pt>
                <c:pt idx="48">
                  <c:v>263.11769245636594</c:v>
                </c:pt>
                <c:pt idx="49">
                  <c:v>269.94389602087739</c:v>
                </c:pt>
                <c:pt idx="50">
                  <c:v>276.76621497143555</c:v>
                </c:pt>
                <c:pt idx="51">
                  <c:v>283.58475869372427</c:v>
                </c:pt>
                <c:pt idx="52">
                  <c:v>227.37909242234539</c:v>
                </c:pt>
                <c:pt idx="53">
                  <c:v>240.54968017175372</c:v>
                </c:pt>
                <c:pt idx="54">
                  <c:v>253.70385691006962</c:v>
                </c:pt>
                <c:pt idx="55">
                  <c:v>266.84259367886483</c:v>
                </c:pt>
                <c:pt idx="56">
                  <c:v>279.96675803832142</c:v>
                </c:pt>
                <c:pt idx="57">
                  <c:v>293.07712953271101</c:v>
                </c:pt>
                <c:pt idx="58">
                  <c:v>306.17441224161342</c:v>
                </c:pt>
                <c:pt idx="59">
                  <c:v>319.25924506975423</c:v>
                </c:pt>
                <c:pt idx="60">
                  <c:v>332.33221026077524</c:v>
                </c:pt>
                <c:pt idx="61">
                  <c:v>3.3298255850118335E-12</c:v>
                </c:pt>
                <c:pt idx="62">
                  <c:v>3.3298255850118335E-12</c:v>
                </c:pt>
                <c:pt idx="63">
                  <c:v>3.3298255850118335E-12</c:v>
                </c:pt>
                <c:pt idx="64">
                  <c:v>3.3298255850118335E-12</c:v>
                </c:pt>
                <c:pt idx="65">
                  <c:v>3.3298255850118335E-12</c:v>
                </c:pt>
                <c:pt idx="66">
                  <c:v>3.3298255850118335E-12</c:v>
                </c:pt>
                <c:pt idx="67">
                  <c:v>3.3298255850118335E-12</c:v>
                </c:pt>
                <c:pt idx="68">
                  <c:v>3.3298255850118335E-12</c:v>
                </c:pt>
                <c:pt idx="69">
                  <c:v>3.3298255850118335E-12</c:v>
                </c:pt>
                <c:pt idx="70">
                  <c:v>3.3298255850118335E-12</c:v>
                </c:pt>
                <c:pt idx="71">
                  <c:v>3.3298255850118335E-12</c:v>
                </c:pt>
                <c:pt idx="72">
                  <c:v>3.3298255850118335E-12</c:v>
                </c:pt>
                <c:pt idx="73">
                  <c:v>3.3298255850118335E-12</c:v>
                </c:pt>
                <c:pt idx="74">
                  <c:v>3.3298255850118335E-12</c:v>
                </c:pt>
                <c:pt idx="75">
                  <c:v>3.3298255850118335E-12</c:v>
                </c:pt>
                <c:pt idx="76">
                  <c:v>3.3298255850118335E-12</c:v>
                </c:pt>
                <c:pt idx="77">
                  <c:v>3.3298255850118335E-12</c:v>
                </c:pt>
                <c:pt idx="78">
                  <c:v>3.3298255850118335E-12</c:v>
                </c:pt>
                <c:pt idx="79">
                  <c:v>3.3298255850118335E-12</c:v>
                </c:pt>
                <c:pt idx="80">
                  <c:v>3.3298255850118335E-12</c:v>
                </c:pt>
                <c:pt idx="81">
                  <c:v>3.3298255850118335E-12</c:v>
                </c:pt>
                <c:pt idx="82">
                  <c:v>3.3298255850118335E-12</c:v>
                </c:pt>
                <c:pt idx="83">
                  <c:v>3.3298255850118335E-12</c:v>
                </c:pt>
                <c:pt idx="84">
                  <c:v>3.3298255850118335E-12</c:v>
                </c:pt>
                <c:pt idx="85">
                  <c:v>3.3298255850118335E-12</c:v>
                </c:pt>
                <c:pt idx="86">
                  <c:v>3.3298255850118335E-12</c:v>
                </c:pt>
                <c:pt idx="87">
                  <c:v>3.3298255850118335E-12</c:v>
                </c:pt>
                <c:pt idx="88">
                  <c:v>3.3298255850118335E-12</c:v>
                </c:pt>
                <c:pt idx="89">
                  <c:v>3.3298255850118335E-12</c:v>
                </c:pt>
                <c:pt idx="90">
                  <c:v>3.3298255850118335E-12</c:v>
                </c:pt>
                <c:pt idx="91">
                  <c:v>3.3298255850118335E-12</c:v>
                </c:pt>
                <c:pt idx="92">
                  <c:v>3.3298255850118335E-12</c:v>
                </c:pt>
                <c:pt idx="93">
                  <c:v>3.3298255850118335E-12</c:v>
                </c:pt>
                <c:pt idx="94">
                  <c:v>3.3298255850118335E-12</c:v>
                </c:pt>
                <c:pt idx="95">
                  <c:v>3.3298255850118335E-12</c:v>
                </c:pt>
                <c:pt idx="96">
                  <c:v>3.3298255850118335E-12</c:v>
                </c:pt>
                <c:pt idx="97">
                  <c:v>3.3298255850118335E-12</c:v>
                </c:pt>
                <c:pt idx="98">
                  <c:v>3.3298255850118335E-12</c:v>
                </c:pt>
                <c:pt idx="99">
                  <c:v>3.3298255850118335E-12</c:v>
                </c:pt>
                <c:pt idx="100">
                  <c:v>3.3298255850118335E-12</c:v>
                </c:pt>
                <c:pt idx="101">
                  <c:v>3.3298255850118335E-12</c:v>
                </c:pt>
                <c:pt idx="102">
                  <c:v>3.3298255850118335E-12</c:v>
                </c:pt>
                <c:pt idx="103">
                  <c:v>3.3298255850118335E-12</c:v>
                </c:pt>
                <c:pt idx="104">
                  <c:v>3.3298255850118335E-12</c:v>
                </c:pt>
                <c:pt idx="105">
                  <c:v>3.3298255850118335E-12</c:v>
                </c:pt>
                <c:pt idx="106">
                  <c:v>3.3298255850118335E-12</c:v>
                </c:pt>
                <c:pt idx="107">
                  <c:v>3.3298255850118335E-12</c:v>
                </c:pt>
                <c:pt idx="108">
                  <c:v>3.3298255850118335E-12</c:v>
                </c:pt>
                <c:pt idx="109">
                  <c:v>3.3298255850118335E-12</c:v>
                </c:pt>
                <c:pt idx="110">
                  <c:v>3.3298255850118335E-12</c:v>
                </c:pt>
                <c:pt idx="111">
                  <c:v>3.3298255850118335E-12</c:v>
                </c:pt>
                <c:pt idx="112">
                  <c:v>3.3298255850118335E-12</c:v>
                </c:pt>
                <c:pt idx="113">
                  <c:v>3.3298255850118335E-12</c:v>
                </c:pt>
                <c:pt idx="114">
                  <c:v>3.3298255850118335E-12</c:v>
                </c:pt>
                <c:pt idx="115">
                  <c:v>3.3298255850118335E-12</c:v>
                </c:pt>
                <c:pt idx="116">
                  <c:v>3.3298255850118335E-12</c:v>
                </c:pt>
                <c:pt idx="117">
                  <c:v>3.3298255850118335E-12</c:v>
                </c:pt>
                <c:pt idx="118">
                  <c:v>3.3298255850118335E-12</c:v>
                </c:pt>
                <c:pt idx="119">
                  <c:v>3.3298255850118335E-12</c:v>
                </c:pt>
                <c:pt idx="120">
                  <c:v>3.3298255850118335E-12</c:v>
                </c:pt>
                <c:pt idx="121">
                  <c:v>3.3298255850118335E-12</c:v>
                </c:pt>
                <c:pt idx="122">
                  <c:v>3.3298255850118335E-12</c:v>
                </c:pt>
                <c:pt idx="123">
                  <c:v>3.3298255850118335E-12</c:v>
                </c:pt>
                <c:pt idx="124">
                  <c:v>3.3298255850118335E-12</c:v>
                </c:pt>
                <c:pt idx="125">
                  <c:v>3.3298255850118335E-12</c:v>
                </c:pt>
                <c:pt idx="126">
                  <c:v>3.3298255850118335E-12</c:v>
                </c:pt>
                <c:pt idx="127">
                  <c:v>3.3298255850118335E-12</c:v>
                </c:pt>
                <c:pt idx="128">
                  <c:v>3.3298255850118335E-12</c:v>
                </c:pt>
                <c:pt idx="129">
                  <c:v>3.3298255850118335E-12</c:v>
                </c:pt>
                <c:pt idx="130">
                  <c:v>3.3298255850118335E-12</c:v>
                </c:pt>
                <c:pt idx="131">
                  <c:v>3.3298255850118335E-12</c:v>
                </c:pt>
                <c:pt idx="132">
                  <c:v>3.3298255850118335E-12</c:v>
                </c:pt>
                <c:pt idx="133">
                  <c:v>3.3298255850118335E-12</c:v>
                </c:pt>
                <c:pt idx="134">
                  <c:v>3.3298255850118335E-12</c:v>
                </c:pt>
                <c:pt idx="135">
                  <c:v>3.3298255850118335E-12</c:v>
                </c:pt>
                <c:pt idx="136">
                  <c:v>3.3298255850118335E-12</c:v>
                </c:pt>
                <c:pt idx="137">
                  <c:v>3.3298255850118335E-12</c:v>
                </c:pt>
                <c:pt idx="138">
                  <c:v>3.3298255850118335E-12</c:v>
                </c:pt>
                <c:pt idx="139">
                  <c:v>3.3298255850118335E-12</c:v>
                </c:pt>
                <c:pt idx="140">
                  <c:v>3.3298255850118335E-12</c:v>
                </c:pt>
                <c:pt idx="141">
                  <c:v>3.3298255850118335E-12</c:v>
                </c:pt>
                <c:pt idx="142">
                  <c:v>3.3298255850118335E-12</c:v>
                </c:pt>
                <c:pt idx="143">
                  <c:v>3.3298255850118335E-12</c:v>
                </c:pt>
                <c:pt idx="144">
                  <c:v>3.3298255850118335E-12</c:v>
                </c:pt>
                <c:pt idx="145">
                  <c:v>3.3298255850118335E-12</c:v>
                </c:pt>
                <c:pt idx="146">
                  <c:v>3.3298255850118335E-12</c:v>
                </c:pt>
                <c:pt idx="147">
                  <c:v>3.3298255850118335E-12</c:v>
                </c:pt>
                <c:pt idx="148">
                  <c:v>3.3298255850118335E-12</c:v>
                </c:pt>
                <c:pt idx="149">
                  <c:v>3.3298255850118335E-12</c:v>
                </c:pt>
                <c:pt idx="150">
                  <c:v>3.3298255850118335E-12</c:v>
                </c:pt>
                <c:pt idx="151">
                  <c:v>3.3298255850118335E-12</c:v>
                </c:pt>
                <c:pt idx="152">
                  <c:v>3.3298255850118335E-12</c:v>
                </c:pt>
                <c:pt idx="153">
                  <c:v>3.3298255850118335E-12</c:v>
                </c:pt>
                <c:pt idx="154">
                  <c:v>3.3298255850118335E-12</c:v>
                </c:pt>
                <c:pt idx="155">
                  <c:v>3.3298255850118335E-12</c:v>
                </c:pt>
                <c:pt idx="156">
                  <c:v>3.3298255850118335E-12</c:v>
                </c:pt>
                <c:pt idx="157">
                  <c:v>3.3298255850118335E-12</c:v>
                </c:pt>
                <c:pt idx="158">
                  <c:v>3.3298255850118335E-12</c:v>
                </c:pt>
                <c:pt idx="159">
                  <c:v>3.3298255850118335E-12</c:v>
                </c:pt>
                <c:pt idx="160">
                  <c:v>3.3298255850118335E-12</c:v>
                </c:pt>
                <c:pt idx="161">
                  <c:v>3.3298255850118335E-12</c:v>
                </c:pt>
                <c:pt idx="162">
                  <c:v>3.3298255850118335E-12</c:v>
                </c:pt>
                <c:pt idx="163">
                  <c:v>3.3298255850118335E-12</c:v>
                </c:pt>
                <c:pt idx="164">
                  <c:v>3.3298255850118335E-12</c:v>
                </c:pt>
                <c:pt idx="165">
                  <c:v>3.3298255850118335E-12</c:v>
                </c:pt>
                <c:pt idx="166">
                  <c:v>3.3298255850118335E-12</c:v>
                </c:pt>
                <c:pt idx="167">
                  <c:v>3.3298255850118335E-12</c:v>
                </c:pt>
                <c:pt idx="168">
                  <c:v>3.3298255850118335E-12</c:v>
                </c:pt>
                <c:pt idx="169">
                  <c:v>3.3298255850118335E-12</c:v>
                </c:pt>
                <c:pt idx="170">
                  <c:v>3.3298255850118335E-12</c:v>
                </c:pt>
                <c:pt idx="171">
                  <c:v>3.3298255850118335E-12</c:v>
                </c:pt>
                <c:pt idx="172">
                  <c:v>3.3298255850118335E-12</c:v>
                </c:pt>
                <c:pt idx="173">
                  <c:v>3.3298255850118335E-12</c:v>
                </c:pt>
                <c:pt idx="174">
                  <c:v>3.3298255850118335E-12</c:v>
                </c:pt>
                <c:pt idx="175">
                  <c:v>3.3298255850118335E-12</c:v>
                </c:pt>
                <c:pt idx="176">
                  <c:v>3.3298255850118335E-12</c:v>
                </c:pt>
                <c:pt idx="177">
                  <c:v>3.3298255850118335E-12</c:v>
                </c:pt>
                <c:pt idx="178">
                  <c:v>3.3298255850118335E-12</c:v>
                </c:pt>
                <c:pt idx="179">
                  <c:v>3.3298255850118335E-12</c:v>
                </c:pt>
                <c:pt idx="180">
                  <c:v>3.3298255850118335E-12</c:v>
                </c:pt>
                <c:pt idx="181">
                  <c:v>3.3298255850118335E-12</c:v>
                </c:pt>
                <c:pt idx="182">
                  <c:v>3.3298255850118335E-12</c:v>
                </c:pt>
                <c:pt idx="183">
                  <c:v>3.3298255850118335E-12</c:v>
                </c:pt>
                <c:pt idx="184">
                  <c:v>3.3298255850118335E-12</c:v>
                </c:pt>
                <c:pt idx="185">
                  <c:v>3.3298255850118335E-12</c:v>
                </c:pt>
                <c:pt idx="186">
                  <c:v>3.3298255850118335E-12</c:v>
                </c:pt>
                <c:pt idx="187">
                  <c:v>3.3298255850118335E-12</c:v>
                </c:pt>
                <c:pt idx="188">
                  <c:v>3.3298255850118335E-12</c:v>
                </c:pt>
                <c:pt idx="189">
                  <c:v>3.3298255850118335E-12</c:v>
                </c:pt>
                <c:pt idx="190">
                  <c:v>3.3298255850118335E-12</c:v>
                </c:pt>
                <c:pt idx="191">
                  <c:v>3.3298255850118335E-12</c:v>
                </c:pt>
                <c:pt idx="192">
                  <c:v>3.3298255850118335E-12</c:v>
                </c:pt>
                <c:pt idx="193">
                  <c:v>3.3298255850118335E-12</c:v>
                </c:pt>
                <c:pt idx="194">
                  <c:v>3.3298255850118335E-12</c:v>
                </c:pt>
                <c:pt idx="195">
                  <c:v>3.3298255850118335E-12</c:v>
                </c:pt>
                <c:pt idx="196">
                  <c:v>3.3298255850118335E-12</c:v>
                </c:pt>
                <c:pt idx="197">
                  <c:v>3.3298255850118335E-12</c:v>
                </c:pt>
                <c:pt idx="198">
                  <c:v>3.3298255850118335E-12</c:v>
                </c:pt>
                <c:pt idx="199">
                  <c:v>3.3298255850118335E-12</c:v>
                </c:pt>
                <c:pt idx="200">
                  <c:v>3.3298255850118335E-12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1611136"/>
        <c:axId val="-641601344"/>
      </c:scatterChart>
      <c:valAx>
        <c:axId val="-641611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01344"/>
        <c:crosses val="autoZero"/>
        <c:crossBetween val="midCat"/>
      </c:valAx>
      <c:valAx>
        <c:axId val="-64160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11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0.79828615843281148</c:v>
                </c:pt>
                <c:pt idx="2">
                  <c:v>4.0058624053651162</c:v>
                </c:pt>
                <c:pt idx="3">
                  <c:v>7.1148766384507871</c:v>
                </c:pt>
                <c:pt idx="4">
                  <c:v>10.179472709867371</c:v>
                </c:pt>
                <c:pt idx="5">
                  <c:v>13.215364850095114</c:v>
                </c:pt>
                <c:pt idx="6">
                  <c:v>16.230191449123577</c:v>
                </c:pt>
                <c:pt idx="7">
                  <c:v>19.228461098981406</c:v>
                </c:pt>
                <c:pt idx="8">
                  <c:v>22.213141115010586</c:v>
                </c:pt>
                <c:pt idx="9">
                  <c:v>25.186327502788419</c:v>
                </c:pt>
                <c:pt idx="10">
                  <c:v>28.149576560021149</c:v>
                </c:pt>
                <c:pt idx="11">
                  <c:v>31.104087651033765</c:v>
                </c:pt>
                <c:pt idx="12">
                  <c:v>34.050812125622251</c:v>
                </c:pt>
                <c:pt idx="13">
                  <c:v>36.99052220182611</c:v>
                </c:pt>
                <c:pt idx="14">
                  <c:v>39.923856622078667</c:v>
                </c:pt>
                <c:pt idx="15">
                  <c:v>42.851352088127719</c:v>
                </c:pt>
                <c:pt idx="16">
                  <c:v>45.773465597176681</c:v>
                </c:pt>
                <c:pt idx="17">
                  <c:v>48.690590739666824</c:v>
                </c:pt>
                <c:pt idx="18">
                  <c:v>51.60306986376505</c:v>
                </c:pt>
                <c:pt idx="19">
                  <c:v>54.511203334490006</c:v>
                </c:pt>
                <c:pt idx="20">
                  <c:v>57.415256703050183</c:v>
                </c:pt>
                <c:pt idx="21">
                  <c:v>60.31546634240383</c:v>
                </c:pt>
                <c:pt idx="22">
                  <c:v>63.212043936882871</c:v>
                </c:pt>
                <c:pt idx="23">
                  <c:v>66.10518010196445</c:v>
                </c:pt>
                <c:pt idx="24">
                  <c:v>68.995047334310584</c:v>
                </c:pt>
                <c:pt idx="25">
                  <c:v>71.881802439510196</c:v>
                </c:pt>
                <c:pt idx="26">
                  <c:v>74.765588547749317</c:v>
                </c:pt>
                <c:pt idx="27">
                  <c:v>77.646536800921197</c:v>
                </c:pt>
                <c:pt idx="28">
                  <c:v>80.524767775222145</c:v>
                </c:pt>
                <c:pt idx="29">
                  <c:v>83.400392688899117</c:v>
                </c:pt>
                <c:pt idx="30">
                  <c:v>86.273514434059493</c:v>
                </c:pt>
                <c:pt idx="31">
                  <c:v>81.860074260079799</c:v>
                </c:pt>
                <c:pt idx="32">
                  <c:v>85.509626803518017</c:v>
                </c:pt>
                <c:pt idx="33">
                  <c:v>89.155256765468053</c:v>
                </c:pt>
                <c:pt idx="34">
                  <c:v>92.797147728818643</c:v>
                </c:pt>
                <c:pt idx="35">
                  <c:v>96.435467639741589</c:v>
                </c:pt>
                <c:pt idx="36">
                  <c:v>100.07037069342645</c:v>
                </c:pt>
                <c:pt idx="37">
                  <c:v>103.70199893055735</c:v>
                </c:pt>
                <c:pt idx="38">
                  <c:v>107.33048359771004</c:v>
                </c:pt>
                <c:pt idx="39">
                  <c:v>110.95594631356381</c:v>
                </c:pt>
                <c:pt idx="40">
                  <c:v>114.57850007423114</c:v>
                </c:pt>
                <c:pt idx="41">
                  <c:v>118.19825012440111</c:v>
                </c:pt>
                <c:pt idx="42">
                  <c:v>121.81529471586198</c:v>
                </c:pt>
                <c:pt idx="43">
                  <c:v>125.42972577095129</c:v>
                </c:pt>
                <c:pt idx="44">
                  <c:v>129.04162946530829</c:v>
                </c:pt>
                <c:pt idx="45">
                  <c:v>132.65108674178089</c:v>
                </c:pt>
                <c:pt idx="46">
                  <c:v>136.25817376531498</c:v>
                </c:pt>
                <c:pt idx="47">
                  <c:v>126.97427966489994</c:v>
                </c:pt>
                <c:pt idx="48">
                  <c:v>130.62857452704148</c:v>
                </c:pt>
                <c:pt idx="49">
                  <c:v>134.28039858395829</c:v>
                </c:pt>
                <c:pt idx="50">
                  <c:v>137.92982871621322</c:v>
                </c:pt>
                <c:pt idx="51">
                  <c:v>141.57693739187769</c:v>
                </c:pt>
                <c:pt idx="52">
                  <c:v>145.22179302963755</c:v>
                </c:pt>
                <c:pt idx="53">
                  <c:v>148.8644603234425</c:v>
                </c:pt>
                <c:pt idx="54">
                  <c:v>152.50500053363461</c:v>
                </c:pt>
                <c:pt idx="55">
                  <c:v>156.1434717487524</c:v>
                </c:pt>
                <c:pt idx="56">
                  <c:v>159.77992912159547</c:v>
                </c:pt>
                <c:pt idx="57">
                  <c:v>163.41442508262176</c:v>
                </c:pt>
                <c:pt idx="58">
                  <c:v>167.04700953331997</c:v>
                </c:pt>
                <c:pt idx="59">
                  <c:v>170.67773002184288</c:v>
                </c:pt>
                <c:pt idx="60">
                  <c:v>174.30663190287873</c:v>
                </c:pt>
                <c:pt idx="61">
                  <c:v>177.93375848348208</c:v>
                </c:pt>
                <c:pt idx="62">
                  <c:v>164.46151218711768</c:v>
                </c:pt>
                <c:pt idx="63">
                  <c:v>168.00875154602983</c:v>
                </c:pt>
                <c:pt idx="64">
                  <c:v>171.55422465268626</c:v>
                </c:pt>
                <c:pt idx="65">
                  <c:v>175.09797326167555</c:v>
                </c:pt>
                <c:pt idx="66">
                  <c:v>178.64003729500791</c:v>
                </c:pt>
                <c:pt idx="67">
                  <c:v>182.18045495815036</c:v>
                </c:pt>
                <c:pt idx="68">
                  <c:v>185.71926284655015</c:v>
                </c:pt>
                <c:pt idx="69">
                  <c:v>189.25649604359629</c:v>
                </c:pt>
                <c:pt idx="70">
                  <c:v>192.79218821085848</c:v>
                </c:pt>
                <c:pt idx="71">
                  <c:v>196.32637167134536</c:v>
                </c:pt>
                <c:pt idx="72">
                  <c:v>199.85907748644232</c:v>
                </c:pt>
                <c:pt idx="73">
                  <c:v>203.39033552711246</c:v>
                </c:pt>
                <c:pt idx="74">
                  <c:v>206.92017453988456</c:v>
                </c:pt>
                <c:pt idx="75">
                  <c:v>210.44862220809364</c:v>
                </c:pt>
                <c:pt idx="76">
                  <c:v>192.07902677580273</c:v>
                </c:pt>
                <c:pt idx="77">
                  <c:v>193.9243608052449</c:v>
                </c:pt>
                <c:pt idx="78">
                  <c:v>195.76928643959897</c:v>
                </c:pt>
                <c:pt idx="79">
                  <c:v>197.61380808292344</c:v>
                </c:pt>
                <c:pt idx="80">
                  <c:v>199.45793005010344</c:v>
                </c:pt>
                <c:pt idx="81">
                  <c:v>201.30165656948444</c:v>
                </c:pt>
                <c:pt idx="82">
                  <c:v>203.14499178540393</c:v>
                </c:pt>
                <c:pt idx="83">
                  <c:v>204.98793976062629</c:v>
                </c:pt>
                <c:pt idx="84">
                  <c:v>206.8305044786853</c:v>
                </c:pt>
                <c:pt idx="85">
                  <c:v>208.67268984613847</c:v>
                </c:pt>
                <c:pt idx="86">
                  <c:v>210.51449969473791</c:v>
                </c:pt>
                <c:pt idx="87">
                  <c:v>212.35593778352018</c:v>
                </c:pt>
                <c:pt idx="88">
                  <c:v>214.19700780082064</c:v>
                </c:pt>
                <c:pt idx="89">
                  <c:v>216.03771336621404</c:v>
                </c:pt>
                <c:pt idx="90">
                  <c:v>217.87805803238575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1612224"/>
        <c:axId val="-641605696"/>
      </c:scatterChart>
      <c:valAx>
        <c:axId val="-641612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05696"/>
        <c:crosses val="autoZero"/>
        <c:crossBetween val="midCat"/>
      </c:valAx>
      <c:valAx>
        <c:axId val="-64160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12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1600800"/>
        <c:axId val="-641613856"/>
      </c:scatterChart>
      <c:valAx>
        <c:axId val="-641600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13856"/>
        <c:crosses val="autoZero"/>
        <c:crossBetween val="midCat"/>
      </c:valAx>
      <c:valAx>
        <c:axId val="-64161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00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2.1611607361398169</c:v>
                </c:pt>
                <c:pt idx="2">
                  <c:v>2.6965658428188011</c:v>
                </c:pt>
                <c:pt idx="3">
                  <c:v>3.365130579383619</c:v>
                </c:pt>
                <c:pt idx="4">
                  <c:v>4.2000945958983191</c:v>
                </c:pt>
                <c:pt idx="5">
                  <c:v>5.2430233872219976</c:v>
                </c:pt>
                <c:pt idx="6">
                  <c:v>6.5459003809291518</c:v>
                </c:pt>
                <c:pt idx="7">
                  <c:v>8.1737462585240923</c:v>
                </c:pt>
                <c:pt idx="8">
                  <c:v>10.207898736323521</c:v>
                </c:pt>
                <c:pt idx="9">
                  <c:v>12.750119779643619</c:v>
                </c:pt>
                <c:pt idx="10">
                  <c:v>15.927739538585294</c:v>
                </c:pt>
                <c:pt idx="11">
                  <c:v>19.900099355115746</c:v>
                </c:pt>
                <c:pt idx="12">
                  <c:v>24.86662273402224</c:v>
                </c:pt>
                <c:pt idx="13">
                  <c:v>31.076926626524898</c:v>
                </c:pt>
                <c:pt idx="14">
                  <c:v>38.84349005186197</c:v>
                </c:pt>
                <c:pt idx="15">
                  <c:v>48.557528384612056</c:v>
                </c:pt>
                <c:pt idx="16">
                  <c:v>57.970166254533687</c:v>
                </c:pt>
                <c:pt idx="17">
                  <c:v>67.342775086397836</c:v>
                </c:pt>
                <c:pt idx="18">
                  <c:v>76.681733118375817</c:v>
                </c:pt>
                <c:pt idx="19">
                  <c:v>85.991728436661276</c:v>
                </c:pt>
                <c:pt idx="20">
                  <c:v>95.276346213363084</c:v>
                </c:pt>
                <c:pt idx="21">
                  <c:v>79.914811172042121</c:v>
                </c:pt>
                <c:pt idx="22">
                  <c:v>90.163287942245233</c:v>
                </c:pt>
                <c:pt idx="23">
                  <c:v>100.3825669246575</c:v>
                </c:pt>
                <c:pt idx="24">
                  <c:v>110.57604520327656</c:v>
                </c:pt>
                <c:pt idx="25">
                  <c:v>120.74644035531428</c:v>
                </c:pt>
                <c:pt idx="26">
                  <c:v>130.8959735236887</c:v>
                </c:pt>
                <c:pt idx="27">
                  <c:v>141.02649246407412</c:v>
                </c:pt>
                <c:pt idx="28">
                  <c:v>151.13955724314167</c:v>
                </c:pt>
                <c:pt idx="29">
                  <c:v>161.23650172057486</c:v>
                </c:pt>
                <c:pt idx="30">
                  <c:v>171.31847877890027</c:v>
                </c:pt>
                <c:pt idx="31">
                  <c:v>142.52579115025171</c:v>
                </c:pt>
                <c:pt idx="32">
                  <c:v>152.07511787565889</c:v>
                </c:pt>
                <c:pt idx="33">
                  <c:v>161.61016857785205</c:v>
                </c:pt>
                <c:pt idx="34">
                  <c:v>171.13190528405343</c:v>
                </c:pt>
                <c:pt idx="35">
                  <c:v>180.64117406036942</c:v>
                </c:pt>
                <c:pt idx="36">
                  <c:v>189.7664838309008</c:v>
                </c:pt>
                <c:pt idx="37">
                  <c:v>198.88157087854583</c:v>
                </c:pt>
                <c:pt idx="38">
                  <c:v>207.98697030718009</c:v>
                </c:pt>
                <c:pt idx="39">
                  <c:v>217.08316648371104</c:v>
                </c:pt>
                <c:pt idx="40">
                  <c:v>226.17059982008115</c:v>
                </c:pt>
                <c:pt idx="41">
                  <c:v>193.67416901758949</c:v>
                </c:pt>
                <c:pt idx="42">
                  <c:v>202.04165884934005</c:v>
                </c:pt>
                <c:pt idx="43">
                  <c:v>210.40112494961292</c:v>
                </c:pt>
                <c:pt idx="44">
                  <c:v>218.75293145330741</c:v>
                </c:pt>
                <c:pt idx="45">
                  <c:v>227.09741238431636</c:v>
                </c:pt>
                <c:pt idx="46">
                  <c:v>235.06446630097074</c:v>
                </c:pt>
                <c:pt idx="47">
                  <c:v>243.02536029283627</c:v>
                </c:pt>
                <c:pt idx="48">
                  <c:v>250.98032483930456</c:v>
                </c:pt>
                <c:pt idx="49">
                  <c:v>258.92957459921269</c:v>
                </c:pt>
                <c:pt idx="50">
                  <c:v>266.87330995991658</c:v>
                </c:pt>
                <c:pt idx="51">
                  <c:v>233.58269729624988</c:v>
                </c:pt>
                <c:pt idx="52">
                  <c:v>240.98942582679555</c:v>
                </c:pt>
                <c:pt idx="53">
                  <c:v>248.39097391329724</c:v>
                </c:pt>
                <c:pt idx="54">
                  <c:v>255.78751789170562</c:v>
                </c:pt>
                <c:pt idx="55">
                  <c:v>263.17922305442261</c:v>
                </c:pt>
                <c:pt idx="56">
                  <c:v>270.19700250524323</c:v>
                </c:pt>
                <c:pt idx="57">
                  <c:v>277.21068050236744</c:v>
                </c:pt>
                <c:pt idx="58">
                  <c:v>284.22037558191226</c:v>
                </c:pt>
                <c:pt idx="59">
                  <c:v>291.22619994880847</c:v>
                </c:pt>
                <c:pt idx="60">
                  <c:v>298.22825996252726</c:v>
                </c:pt>
                <c:pt idx="61">
                  <c:v>266.87330995991658</c:v>
                </c:pt>
                <c:pt idx="62">
                  <c:v>273.33520033559711</c:v>
                </c:pt>
                <c:pt idx="63">
                  <c:v>279.79365704229622</c:v>
                </c:pt>
                <c:pt idx="64">
                  <c:v>286.24877062592162</c:v>
                </c:pt>
                <c:pt idx="65">
                  <c:v>292.70062721001705</c:v>
                </c:pt>
                <c:pt idx="66">
                  <c:v>298.96510410049149</c:v>
                </c:pt>
                <c:pt idx="67">
                  <c:v>305.22665657476222</c:v>
                </c:pt>
                <c:pt idx="68">
                  <c:v>311.48535316475295</c:v>
                </c:pt>
                <c:pt idx="69">
                  <c:v>317.74125942022329</c:v>
                </c:pt>
                <c:pt idx="70">
                  <c:v>323.99443809601638</c:v>
                </c:pt>
                <c:pt idx="71">
                  <c:v>293.80633875741154</c:v>
                </c:pt>
                <c:pt idx="72">
                  <c:v>299.51771063750374</c:v>
                </c:pt>
                <c:pt idx="73">
                  <c:v>305.22665657476222</c:v>
                </c:pt>
                <c:pt idx="74">
                  <c:v>310.93322840775465</c:v>
                </c:pt>
                <c:pt idx="75">
                  <c:v>316.63747591445002</c:v>
                </c:pt>
                <c:pt idx="76">
                  <c:v>321.97164562540979</c:v>
                </c:pt>
                <c:pt idx="77">
                  <c:v>327.30386083487969</c:v>
                </c:pt>
                <c:pt idx="78">
                  <c:v>332.63415791953389</c:v>
                </c:pt>
                <c:pt idx="79">
                  <c:v>337.96257199356324</c:v>
                </c:pt>
                <c:pt idx="80">
                  <c:v>343.28913697215461</c:v>
                </c:pt>
                <c:pt idx="81">
                  <c:v>316.26952914620239</c:v>
                </c:pt>
                <c:pt idx="82">
                  <c:v>321.41992623463284</c:v>
                </c:pt>
                <c:pt idx="83">
                  <c:v>326.56849772007627</c:v>
                </c:pt>
                <c:pt idx="84">
                  <c:v>331.71527648504929</c:v>
                </c:pt>
                <c:pt idx="85">
                  <c:v>336.86029430705389</c:v>
                </c:pt>
                <c:pt idx="86">
                  <c:v>341.63626096666286</c:v>
                </c:pt>
                <c:pt idx="87">
                  <c:v>346.4107595929251</c:v>
                </c:pt>
                <c:pt idx="88">
                  <c:v>351.18381330179227</c:v>
                </c:pt>
                <c:pt idx="89">
                  <c:v>355.95544452876601</c:v>
                </c:pt>
                <c:pt idx="90">
                  <c:v>360.72567505798861</c:v>
                </c:pt>
                <c:pt idx="91">
                  <c:v>335.02298813768743</c:v>
                </c:pt>
                <c:pt idx="92">
                  <c:v>339.61584021127902</c:v>
                </c:pt>
                <c:pt idx="93">
                  <c:v>344.20732577147572</c:v>
                </c:pt>
                <c:pt idx="94">
                  <c:v>348.79746564421521</c:v>
                </c:pt>
                <c:pt idx="95">
                  <c:v>353.38628006183148</c:v>
                </c:pt>
                <c:pt idx="96">
                  <c:v>357.79031317226071</c:v>
                </c:pt>
                <c:pt idx="97">
                  <c:v>362.19315979149877</c:v>
                </c:pt>
                <c:pt idx="98">
                  <c:v>366.59483639724226</c:v>
                </c:pt>
                <c:pt idx="99">
                  <c:v>370.99535903869224</c:v>
                </c:pt>
                <c:pt idx="100">
                  <c:v>375.394743352761</c:v>
                </c:pt>
                <c:pt idx="101">
                  <c:v>353.93684966092297</c:v>
                </c:pt>
                <c:pt idx="102">
                  <c:v>358.15726214440497</c:v>
                </c:pt>
                <c:pt idx="103">
                  <c:v>362.3765862303585</c:v>
                </c:pt>
                <c:pt idx="104">
                  <c:v>366.59483639724226</c:v>
                </c:pt>
                <c:pt idx="105">
                  <c:v>370.81202676268754</c:v>
                </c:pt>
                <c:pt idx="106">
                  <c:v>374.84488204114882</c:v>
                </c:pt>
                <c:pt idx="107">
                  <c:v>378.87679203564204</c:v>
                </c:pt>
                <c:pt idx="108">
                  <c:v>382.90776823855754</c:v>
                </c:pt>
                <c:pt idx="109">
                  <c:v>386.93782188026222</c:v>
                </c:pt>
                <c:pt idx="110">
                  <c:v>390.96696393780195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1611680"/>
        <c:axId val="-641610048"/>
      </c:scatterChart>
      <c:valAx>
        <c:axId val="-641611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10048"/>
        <c:crosses val="autoZero"/>
        <c:crossBetween val="midCat"/>
      </c:valAx>
      <c:valAx>
        <c:axId val="-64161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11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1.4216684505882042</c:v>
                </c:pt>
                <c:pt idx="2">
                  <c:v>1.6494337208217518</c:v>
                </c:pt>
                <c:pt idx="3">
                  <c:v>1.9138254418871894</c:v>
                </c:pt>
                <c:pt idx="4">
                  <c:v>2.2207542185725906</c:v>
                </c:pt>
                <c:pt idx="5">
                  <c:v>2.5770876404627994</c:v>
                </c:pt>
                <c:pt idx="6">
                  <c:v>2.990805705670585</c:v>
                </c:pt>
                <c:pt idx="7">
                  <c:v>3.4711815591519066</c:v>
                </c:pt>
                <c:pt idx="8">
                  <c:v>4.0289916795822309</c:v>
                </c:pt>
                <c:pt idx="9">
                  <c:v>4.6767603254983152</c:v>
                </c:pt>
                <c:pt idx="10">
                  <c:v>5.4290438391611309</c:v>
                </c:pt>
                <c:pt idx="11">
                  <c:v>6.3027613236217057</c:v>
                </c:pt>
                <c:pt idx="12">
                  <c:v>7.3175792760292708</c:v>
                </c:pt>
                <c:pt idx="13">
                  <c:v>8.4963590030684362</c:v>
                </c:pt>
                <c:pt idx="14">
                  <c:v>9.8656770913865515</c:v>
                </c:pt>
                <c:pt idx="15">
                  <c:v>11.456430890563903</c:v>
                </c:pt>
                <c:pt idx="16">
                  <c:v>13.304542927714031</c:v>
                </c:pt>
                <c:pt idx="17">
                  <c:v>15.45178045675719</c:v>
                </c:pt>
                <c:pt idx="18">
                  <c:v>17.946709004879654</c:v>
                </c:pt>
                <c:pt idx="19">
                  <c:v>20.845801875526238</c:v>
                </c:pt>
                <c:pt idx="20">
                  <c:v>24.214731173527223</c:v>
                </c:pt>
                <c:pt idx="21">
                  <c:v>28.129870117578587</c:v>
                </c:pt>
                <c:pt idx="22">
                  <c:v>32.680041296073831</c:v>
                </c:pt>
                <c:pt idx="23">
                  <c:v>37.968551218170866</c:v>
                </c:pt>
                <c:pt idx="24">
                  <c:v>44.115558145722979</c:v>
                </c:pt>
                <c:pt idx="25">
                  <c:v>51.260827917988813</c:v>
                </c:pt>
                <c:pt idx="26">
                  <c:v>59.56694148009052</c:v>
                </c:pt>
                <c:pt idx="27">
                  <c:v>69.223028308013781</c:v>
                </c:pt>
                <c:pt idx="28">
                  <c:v>80.449112132240245</c:v>
                </c:pt>
                <c:pt idx="29">
                  <c:v>93.501169584014704</c:v>
                </c:pt>
                <c:pt idx="30">
                  <c:v>108.6770189550495</c:v>
                </c:pt>
                <c:pt idx="31">
                  <c:v>119.34299443648099</c:v>
                </c:pt>
                <c:pt idx="32">
                  <c:v>129.98572779937055</c:v>
                </c:pt>
                <c:pt idx="33">
                  <c:v>140.60739267386097</c:v>
                </c:pt>
                <c:pt idx="34">
                  <c:v>151.20980677723819</c:v>
                </c:pt>
                <c:pt idx="35">
                  <c:v>161.79451162968965</c:v>
                </c:pt>
                <c:pt idx="36">
                  <c:v>172.36283025234334</c:v>
                </c:pt>
                <c:pt idx="37">
                  <c:v>182.91590993537883</c:v>
                </c:pt>
                <c:pt idx="38">
                  <c:v>193.45475459645681</c:v>
                </c:pt>
                <c:pt idx="39">
                  <c:v>203.9802497043132</c:v>
                </c:pt>
                <c:pt idx="40">
                  <c:v>214.49318177940339</c:v>
                </c:pt>
                <c:pt idx="41">
                  <c:v>224.99425386510336</c:v>
                </c:pt>
                <c:pt idx="42">
                  <c:v>235.48409795523028</c:v>
                </c:pt>
                <c:pt idx="43">
                  <c:v>245.96328508842066</c:v>
                </c:pt>
                <c:pt idx="44">
                  <c:v>256.43233363020784</c:v>
                </c:pt>
                <c:pt idx="45">
                  <c:v>266.89171613041833</c:v>
                </c:pt>
                <c:pt idx="46">
                  <c:v>277.34186504835151</c:v>
                </c:pt>
                <c:pt idx="47">
                  <c:v>287.78317756918744</c:v>
                </c:pt>
                <c:pt idx="48">
                  <c:v>298.21601968429599</c:v>
                </c:pt>
                <c:pt idx="49">
                  <c:v>308.64072967029892</c:v>
                </c:pt>
                <c:pt idx="50">
                  <c:v>319.05762107321726</c:v>
                </c:pt>
                <c:pt idx="51">
                  <c:v>329.46698528230218</c:v>
                </c:pt>
                <c:pt idx="52">
                  <c:v>239.91319254187792</c:v>
                </c:pt>
                <c:pt idx="53">
                  <c:v>250.7566839765808</c:v>
                </c:pt>
                <c:pt idx="54">
                  <c:v>261.58954749693504</c:v>
                </c:pt>
                <c:pt idx="55">
                  <c:v>272.4122855334258</c:v>
                </c:pt>
                <c:pt idx="56">
                  <c:v>283.22535730670057</c:v>
                </c:pt>
                <c:pt idx="57">
                  <c:v>294.02918408713464</c:v>
                </c:pt>
                <c:pt idx="58">
                  <c:v>304.82415364037161</c:v>
                </c:pt>
                <c:pt idx="59">
                  <c:v>315.61062400978892</c:v>
                </c:pt>
                <c:pt idx="60">
                  <c:v>326.38892675453917</c:v>
                </c:pt>
                <c:pt idx="61">
                  <c:v>337.15936973729157</c:v>
                </c:pt>
                <c:pt idx="62">
                  <c:v>347.92223953697516</c:v>
                </c:pt>
                <c:pt idx="63">
                  <c:v>358.67780354724954</c:v>
                </c:pt>
                <c:pt idx="64">
                  <c:v>259.91370728364598</c:v>
                </c:pt>
                <c:pt idx="65">
                  <c:v>269.83633643082231</c:v>
                </c:pt>
                <c:pt idx="66">
                  <c:v>279.75075483937445</c:v>
                </c:pt>
                <c:pt idx="67">
                  <c:v>289.65729473170762</c:v>
                </c:pt>
                <c:pt idx="68">
                  <c:v>299.55626373361866</c:v>
                </c:pt>
                <c:pt idx="69">
                  <c:v>309.4479474656211</c:v>
                </c:pt>
                <c:pt idx="70">
                  <c:v>319.33261178539772</c:v>
                </c:pt>
                <c:pt idx="71">
                  <c:v>329.21050473791996</c:v>
                </c:pt>
                <c:pt idx="72">
                  <c:v>339.08185825915456</c:v>
                </c:pt>
                <c:pt idx="73">
                  <c:v>348.94688967090889</c:v>
                </c:pt>
                <c:pt idx="74">
                  <c:v>358.80580299772583</c:v>
                </c:pt>
                <c:pt idx="75">
                  <c:v>368.65879013141921</c:v>
                </c:pt>
                <c:pt idx="76">
                  <c:v>292.22917146099797</c:v>
                </c:pt>
                <c:pt idx="77">
                  <c:v>301.22679191692936</c:v>
                </c:pt>
                <c:pt idx="78">
                  <c:v>310.21842991455259</c:v>
                </c:pt>
                <c:pt idx="79">
                  <c:v>319.2042834391799</c:v>
                </c:pt>
                <c:pt idx="80">
                  <c:v>328.18453841094606</c:v>
                </c:pt>
                <c:pt idx="81">
                  <c:v>337.15936973729123</c:v>
                </c:pt>
                <c:pt idx="82">
                  <c:v>346.12894224745969</c:v>
                </c:pt>
                <c:pt idx="83">
                  <c:v>355.09341152502003</c:v>
                </c:pt>
                <c:pt idx="84">
                  <c:v>364.05292465188319</c:v>
                </c:pt>
                <c:pt idx="85">
                  <c:v>373.00762087521866</c:v>
                </c:pt>
                <c:pt idx="86">
                  <c:v>381.95763220695682</c:v>
                </c:pt>
                <c:pt idx="87">
                  <c:v>390.90308396414639</c:v>
                </c:pt>
                <c:pt idx="88">
                  <c:v>316.05988081531285</c:v>
                </c:pt>
                <c:pt idx="89">
                  <c:v>324.20824758788905</c:v>
                </c:pt>
                <c:pt idx="90">
                  <c:v>332.35208865052783</c:v>
                </c:pt>
                <c:pt idx="91">
                  <c:v>340.49153063189533</c:v>
                </c:pt>
                <c:pt idx="92">
                  <c:v>348.62669360757508</c:v>
                </c:pt>
                <c:pt idx="93">
                  <c:v>356.75769158755321</c:v>
                </c:pt>
                <c:pt idx="94">
                  <c:v>364.88463295691707</c:v>
                </c:pt>
                <c:pt idx="95">
                  <c:v>373.00762087521849</c:v>
                </c:pt>
                <c:pt idx="96">
                  <c:v>381.1267536392179</c:v>
                </c:pt>
                <c:pt idx="97">
                  <c:v>389.24212501308784</c:v>
                </c:pt>
                <c:pt idx="98">
                  <c:v>397.35382452962966</c:v>
                </c:pt>
                <c:pt idx="99">
                  <c:v>405.46193776560017</c:v>
                </c:pt>
                <c:pt idx="100">
                  <c:v>212.28795240958598</c:v>
                </c:pt>
                <c:pt idx="101">
                  <c:v>218.03673754527372</c:v>
                </c:pt>
                <c:pt idx="102">
                  <c:v>223.78203890753477</c:v>
                </c:pt>
                <c:pt idx="103">
                  <c:v>229.52395871325101</c:v>
                </c:pt>
                <c:pt idx="104">
                  <c:v>235.26259363877315</c:v>
                </c:pt>
                <c:pt idx="105">
                  <c:v>240.99803525113671</c:v>
                </c:pt>
                <c:pt idx="106">
                  <c:v>246.73037039602465</c:v>
                </c:pt>
                <c:pt idx="107">
                  <c:v>252.45968154773928</c:v>
                </c:pt>
                <c:pt idx="108">
                  <c:v>258.18604712570226</c:v>
                </c:pt>
                <c:pt idx="109">
                  <c:v>263.90954178137036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1610592"/>
        <c:axId val="-641609504"/>
      </c:scatterChart>
      <c:valAx>
        <c:axId val="-641610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09504"/>
        <c:crosses val="autoZero"/>
        <c:crossBetween val="midCat"/>
      </c:valAx>
      <c:valAx>
        <c:axId val="-64160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10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1616032"/>
        <c:axId val="-641608960"/>
      </c:scatterChart>
      <c:valAx>
        <c:axId val="-641616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08960"/>
        <c:crosses val="autoZero"/>
        <c:crossBetween val="midCat"/>
      </c:valAx>
      <c:valAx>
        <c:axId val="-64160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16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1615488"/>
        <c:axId val="-641613312"/>
      </c:scatterChart>
      <c:valAx>
        <c:axId val="-641615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13312"/>
        <c:crosses val="autoZero"/>
        <c:crossBetween val="midCat"/>
      </c:valAx>
      <c:valAx>
        <c:axId val="-64161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15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41608416"/>
        <c:axId val="-641612768"/>
      </c:scatterChart>
      <c:valAx>
        <c:axId val="-641608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12768"/>
        <c:crosses val="autoZero"/>
        <c:crossBetween val="midCat"/>
      </c:valAx>
      <c:valAx>
        <c:axId val="-64161276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41608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C51" sqref="C51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3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3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3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3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3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3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3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3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3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3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3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3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3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3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3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3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3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3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136" zoomScale="55" zoomScaleNormal="55" workbookViewId="0">
      <selection activeCell="E164" sqref="E164:H16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5" t="s">
        <v>192</v>
      </c>
      <c r="C3" s="296"/>
      <c r="D3" s="296"/>
      <c r="E3" s="296"/>
      <c r="F3" s="297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1" t="s">
        <v>231</v>
      </c>
      <c r="B5" s="301"/>
      <c r="C5" s="26">
        <v>4.5999999999999996</v>
      </c>
      <c r="D5" s="302" t="s">
        <v>229</v>
      </c>
      <c r="E5" s="303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299" t="s">
        <v>226</v>
      </c>
      <c r="B7" s="299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52</v>
      </c>
      <c r="C9" s="35">
        <v>0.22</v>
      </c>
      <c r="D9" s="36">
        <f t="shared" ref="D9:D18" si="0">C9*$C$5</f>
        <v>1.012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102</v>
      </c>
      <c r="C10" s="35">
        <v>0.17</v>
      </c>
      <c r="D10" s="36">
        <f t="shared" si="0"/>
        <v>0.78200000000000003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15</v>
      </c>
      <c r="C11" s="35">
        <v>0.2</v>
      </c>
      <c r="D11" s="36">
        <f t="shared" si="0"/>
        <v>0.91999999999999993</v>
      </c>
      <c r="E11" s="37">
        <v>90</v>
      </c>
      <c r="F11" s="38" t="str">
        <f t="array" ref="F11">IF(E11="","",IF(INDEX(A:A,MAX(IF(ISNUMBER($A$88:$A$107),ROW($A$88:$A$107),"")))&lt;&gt;E11,"Corrigez : révolution incorrecte","OK"))</f>
        <v>OK</v>
      </c>
      <c r="G11" s="25" t="s">
        <v>324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12</v>
      </c>
      <c r="C12" s="35">
        <v>0.09</v>
      </c>
      <c r="D12" s="36">
        <f t="shared" si="0"/>
        <v>0.41399999999999998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50</v>
      </c>
      <c r="C13" s="35">
        <v>0.1</v>
      </c>
      <c r="D13" s="36">
        <f t="shared" si="0"/>
        <v>0.45999999999999996</v>
      </c>
      <c r="E13" s="37">
        <v>110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164</v>
      </c>
      <c r="C14" s="35">
        <v>0.1</v>
      </c>
      <c r="D14" s="36">
        <f t="shared" si="0"/>
        <v>0.45999999999999996</v>
      </c>
      <c r="E14" s="37">
        <v>109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0.88</v>
      </c>
      <c r="D19" s="41">
        <f>SUM(D9:D18)</f>
        <v>4.048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8" t="s">
        <v>232</v>
      </c>
      <c r="B22" s="298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0" t="s">
        <v>227</v>
      </c>
      <c r="B30" s="300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Cormier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v>105</v>
      </c>
      <c r="C38" s="61">
        <v>1</v>
      </c>
      <c r="D38" s="61"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v>158</v>
      </c>
      <c r="C40" s="61">
        <v>2</v>
      </c>
      <c r="D40" s="61"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v>199</v>
      </c>
      <c r="C42" s="61">
        <v>3</v>
      </c>
      <c r="D42" s="61"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53">
        <v>197</v>
      </c>
      <c r="C43" s="53"/>
      <c r="D43" s="5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Micocoulier de Provence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11</v>
      </c>
      <c r="B62" s="61">
        <v>63.360000000000007</v>
      </c>
      <c r="C62" s="61">
        <v>1</v>
      </c>
      <c r="D62" s="61">
        <v>7.0399999999999991</v>
      </c>
      <c r="E62" s="54"/>
      <c r="F62" s="54"/>
      <c r="G62" s="54"/>
      <c r="H62" s="54">
        <v>1</v>
      </c>
      <c r="I62" s="56">
        <f>IFERROR(B62/A62,"")</f>
        <v>5.7600000000000007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31</v>
      </c>
      <c r="B63" s="61">
        <v>142.84800000000001</v>
      </c>
      <c r="C63" s="61">
        <v>2</v>
      </c>
      <c r="D63" s="61">
        <v>35.712000000000018</v>
      </c>
      <c r="E63" s="54"/>
      <c r="F63" s="54"/>
      <c r="G63" s="54"/>
      <c r="H63" s="54"/>
      <c r="I63" s="52">
        <f>IF(A63&lt;&gt;0,(B63-(B62-D62))/(A63-A62),"")</f>
        <v>4.3264000000000005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41</v>
      </c>
      <c r="B64" s="61">
        <v>151.14240000000001</v>
      </c>
      <c r="C64" s="61">
        <v>3</v>
      </c>
      <c r="D64" s="61">
        <v>37.785600000000017</v>
      </c>
      <c r="E64" s="54"/>
      <c r="F64" s="54"/>
      <c r="G64" s="54"/>
      <c r="H64" s="54"/>
      <c r="I64" s="52">
        <f>IF(A64&lt;&gt;0,(B64-(B63-D63))/(A64-A63),"")</f>
        <v>4.400640000000001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51</v>
      </c>
      <c r="B65" s="61">
        <v>150.40512000000001</v>
      </c>
      <c r="C65" s="61">
        <v>4</v>
      </c>
      <c r="D65" s="61">
        <v>37.601280000000003</v>
      </c>
      <c r="E65" s="54"/>
      <c r="F65" s="54"/>
      <c r="G65" s="54"/>
      <c r="H65" s="54"/>
      <c r="I65" s="52">
        <f>IF(A65&lt;&gt;0,(B65-(B64-D64))/(A65-A64),"")</f>
        <v>3.7048320000000019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60</v>
      </c>
      <c r="B66" s="61">
        <v>176.94720000000001</v>
      </c>
      <c r="C66" s="61">
        <v>5</v>
      </c>
      <c r="D66" s="61">
        <v>176.94720000000001</v>
      </c>
      <c r="E66" s="54"/>
      <c r="F66" s="54"/>
      <c r="G66" s="54"/>
      <c r="H66" s="54"/>
      <c r="I66" s="52">
        <f t="shared" ref="I66:I81" si="2">IF(A66&lt;&gt;0,(B66-(B65-D65))/(A66-A65),"")</f>
        <v>7.12704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1"/>
      <c r="C67" s="61"/>
      <c r="D67" s="61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1"/>
      <c r="C68" s="61"/>
      <c r="D68" s="61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tauzin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</v>
      </c>
      <c r="B88" s="61">
        <v>0.3</v>
      </c>
      <c r="C88" s="61"/>
      <c r="D88" s="61"/>
      <c r="E88" s="54"/>
      <c r="F88" s="54"/>
      <c r="G88" s="54"/>
      <c r="H88" s="91"/>
      <c r="I88" s="56">
        <f>IFERROR(B88/A88,"")</f>
        <v>0.3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30</v>
      </c>
      <c r="B89" s="61">
        <v>38.114715405398435</v>
      </c>
      <c r="C89" s="61">
        <v>1</v>
      </c>
      <c r="D89" s="61">
        <v>3.658322147753112</v>
      </c>
      <c r="E89" s="54"/>
      <c r="F89" s="54"/>
      <c r="G89" s="54"/>
      <c r="H89" s="91" t="s">
        <v>325</v>
      </c>
      <c r="I89" s="56">
        <f t="shared" ref="I89:I107" si="3">IF(A89&lt;&gt;0,(B89-(B88-D88))/(A89-A88),"")</f>
        <v>1.3039557036344289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46</v>
      </c>
      <c r="B90" s="61">
        <v>60.948602646016546</v>
      </c>
      <c r="C90" s="61">
        <v>2</v>
      </c>
      <c r="D90" s="61">
        <v>5.9350694187970658</v>
      </c>
      <c r="E90" s="91"/>
      <c r="F90" s="91"/>
      <c r="G90" s="91"/>
      <c r="H90" s="91"/>
      <c r="I90" s="56">
        <f t="shared" si="3"/>
        <v>1.6557630867732014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61</v>
      </c>
      <c r="B91" s="61">
        <v>80.148920773104464</v>
      </c>
      <c r="C91" s="61">
        <v>3</v>
      </c>
      <c r="D91" s="61">
        <v>7.8564011781403069</v>
      </c>
      <c r="E91" s="91"/>
      <c r="F91" s="91"/>
      <c r="G91" s="91"/>
      <c r="H91" s="91"/>
      <c r="I91" s="56">
        <f t="shared" si="3"/>
        <v>1.6756925030589989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75</v>
      </c>
      <c r="B92" s="61">
        <v>95.204325981787264</v>
      </c>
      <c r="C92" s="61">
        <v>4</v>
      </c>
      <c r="D92" s="61">
        <v>9.3672946007864581</v>
      </c>
      <c r="E92" s="91"/>
      <c r="F92" s="91"/>
      <c r="G92" s="91"/>
      <c r="H92" s="91"/>
      <c r="I92" s="56">
        <f t="shared" si="3"/>
        <v>1.6365575990587931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90</v>
      </c>
      <c r="B93" s="61">
        <v>98.652289322929107</v>
      </c>
      <c r="C93" s="61">
        <v>5</v>
      </c>
      <c r="D93" s="61">
        <v>98.652289322929107</v>
      </c>
      <c r="E93" s="91"/>
      <c r="F93" s="91"/>
      <c r="G93" s="91"/>
      <c r="H93" s="91"/>
      <c r="I93" s="56">
        <f t="shared" si="3"/>
        <v>0.85435052946188728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1"/>
      <c r="C94" s="61"/>
      <c r="D94" s="61"/>
      <c r="E94" s="91"/>
      <c r="F94" s="91"/>
      <c r="G94" s="91"/>
      <c r="H94" s="91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1"/>
      <c r="B95" s="61"/>
      <c r="C95" s="61"/>
      <c r="D95" s="61"/>
      <c r="E95" s="91"/>
      <c r="F95" s="91"/>
      <c r="G95" s="91"/>
      <c r="H95" s="91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1"/>
      <c r="B96" s="61"/>
      <c r="C96" s="61"/>
      <c r="D96" s="61"/>
      <c r="E96" s="91"/>
      <c r="F96" s="91"/>
      <c r="G96" s="91"/>
      <c r="H96" s="91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1"/>
      <c r="B97" s="61"/>
      <c r="C97" s="61"/>
      <c r="D97" s="61"/>
      <c r="E97" s="91"/>
      <c r="F97" s="91"/>
      <c r="G97" s="91"/>
      <c r="H97" s="91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1"/>
      <c r="B98" s="61"/>
      <c r="C98" s="61"/>
      <c r="D98" s="61"/>
      <c r="E98" s="91"/>
      <c r="F98" s="91"/>
      <c r="G98" s="91"/>
      <c r="H98" s="91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/>
      <c r="B99" s="61"/>
      <c r="C99" s="61"/>
      <c r="D99" s="61"/>
      <c r="E99" s="91"/>
      <c r="F99" s="91"/>
      <c r="G99" s="91"/>
      <c r="H99" s="91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/>
      <c r="B100" s="61"/>
      <c r="C100" s="61"/>
      <c r="D100" s="61"/>
      <c r="E100" s="66"/>
      <c r="F100" s="66"/>
      <c r="G100" s="66"/>
      <c r="H100" s="66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/>
      <c r="B101" s="61"/>
      <c r="C101" s="61"/>
      <c r="D101" s="61"/>
      <c r="E101" s="66"/>
      <c r="F101" s="66"/>
      <c r="G101" s="66"/>
      <c r="H101" s="66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1"/>
      <c r="B102" s="53"/>
      <c r="C102" s="61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pubescent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1">
        <v>70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1">
        <v>105</v>
      </c>
      <c r="C116" s="61">
        <v>1</v>
      </c>
      <c r="D116" s="61"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1">
        <v>116</v>
      </c>
      <c r="C117" s="61"/>
      <c r="D117" s="61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1">
        <v>158</v>
      </c>
      <c r="C118" s="61">
        <v>2</v>
      </c>
      <c r="D118" s="61"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1">
        <v>158</v>
      </c>
      <c r="C119" s="61"/>
      <c r="D119" s="61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1">
        <v>199</v>
      </c>
      <c r="C120" s="61">
        <v>3</v>
      </c>
      <c r="D120" s="61"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53">
        <v>197</v>
      </c>
      <c r="C121" s="53"/>
      <c r="D121" s="53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Tilleul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1">
        <f>49/1.56</f>
        <v>31.410256410256409</v>
      </c>
      <c r="C140" s="61"/>
      <c r="D140" s="61"/>
      <c r="E140" s="54"/>
      <c r="F140" s="54"/>
      <c r="G140" s="54"/>
      <c r="H140" s="54"/>
      <c r="I140" s="59">
        <f>IFERROR(B140/A140,"")</f>
        <v>2.0940170940170941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1">
        <f>(87+11)/1.56</f>
        <v>62.820512820512818</v>
      </c>
      <c r="C141" s="61">
        <v>1</v>
      </c>
      <c r="D141" s="61">
        <f>(11+16)/1.56</f>
        <v>17.307692307692307</v>
      </c>
      <c r="E141" s="54"/>
      <c r="F141" s="54"/>
      <c r="G141" s="54"/>
      <c r="H141" s="54">
        <v>1</v>
      </c>
      <c r="I141" s="59">
        <f t="shared" ref="I141:I159" si="5">IF(A141&lt;&gt;0,(B141-(B140-D140))/(A141-A140),"")</f>
        <v>6.2820512820512819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1">
        <f>125/1.56</f>
        <v>80.128205128205124</v>
      </c>
      <c r="C142" s="61"/>
      <c r="D142" s="61"/>
      <c r="E142" s="54"/>
      <c r="F142" s="54"/>
      <c r="G142" s="54"/>
      <c r="H142" s="54"/>
      <c r="I142" s="59">
        <f t="shared" si="5"/>
        <v>6.9230769230769225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30</v>
      </c>
      <c r="B143" s="61">
        <f>(159+20)/1.56</f>
        <v>114.74358974358974</v>
      </c>
      <c r="C143" s="61">
        <v>2</v>
      </c>
      <c r="D143" s="61">
        <f>(21+20)/1.56</f>
        <v>26.282051282051281</v>
      </c>
      <c r="E143" s="54"/>
      <c r="F143" s="54"/>
      <c r="G143" s="54"/>
      <c r="H143" s="54">
        <v>1</v>
      </c>
      <c r="I143" s="59">
        <f t="shared" si="5"/>
        <v>6.9230769230769225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35</v>
      </c>
      <c r="B144" s="61">
        <f>189/1.56</f>
        <v>121.15384615384615</v>
      </c>
      <c r="C144" s="61"/>
      <c r="D144" s="61"/>
      <c r="E144" s="54"/>
      <c r="F144" s="54"/>
      <c r="G144" s="54"/>
      <c r="H144" s="54"/>
      <c r="I144" s="59">
        <f t="shared" si="5"/>
        <v>6.5384615384615383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40</v>
      </c>
      <c r="B145" s="61">
        <f>(216+22)/1.56</f>
        <v>152.56410256410257</v>
      </c>
      <c r="C145" s="61">
        <v>3</v>
      </c>
      <c r="D145" s="61">
        <f>(22+22)/1.56</f>
        <v>28.205128205128204</v>
      </c>
      <c r="E145" s="54"/>
      <c r="F145" s="54"/>
      <c r="G145" s="54"/>
      <c r="H145" s="54"/>
      <c r="I145" s="59">
        <f t="shared" si="5"/>
        <v>6.2820512820512846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45</v>
      </c>
      <c r="B146" s="61">
        <f>(239/1.56)</f>
        <v>153.2051282051282</v>
      </c>
      <c r="C146" s="61"/>
      <c r="D146" s="61"/>
      <c r="E146" s="54"/>
      <c r="F146" s="54"/>
      <c r="G146" s="54"/>
      <c r="H146" s="54"/>
      <c r="I146" s="59">
        <f t="shared" si="5"/>
        <v>5.7692307692307683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50</v>
      </c>
      <c r="B147" s="61">
        <v>180.76923076923077</v>
      </c>
      <c r="C147" s="61">
        <v>4</v>
      </c>
      <c r="D147" s="61">
        <v>28.205128205128204</v>
      </c>
      <c r="E147" s="54"/>
      <c r="F147" s="54"/>
      <c r="G147" s="54"/>
      <c r="H147" s="54"/>
      <c r="I147" s="59">
        <f>IF(A147&lt;&gt;0,(B147-(B146-D146))/(A147-A146),"")</f>
        <v>5.5128205128205137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55</v>
      </c>
      <c r="B148" s="61">
        <v>178.2051282051282</v>
      </c>
      <c r="C148" s="61"/>
      <c r="D148" s="61"/>
      <c r="E148" s="54"/>
      <c r="F148" s="54"/>
      <c r="G148" s="54"/>
      <c r="H148" s="54"/>
      <c r="I148" s="59">
        <f t="shared" si="5"/>
        <v>5.1282051282051269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8">
        <v>60</v>
      </c>
      <c r="B149" s="58">
        <v>202.56410256410257</v>
      </c>
      <c r="C149" s="58">
        <v>5</v>
      </c>
      <c r="D149" s="58">
        <v>26.282051282051281</v>
      </c>
      <c r="E149" s="64"/>
      <c r="F149" s="64"/>
      <c r="G149" s="64"/>
      <c r="H149" s="64"/>
      <c r="I149" s="59">
        <f t="shared" si="5"/>
        <v>4.8717948717948731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8">
        <v>65</v>
      </c>
      <c r="B150" s="58">
        <v>198.7179487179487</v>
      </c>
      <c r="C150" s="58"/>
      <c r="D150" s="58"/>
      <c r="E150" s="64"/>
      <c r="F150" s="64"/>
      <c r="G150" s="64"/>
      <c r="H150" s="64"/>
      <c r="I150" s="59">
        <f t="shared" si="5"/>
        <v>4.4871794871794801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8">
        <v>70</v>
      </c>
      <c r="B151" s="58">
        <v>220.5128205128205</v>
      </c>
      <c r="C151" s="58">
        <v>6</v>
      </c>
      <c r="D151" s="58">
        <v>25</v>
      </c>
      <c r="E151" s="64"/>
      <c r="F151" s="64"/>
      <c r="G151" s="64"/>
      <c r="H151" s="64"/>
      <c r="I151" s="59">
        <f t="shared" si="5"/>
        <v>4.3589743589743595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8">
        <v>75</v>
      </c>
      <c r="B152" s="58">
        <v>215.38461538461539</v>
      </c>
      <c r="C152" s="58"/>
      <c r="D152" s="58"/>
      <c r="E152" s="65"/>
      <c r="F152" s="65"/>
      <c r="G152" s="65"/>
      <c r="H152" s="65"/>
      <c r="I152" s="59">
        <f t="shared" si="5"/>
        <v>3.974358974358978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92">
        <v>80</v>
      </c>
      <c r="B153" s="61">
        <f>(347+18)/1.56</f>
        <v>233.97435897435898</v>
      </c>
      <c r="C153" s="92">
        <v>7</v>
      </c>
      <c r="D153" s="61">
        <f>(17+18)/1.56</f>
        <v>22.435897435897434</v>
      </c>
      <c r="E153" s="57"/>
      <c r="F153" s="57"/>
      <c r="G153" s="57"/>
      <c r="H153" s="57"/>
      <c r="I153" s="59">
        <f t="shared" si="5"/>
        <v>3.7179487179487181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85</v>
      </c>
      <c r="B154" s="53">
        <v>229.48717948717947</v>
      </c>
      <c r="C154" s="53"/>
      <c r="D154" s="53"/>
      <c r="E154" s="57"/>
      <c r="F154" s="57"/>
      <c r="G154" s="57"/>
      <c r="H154" s="57"/>
      <c r="I154" s="59">
        <f t="shared" si="5"/>
        <v>3.5897435897435854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90</v>
      </c>
      <c r="B155" s="53">
        <v>246.15384615384613</v>
      </c>
      <c r="C155" s="53">
        <v>8</v>
      </c>
      <c r="D155" s="53">
        <v>21.153846153846153</v>
      </c>
      <c r="E155" s="57"/>
      <c r="F155" s="57"/>
      <c r="G155" s="57"/>
      <c r="H155" s="57"/>
      <c r="I155" s="59">
        <f t="shared" si="5"/>
        <v>3.3333333333333313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95</v>
      </c>
      <c r="B156" s="53">
        <v>241.02564102564102</v>
      </c>
      <c r="C156" s="53"/>
      <c r="D156" s="53"/>
      <c r="E156" s="57"/>
      <c r="F156" s="57"/>
      <c r="G156" s="57"/>
      <c r="H156" s="57"/>
      <c r="I156" s="59">
        <f t="shared" si="5"/>
        <v>3.2051282051282102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100</v>
      </c>
      <c r="B157" s="53">
        <v>256.41025641025641</v>
      </c>
      <c r="C157" s="53">
        <v>9</v>
      </c>
      <c r="D157" s="53">
        <v>17.948717948717949</v>
      </c>
      <c r="E157" s="57"/>
      <c r="F157" s="57"/>
      <c r="G157" s="57"/>
      <c r="H157" s="57"/>
      <c r="I157" s="59">
        <f t="shared" si="5"/>
        <v>3.0769230769230775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105</v>
      </c>
      <c r="B158" s="53">
        <v>253.2051282051282</v>
      </c>
      <c r="C158" s="53"/>
      <c r="D158" s="53"/>
      <c r="E158" s="57"/>
      <c r="F158" s="57"/>
      <c r="G158" s="57"/>
      <c r="H158" s="57"/>
      <c r="I158" s="59">
        <f t="shared" si="5"/>
        <v>2.9487179487179502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110</v>
      </c>
      <c r="B159" s="53">
        <v>267.30769230769232</v>
      </c>
      <c r="C159" s="53">
        <v>10</v>
      </c>
      <c r="D159" s="53">
        <v>267.30769230769232</v>
      </c>
      <c r="E159" s="57"/>
      <c r="F159" s="57"/>
      <c r="G159" s="57"/>
      <c r="H159" s="57"/>
      <c r="I159" s="59">
        <f t="shared" si="5"/>
        <v>2.8205128205128234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Cèdre de l'Atlas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30</v>
      </c>
      <c r="B166" s="61">
        <f>134/1.3</f>
        <v>103.07692307692308</v>
      </c>
      <c r="C166" s="53"/>
      <c r="D166" s="61"/>
      <c r="E166" s="54"/>
      <c r="F166" s="54"/>
      <c r="G166" s="54"/>
      <c r="H166" s="54"/>
      <c r="I166" s="52">
        <f>IFERROR(B166/A166,"")</f>
        <v>3.4358974358974361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51</v>
      </c>
      <c r="B167" s="61">
        <f>418/1.3</f>
        <v>321.53846153846155</v>
      </c>
      <c r="C167" s="53">
        <v>1</v>
      </c>
      <c r="D167" s="61">
        <f>(418-288)/1.3</f>
        <v>100</v>
      </c>
      <c r="E167" s="54"/>
      <c r="F167" s="54"/>
      <c r="G167" s="54"/>
      <c r="H167" s="54"/>
      <c r="I167" s="52">
        <f t="shared" ref="I167:I185" si="6">IF(A167&lt;&gt;0,(B167-(B166-D166))/(A167-A166),"")</f>
        <v>10.402930402930403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63</v>
      </c>
      <c r="B168" s="61">
        <f>456/1.3</f>
        <v>350.76923076923077</v>
      </c>
      <c r="C168" s="53">
        <v>2</v>
      </c>
      <c r="D168" s="61">
        <f>(456-315)/1.3</f>
        <v>108.46153846153845</v>
      </c>
      <c r="E168" s="54"/>
      <c r="F168" s="54"/>
      <c r="G168" s="54"/>
      <c r="H168" s="54"/>
      <c r="I168" s="52">
        <f t="shared" si="6"/>
        <v>10.769230769230768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75</v>
      </c>
      <c r="B169" s="61">
        <f>469/1.3</f>
        <v>360.76923076923077</v>
      </c>
      <c r="C169" s="53">
        <v>3</v>
      </c>
      <c r="D169" s="61">
        <f>B169-(358/1.3)</f>
        <v>85.384615384615415</v>
      </c>
      <c r="E169" s="54"/>
      <c r="F169" s="54"/>
      <c r="G169" s="54"/>
      <c r="H169" s="54"/>
      <c r="I169" s="52">
        <f t="shared" si="6"/>
        <v>9.8717948717948705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87</v>
      </c>
      <c r="B170" s="61">
        <f>498/1.3</f>
        <v>383.07692307692304</v>
      </c>
      <c r="C170" s="53">
        <v>4</v>
      </c>
      <c r="D170" s="61">
        <f>B170-(390/1.3)</f>
        <v>83.076923076923038</v>
      </c>
      <c r="E170" s="54"/>
      <c r="F170" s="54"/>
      <c r="G170" s="54"/>
      <c r="H170" s="54"/>
      <c r="I170" s="52">
        <f t="shared" si="6"/>
        <v>8.9743589743589727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99</v>
      </c>
      <c r="B171" s="61">
        <f>517/1.3</f>
        <v>397.69230769230768</v>
      </c>
      <c r="C171" s="53">
        <v>5</v>
      </c>
      <c r="D171" s="61">
        <f>B171-(259/1.3)</f>
        <v>198.46153846153845</v>
      </c>
      <c r="E171" s="54"/>
      <c r="F171" s="54"/>
      <c r="G171" s="54"/>
      <c r="H171" s="54"/>
      <c r="I171" s="52">
        <f t="shared" si="6"/>
        <v>8.1410256410256405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61">
        <v>109</v>
      </c>
      <c r="B172" s="61">
        <f>333/1.3</f>
        <v>256.15384615384613</v>
      </c>
      <c r="C172" s="61">
        <v>6</v>
      </c>
      <c r="D172" s="61">
        <f>B172</f>
        <v>256.15384615384613</v>
      </c>
      <c r="E172" s="54"/>
      <c r="F172" s="54"/>
      <c r="G172" s="54"/>
      <c r="H172" s="54"/>
      <c r="I172" s="52">
        <f t="shared" si="6"/>
        <v>5.6923076923076907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21" sqref="B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0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1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Cormier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Micocoulier de Provence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Chêne tauzin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Chêne pubescent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Tilleul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Cèdre de l'Atlas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455.09463986470064</v>
      </c>
      <c r="T3" s="60">
        <f>IF('Données projet'!E9&gt;30,$R$33-$H$33,LOOKUP('Données projet'!$E$9,$A$3:$A$203,R3:R203)-LOOKUP('Données projet'!$E$9,$A$3:$A$203,$H$3:$H$203))</f>
        <v>266.42568447709669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201.39673092164992</v>
      </c>
      <c r="AO3" s="60">
        <f>IF('Données projet'!E10&gt;30,$AM$33-$H$33,LOOKUP('Données projet'!$E$10,$A$3:$A$203,AM3:AM203)-LOOKUP('Données projet'!$E$10,$A$3:$A$203,$H$3:$H$203))</f>
        <v>278.95637851890405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123.29894837876157</v>
      </c>
      <c r="BJ3" s="60">
        <f>IF('Données projet'!E11&gt;30,$BH$33-$H$33,LOOKUP('Données projet'!$E$11,$A$3:$A$203,BH3:BH203)-LOOKUP('Données projet'!$E$11,$A$3:$A$203,$H$3:$H$203))</f>
        <v>103.52963511757127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428.49602929661046</v>
      </c>
      <c r="CE3" s="60">
        <f>IF('Données projet'!E12&gt;30,$CC$33-$H$33,LOOKUP('Données projet'!$E$12,$A$3:$A$203,CC3:CC203)-LOOKUP('Données projet'!$E$12,$A$3:$A$203,$H$3:$H$203))</f>
        <v>252.32489414103878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226.5873967387837</v>
      </c>
      <c r="CZ3" s="60">
        <f>IF('Données projet'!E13&gt;30,$CX$33-$H$33,LOOKUP('Données projet'!$E$13,$A$3:$A$203,CX3:CX203)-LOOKUP('Données projet'!$E$13,$A$3:$A$203,$H$3:$H$203))</f>
        <v>188.57459946241204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212.19771249416107</v>
      </c>
      <c r="DU3" s="60">
        <f>IF('Données projet'!E14&gt;30,$DS$33-$H$33,LOOKUP('Données projet'!$E$14,$A$3:$A$203,DS3:DS203)-LOOKUP('Données projet'!$E$14,$A$3:$A$203,$H$3:$H$203))</f>
        <v>125.93313963856127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0.27300000000000002</v>
      </c>
      <c r="D4" s="12">
        <f>IFERROR(EXP(-1.0587+0.8836*LN(C4)+0.284),0)</f>
        <v>0.14633404572844724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3.2369645635178386</v>
      </c>
      <c r="H4" s="68">
        <f t="shared" ref="H4:H67" si="1">(B4+E4+F4)*44/12+(C4+D4)*0.475*44/12</f>
        <v>257.39700679631039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1.2975860072835741</v>
      </c>
      <c r="P4" s="14">
        <f>EXP(-1.0587+0.8836*LN(O4)+0.284)</f>
        <v>0.58012177912374829</v>
      </c>
      <c r="Q4" s="22">
        <f t="shared" ref="Q4:Q34" si="2">(O4+P4)*0.475*44/12</f>
        <v>3.2703410613260862</v>
      </c>
      <c r="R4" s="60">
        <f t="shared" si="0"/>
        <v>261.15922995021492</v>
      </c>
      <c r="S4" s="60">
        <f ca="1">AVERAGE(OFFSET($R$3,0,0,'Données projet'!$E$9+1,1))-AVERAGE(OFFSET($H$3,0,0,'Données projet'!$E$9+1,1))</f>
        <v>455.09463986470064</v>
      </c>
      <c r="T4" s="60">
        <f>$T$3</f>
        <v>266.42568447709669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5.7600000000000007</v>
      </c>
      <c r="AI4" s="14">
        <f>IF('Données projet'!$A$62&gt;35,AI3+AH4-AQ3,IF(A4&lt;'Données projet'!$A$62,$AF$205^A4,IF(A4='Données projet'!$A$62,'Données projet'!$B$62,AI3+AH4-AQ3)))</f>
        <v>1.4581472360160126</v>
      </c>
      <c r="AJ4" s="14">
        <f>AI4*VLOOKUP('Données projet'!$B$10,Paramètres!$A$1:$I$89,3,0)*VLOOKUP('Données projet'!$B$10,Paramètres!$A$1:$I$89,5,0)</f>
        <v>1.251090328501739</v>
      </c>
      <c r="AK4" s="14">
        <f>EXP(-1.0587+0.8836*LN(AJ4)+0.284)</f>
        <v>0.56171540025658062</v>
      </c>
      <c r="AL4" s="22">
        <f t="shared" ref="AL4:AL67" si="4">(AJ4+AK4)*0.475*44/12</f>
        <v>3.1573033109207391</v>
      </c>
      <c r="AM4" s="60">
        <f t="shared" ref="AM4:AM67" si="5">AL4+(AD4+AE4)*44/12</f>
        <v>261.04619219980958</v>
      </c>
      <c r="AN4" s="60">
        <f ca="1">AVERAGE(OFFSET($AM$3,0,0,'Données projet'!$E$10+1,1))-AVERAGE(OFFSET($H$3,0,0,'Données projet'!$E$10+1,1))</f>
        <v>201.39673092164992</v>
      </c>
      <c r="AO4" s="60">
        <f>$AO$3</f>
        <v>278.95637851890405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>
        <f>VLOOKUP(A4,'Données projet'!$A$87:$I$107,2,0)</f>
        <v>0.3</v>
      </c>
      <c r="BB4" s="13">
        <f>VLOOKUP(A4,'Données projet'!$A$87:$I$107,9,0)</f>
        <v>0.3</v>
      </c>
      <c r="BC4" s="13">
        <f t="array" ref="BC4">INDEX(BB:BB,MIN(IF(ISNUMBER(BB4:BB200),ROW(BB4:BB200),"")))</f>
        <v>0.3</v>
      </c>
      <c r="BD4" s="13">
        <f>IF('Données projet'!$A$88&gt;35,BD3+BC4-BL3,IF(A4&lt;'Données projet'!$A$88,$BA$205^A4,IF(A4='Données projet'!$A$88,'Données projet'!$B$88,BD3+BC4-BL3)))</f>
        <v>0.3</v>
      </c>
      <c r="BE4" s="14">
        <f>BD4*VLOOKUP('Données projet'!$B$11,Paramètres!$A$1:$I$89,3,0)*VLOOKUP('Données projet'!$B$11,Paramètres!$A$1:$I$89,5,0)</f>
        <v>0.29952000000000001</v>
      </c>
      <c r="BF4" s="14">
        <f>EXP(-1.0587+0.8836*LN(BE4)+0.284)</f>
        <v>0.15882611967434154</v>
      </c>
      <c r="BG4" s="22">
        <f t="shared" ref="BG4:BG67" si="7">(BE4+BF4)*0.475*44/12</f>
        <v>0.79828615843281148</v>
      </c>
      <c r="BH4" s="60">
        <f t="shared" ref="BH4:BH67" si="8">BG4+(AY4+AZ4)*44/12</f>
        <v>258.68717504732166</v>
      </c>
      <c r="BI4" s="60">
        <f ca="1">AVERAGE(OFFSET($BH$3,0,0,'Données projet'!$E$11+1,1))-AVERAGE(OFFSET($H$3,0,0,'Données projet'!$E$11+1,1))</f>
        <v>123.29894837876157</v>
      </c>
      <c r="BJ4" s="60">
        <f>$BJ$3</f>
        <v>103.52963511757127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1.2223636300497438</v>
      </c>
      <c r="CA4" s="14">
        <f>EXP(-1.0587+0.8836*LN(BZ4)+0.284)</f>
        <v>0.55030360208821416</v>
      </c>
      <c r="CB4" s="22">
        <f t="shared" ref="CB4:CB67" si="10">(BZ4+CA4)*0.475*44/12</f>
        <v>3.0873954293069432</v>
      </c>
      <c r="CC4" s="60">
        <f t="shared" ref="CC4:CC67" si="11">CB4+(BT4+BU4)*44/12</f>
        <v>260.97628431819578</v>
      </c>
      <c r="CD4" s="60">
        <f ca="1">AVERAGE(OFFSET($CC$3,0,0,'Données projet'!$E$12+1,1))-AVERAGE(OFFSET($H$3,0,0,'Données projet'!$E$12+1,1))</f>
        <v>428.49602929661046</v>
      </c>
      <c r="CE4" s="60">
        <f>$CE$3</f>
        <v>252.32489414103878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2.0940170940170941</v>
      </c>
      <c r="CT4" s="13">
        <f>IF('Données projet'!$A$140&gt;35,CT3+CS4-DB3,IF(A4&lt;'Données projet'!$A$140,$CQ$205^A4,IF(A4='Données projet'!$A$140,'Données projet'!$B$140,CT3+CS4-DB3)))</f>
        <v>1.2583595963961556</v>
      </c>
      <c r="CU4" s="18">
        <f>CT4*VLOOKUP('Données projet'!$B$13,Paramètres!$A$1:$I$89,3,0)*VLOOKUP('Données projet'!$B$13,Paramètres!$A$1:$I$89,5,0)</f>
        <v>0.84410761726254113</v>
      </c>
      <c r="CV4" s="14">
        <f>EXP(-1.0587+0.8836*LN(CU4)+0.284)</f>
        <v>0.3967502216694111</v>
      </c>
      <c r="CW4" s="22">
        <f t="shared" ref="CW4:CW67" si="13">(CU4+CV4)*0.475*44/12</f>
        <v>2.1611607361398169</v>
      </c>
      <c r="CX4" s="60">
        <f t="shared" ref="CX4:CX67" si="14">CW4+(CO4+CP4)*44/12</f>
        <v>260.05004962502869</v>
      </c>
      <c r="CY4" s="60">
        <f ca="1">AVERAGE(OFFSET($CX$3,0,0,'Données projet'!$E$13+1,1))-AVERAGE(OFFSET($H$3,0,0,'Données projet'!$E$13+1,1))</f>
        <v>226.5873967387837</v>
      </c>
      <c r="CZ4" s="60">
        <f>$CZ$3</f>
        <v>188.57459946241204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3.4358974358974361</v>
      </c>
      <c r="DO4" s="13">
        <f>IF('Données projet'!$A$166&gt;35,DO3+DN4-DW3,IF(A4&lt;'Données projet'!$A$166,$DL$205^A4,IF(A4='Données projet'!$A$166,'Données projet'!$B$166,DO3+DN4-DW3)))</f>
        <v>1.167092777711815</v>
      </c>
      <c r="DP4" s="18">
        <f>DO4*VLOOKUP('Données projet'!$B$14,Paramètres!$A$1:$I$89,3,0)*VLOOKUP('Données projet'!$B$14,Paramètres!$A$1:$I$89,5,0)</f>
        <v>0.54619941996912946</v>
      </c>
      <c r="DQ4" s="14">
        <f>EXP(-1.0587+0.8836*LN(DP4)+0.284)</f>
        <v>0.27006954687577245</v>
      </c>
      <c r="DR4" s="22">
        <f t="shared" ref="DR4:DR67" si="16">(DP4+DQ4)*0.475*44/12</f>
        <v>1.4216684505882042</v>
      </c>
      <c r="DS4" s="60">
        <f t="shared" ref="DS4:DS67" si="17">DR4+(DJ4+DK4)*44/12</f>
        <v>259.31055733947704</v>
      </c>
      <c r="DT4" s="60">
        <f ca="1">AVERAGE(OFFSET($DS$3,0,0,'Données projet'!$E$14+1,1))-AVERAGE(OFFSET($H$3,0,0,'Données projet'!$E$14+1,1))</f>
        <v>212.19771249416107</v>
      </c>
      <c r="DU4" s="60">
        <f>$DU$3</f>
        <v>125.93313963856127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5" s="12">
        <f t="shared" ref="D5:D68" si="32">IFERROR(EXP(-1.0587+0.8836*LN(C5)+0.284),0)</f>
        <v>0.26998241883213048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6.2988116541427628</v>
      </c>
      <c r="H5" s="68">
        <f t="shared" si="1"/>
        <v>258.08783604613262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1.5642228226478332</v>
      </c>
      <c r="P5" s="14">
        <f t="shared" ref="P5:P68" si="33">EXP(-1.0587+0.8836*LN(O5)+0.284)</f>
        <v>0.68428075179095682</v>
      </c>
      <c r="Q5" s="22">
        <f t="shared" si="2"/>
        <v>3.9161437254808931</v>
      </c>
      <c r="R5" s="60">
        <f t="shared" si="0"/>
        <v>263.02725483659202</v>
      </c>
      <c r="S5" s="60">
        <f ca="1">AVERAGE(OFFSET($R$3,0,0,'Données projet'!$E$9+1,1))-AVERAGE(OFFSET($H$3,0,0,'Données projet'!$E$9+1,1))</f>
        <v>455.09463986470064</v>
      </c>
      <c r="T5" s="60">
        <f t="shared" ref="T5:T68" si="34">$T$3</f>
        <v>266.42568447709669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5.7600000000000007</v>
      </c>
      <c r="AI5" s="14">
        <f>IF('Données projet'!$A$62&gt;35,AI4+AH5-AQ4,IF(A5&lt;'Données projet'!$A$62,$AF$205^A5,IF(A5='Données projet'!$A$62,'Données projet'!$B$62,AI4+AH5-AQ4)))</f>
        <v>2.1261933619011373</v>
      </c>
      <c r="AJ5" s="14">
        <f>AI5*VLOOKUP('Données projet'!$B$10,Paramètres!$A$1:$I$89,3,0)*VLOOKUP('Données projet'!$B$10,Paramètres!$A$1:$I$89,5,0)</f>
        <v>1.8242739045111762</v>
      </c>
      <c r="AK5" s="14">
        <f t="shared" ref="AK5:AK68" si="35">EXP(-1.0587+0.8836*LN(AJ5)+0.284)</f>
        <v>0.78388296980380512</v>
      </c>
      <c r="AL5" s="22">
        <f t="shared" si="4"/>
        <v>4.542539889431926</v>
      </c>
      <c r="AM5" s="60">
        <f t="shared" si="5"/>
        <v>263.65365100054305</v>
      </c>
      <c r="AN5" s="60">
        <f ca="1">AVERAGE(OFFSET($AM$3,0,0,'Données projet'!$E$10+1,1))-AVERAGE(OFFSET($H$3,0,0,'Données projet'!$E$10+1,1))</f>
        <v>201.39673092164992</v>
      </c>
      <c r="AO5" s="60">
        <f t="shared" ref="AO5:AO68" si="36">$AO$3</f>
        <v>278.95637851890405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1.3039557036344289</v>
      </c>
      <c r="BD5" s="13">
        <f>IF('Données projet'!$A$88&gt;35,BD4+BC5-BL4,IF(A5&lt;'Données projet'!$A$88,$BA$205^A5,IF(A5='Données projet'!$A$88,'Données projet'!$B$88,BD4+BC5-BL4)))</f>
        <v>1.603955703634429</v>
      </c>
      <c r="BE5" s="14">
        <f>BD5*VLOOKUP('Données projet'!$B$11,Paramètres!$A$1:$I$89,3,0)*VLOOKUP('Données projet'!$B$11,Paramètres!$A$1:$I$89,5,0)</f>
        <v>1.6013893745086141</v>
      </c>
      <c r="BF5" s="14">
        <f t="shared" ref="BF5:BF68" si="37">EXP(-1.0587+0.8836*LN(BE5)+0.284)</f>
        <v>0.69862731756705054</v>
      </c>
      <c r="BG5" s="22">
        <f t="shared" si="7"/>
        <v>4.0058624053651162</v>
      </c>
      <c r="BH5" s="60">
        <f t="shared" si="8"/>
        <v>263.11697351647626</v>
      </c>
      <c r="BI5" s="60">
        <f ca="1">AVERAGE(OFFSET($BH$3,0,0,'Données projet'!$E$11+1,1))-AVERAGE(OFFSET($H$3,0,0,'Données projet'!$E$11+1,1))</f>
        <v>123.29894837876157</v>
      </c>
      <c r="BJ5" s="60">
        <f t="shared" ref="BJ5:BJ68" si="38">$BJ$3</f>
        <v>103.52963511757127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1.47354323872622</v>
      </c>
      <c r="CA5" s="14">
        <f t="shared" ref="CA5:CA68" si="39">EXP(-1.0587+0.8836*LN(BZ5)+0.284)</f>
        <v>0.64910881835703094</v>
      </c>
      <c r="CB5" s="22">
        <f t="shared" si="10"/>
        <v>3.6969523327533285</v>
      </c>
      <c r="CC5" s="60">
        <f t="shared" si="11"/>
        <v>262.80806344386446</v>
      </c>
      <c r="CD5" s="60">
        <f ca="1">AVERAGE(OFFSET($CC$3,0,0,'Données projet'!$E$12+1,1))-AVERAGE(OFFSET($H$3,0,0,'Données projet'!$E$12+1,1))</f>
        <v>428.49602929661046</v>
      </c>
      <c r="CE5" s="60">
        <f t="shared" ref="CE5:CE68" si="40">$CE$3</f>
        <v>252.32489414103878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2.0940170940170941</v>
      </c>
      <c r="CT5" s="13">
        <f>IF('Données projet'!$A$140&gt;35,CT4+CS5-DB4,IF(A5&lt;'Données projet'!$A$140,$CQ$205^A5,IF(A5='Données projet'!$A$140,'Données projet'!$B$140,CT4+CS5-DB4)))</f>
        <v>1.5834688738422955</v>
      </c>
      <c r="CU5" s="18">
        <f>CT5*VLOOKUP('Données projet'!$B$13,Paramètres!$A$1:$I$89,3,0)*VLOOKUP('Données projet'!$B$13,Paramètres!$A$1:$I$89,5,0)</f>
        <v>1.0621909205734119</v>
      </c>
      <c r="CV5" s="14">
        <f t="shared" ref="CV5:CV68" si="41">EXP(-1.0587+0.8836*LN(CU5)+0.284)</f>
        <v>0.48607654898762231</v>
      </c>
      <c r="CW5" s="22">
        <f t="shared" si="13"/>
        <v>2.6965658428188011</v>
      </c>
      <c r="CX5" s="60">
        <f t="shared" si="14"/>
        <v>261.80767695392996</v>
      </c>
      <c r="CY5" s="60">
        <f ca="1">AVERAGE(OFFSET($CX$3,0,0,'Données projet'!$E$13+1,1))-AVERAGE(OFFSET($H$3,0,0,'Données projet'!$E$13+1,1))</f>
        <v>226.5873967387837</v>
      </c>
      <c r="CZ5" s="60">
        <f t="shared" ref="CZ5:CZ68" si="42">$CZ$3</f>
        <v>188.57459946241204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3.4358974358974361</v>
      </c>
      <c r="DO5" s="13">
        <f>IF('Données projet'!$A$166&gt;35,DO4+DN5-DW4,IF(A5&lt;'Données projet'!$A$166,$DL$205^A5,IF(A5='Données projet'!$A$166,'Données projet'!$B$166,DO4+DN5-DW4)))</f>
        <v>1.3621055517870799</v>
      </c>
      <c r="DP5" s="18">
        <f>DO5*VLOOKUP('Données projet'!$B$14,Paramètres!$A$1:$I$89,3,0)*VLOOKUP('Données projet'!$B$14,Paramètres!$A$1:$I$89,5,0)</f>
        <v>0.6374653982363534</v>
      </c>
      <c r="DQ5" s="14">
        <f t="shared" ref="DQ5:DQ68" si="43">EXP(-1.0587+0.8836*LN(DP5)+0.284)</f>
        <v>0.30957788644599227</v>
      </c>
      <c r="DR5" s="22">
        <f t="shared" si="16"/>
        <v>1.6494337208217518</v>
      </c>
      <c r="DS5" s="60">
        <f t="shared" si="17"/>
        <v>260.76054483193292</v>
      </c>
      <c r="DT5" s="60">
        <f ca="1">AVERAGE(OFFSET($DS$3,0,0,'Données projet'!$E$14+1,1))-AVERAGE(OFFSET($H$3,0,0,'Données projet'!$E$14+1,1))</f>
        <v>212.19771249416107</v>
      </c>
      <c r="DU5" s="60">
        <f t="shared" ref="DU5:DU68" si="44">$DU$3</f>
        <v>125.93313963856127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0.81900000000000006</v>
      </c>
      <c r="D6" s="12">
        <f t="shared" si="32"/>
        <v>0.38630445842754507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9.3041045913705247</v>
      </c>
      <c r="H6" s="68">
        <f t="shared" si="1"/>
        <v>258.76590526509466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1.885649987868306</v>
      </c>
      <c r="P6" s="14">
        <f t="shared" si="33"/>
        <v>0.8071411281590839</v>
      </c>
      <c r="Q6" s="22">
        <f t="shared" si="2"/>
        <v>4.6899445270810372</v>
      </c>
      <c r="R6" s="60">
        <f t="shared" si="0"/>
        <v>265.02327786041434</v>
      </c>
      <c r="S6" s="60">
        <f ca="1">AVERAGE(OFFSET($R$3,0,0,'Données projet'!$E$9+1,1))-AVERAGE(OFFSET($H$3,0,0,'Données projet'!$E$9+1,1))</f>
        <v>455.09463986470064</v>
      </c>
      <c r="T6" s="60">
        <f t="shared" si="34"/>
        <v>266.42568447709669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5.7600000000000007</v>
      </c>
      <c r="AI6" s="14">
        <f>IF('Données projet'!$A$62&gt;35,AI5+AH6-AQ5,IF(A6&lt;'Données projet'!$A$62,$AF$205^A6,IF(A6='Données projet'!$A$62,'Données projet'!$B$62,AI5+AH6-AQ5)))</f>
        <v>3.1003029738917367</v>
      </c>
      <c r="AJ6" s="14">
        <f>AI6*VLOOKUP('Données projet'!$B$10,Paramètres!$A$1:$I$89,3,0)*VLOOKUP('Données projet'!$B$10,Paramètres!$A$1:$I$89,5,0)</f>
        <v>2.6600599515991106</v>
      </c>
      <c r="AK6" s="14">
        <f t="shared" si="35"/>
        <v>1.0939214236742556</v>
      </c>
      <c r="AL6" s="22">
        <f t="shared" si="4"/>
        <v>6.5381842286011134</v>
      </c>
      <c r="AM6" s="60">
        <f t="shared" si="5"/>
        <v>266.87151756193441</v>
      </c>
      <c r="AN6" s="60">
        <f ca="1">AVERAGE(OFFSET($AM$3,0,0,'Données projet'!$E$10+1,1))-AVERAGE(OFFSET($H$3,0,0,'Données projet'!$E$10+1,1))</f>
        <v>201.39673092164992</v>
      </c>
      <c r="AO6" s="60">
        <f t="shared" si="36"/>
        <v>278.95637851890405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1.3039557036344289</v>
      </c>
      <c r="BD6" s="13">
        <f>IF('Données projet'!$A$88&gt;35,BD5+BC6-BL5,IF(A6&lt;'Données projet'!$A$88,$BA$205^A6,IF(A6='Données projet'!$A$88,'Données projet'!$B$88,BD5+BC6-BL5)))</f>
        <v>2.9079114072688581</v>
      </c>
      <c r="BE6" s="14">
        <f>BD6*VLOOKUP('Données projet'!$B$11,Paramètres!$A$1:$I$89,3,0)*VLOOKUP('Données projet'!$B$11,Paramètres!$A$1:$I$89,5,0)</f>
        <v>2.9032587490172279</v>
      </c>
      <c r="BF6" s="14">
        <f t="shared" si="37"/>
        <v>1.18183788549997</v>
      </c>
      <c r="BG6" s="22">
        <f t="shared" si="7"/>
        <v>7.1148766384507871</v>
      </c>
      <c r="BH6" s="60">
        <f t="shared" si="8"/>
        <v>267.44820997178408</v>
      </c>
      <c r="BI6" s="60">
        <f ca="1">AVERAGE(OFFSET($BH$3,0,0,'Données projet'!$E$11+1,1))-AVERAGE(OFFSET($H$3,0,0,'Données projet'!$E$11+1,1))</f>
        <v>123.29894837876157</v>
      </c>
      <c r="BJ6" s="60">
        <f t="shared" si="38"/>
        <v>103.52963511757127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1.7763369450933317</v>
      </c>
      <c r="CA6" s="14">
        <f t="shared" si="39"/>
        <v>0.76565418883323866</v>
      </c>
      <c r="CB6" s="22">
        <f t="shared" si="10"/>
        <v>4.4273012249221102</v>
      </c>
      <c r="CC6" s="60">
        <f t="shared" si="11"/>
        <v>264.76063455825545</v>
      </c>
      <c r="CD6" s="60">
        <f ca="1">AVERAGE(OFFSET($CC$3,0,0,'Données projet'!$E$12+1,1))-AVERAGE(OFFSET($H$3,0,0,'Données projet'!$E$12+1,1))</f>
        <v>428.49602929661046</v>
      </c>
      <c r="CE6" s="60">
        <f t="shared" si="40"/>
        <v>252.32489414103878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2.0940170940170941</v>
      </c>
      <c r="CT6" s="13">
        <f>IF('Données projet'!$A$140&gt;35,CT5+CS6-DB5,IF(A6&lt;'Données projet'!$A$140,$CQ$205^A6,IF(A6='Données projet'!$A$140,'Données projet'!$B$140,CT5+CS6-DB5)))</f>
        <v>1.9925732529940661</v>
      </c>
      <c r="CU6" s="18">
        <f>CT6*VLOOKUP('Données projet'!$B$13,Paramètres!$A$1:$I$89,3,0)*VLOOKUP('Données projet'!$B$13,Paramètres!$A$1:$I$89,5,0)</f>
        <v>1.3366181381084197</v>
      </c>
      <c r="CV6" s="14">
        <f t="shared" si="41"/>
        <v>0.59551425196829955</v>
      </c>
      <c r="CW6" s="22">
        <f t="shared" si="13"/>
        <v>3.365130579383619</v>
      </c>
      <c r="CX6" s="60">
        <f t="shared" si="14"/>
        <v>263.69846391271693</v>
      </c>
      <c r="CY6" s="60">
        <f ca="1">AVERAGE(OFFSET($CX$3,0,0,'Données projet'!$E$13+1,1))-AVERAGE(OFFSET($H$3,0,0,'Données projet'!$E$13+1,1))</f>
        <v>226.5873967387837</v>
      </c>
      <c r="CZ6" s="60">
        <f t="shared" si="42"/>
        <v>188.57459946241204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3.4358974358974361</v>
      </c>
      <c r="DO6" s="13">
        <f>IF('Données projet'!$A$166&gt;35,DO5+DN6-DW5,IF(A6&lt;'Données projet'!$A$166,$DL$205^A6,IF(A6='Données projet'!$A$166,'Données projet'!$B$166,DO5+DN6-DW5)))</f>
        <v>1.5897035519718676</v>
      </c>
      <c r="DP6" s="18">
        <f>DO6*VLOOKUP('Données projet'!$B$14,Paramètres!$A$1:$I$89,3,0)*VLOOKUP('Données projet'!$B$14,Paramètres!$A$1:$I$89,5,0)</f>
        <v>0.74398126232283412</v>
      </c>
      <c r="DQ6" s="14">
        <f t="shared" si="43"/>
        <v>0.35486588134445163</v>
      </c>
      <c r="DR6" s="22">
        <f t="shared" si="16"/>
        <v>1.9138254418871894</v>
      </c>
      <c r="DS6" s="60">
        <f t="shared" si="17"/>
        <v>262.2471587752205</v>
      </c>
      <c r="DT6" s="60">
        <f ca="1">AVERAGE(OFFSET($DS$3,0,0,'Données projet'!$E$14+1,1))-AVERAGE(OFFSET($H$3,0,0,'Données projet'!$E$14+1,1))</f>
        <v>212.19771249416107</v>
      </c>
      <c r="DU6" s="60">
        <f t="shared" si="44"/>
        <v>125.93313963856127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7" s="12">
        <f t="shared" si="32"/>
        <v>0.49811037558348636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12.274536232574283</v>
      </c>
      <c r="H7" s="68">
        <f t="shared" si="1"/>
        <v>259.43610890414124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2.2731261974102144</v>
      </c>
      <c r="P7" s="14">
        <f t="shared" si="33"/>
        <v>0.95206068424520052</v>
      </c>
      <c r="Q7" s="22">
        <f t="shared" si="2"/>
        <v>5.617200485549847</v>
      </c>
      <c r="R7" s="60">
        <f t="shared" si="0"/>
        <v>267.1727560411054</v>
      </c>
      <c r="S7" s="60">
        <f ca="1">AVERAGE(OFFSET($R$3,0,0,'Données projet'!$E$9+1,1))-AVERAGE(OFFSET($H$3,0,0,'Données projet'!$E$9+1,1))</f>
        <v>455.09463986470064</v>
      </c>
      <c r="T7" s="60">
        <f t="shared" si="34"/>
        <v>266.42568447709669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5.7600000000000007</v>
      </c>
      <c r="AI7" s="14">
        <f>IF('Données projet'!$A$62&gt;35,AI6+AH7-AQ6,IF(A7&lt;'Données projet'!$A$62,$AF$205^A7,IF(A7='Données projet'!$A$62,'Données projet'!$B$62,AI6+AH7-AQ6)))</f>
        <v>4.5206982121924604</v>
      </c>
      <c r="AJ7" s="14">
        <f>AI7*VLOOKUP('Données projet'!$B$10,Paramètres!$A$1:$I$89,3,0)*VLOOKUP('Données projet'!$B$10,Paramètres!$A$1:$I$89,5,0)</f>
        <v>3.8787590660611313</v>
      </c>
      <c r="AK7" s="14">
        <f t="shared" si="35"/>
        <v>1.5265851246558129</v>
      </c>
      <c r="AL7" s="22">
        <f t="shared" si="4"/>
        <v>9.4143077988320094</v>
      </c>
      <c r="AM7" s="60">
        <f t="shared" si="5"/>
        <v>270.96986335438754</v>
      </c>
      <c r="AN7" s="60">
        <f ca="1">AVERAGE(OFFSET($AM$3,0,0,'Données projet'!$E$10+1,1))-AVERAGE(OFFSET($H$3,0,0,'Données projet'!$E$10+1,1))</f>
        <v>201.39673092164992</v>
      </c>
      <c r="AO7" s="60">
        <f t="shared" si="36"/>
        <v>278.95637851890405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1.3039557036344289</v>
      </c>
      <c r="BD7" s="13">
        <f>IF('Données projet'!$A$88&gt;35,BD6+BC7-BL6,IF(A7&lt;'Données projet'!$A$88,$BA$205^A7,IF(A7='Données projet'!$A$88,'Données projet'!$B$88,BD6+BC7-BL6)))</f>
        <v>4.2118671109032872</v>
      </c>
      <c r="BE7" s="14">
        <f>BD7*VLOOKUP('Données projet'!$B$11,Paramètres!$A$1:$I$89,3,0)*VLOOKUP('Données projet'!$B$11,Paramètres!$A$1:$I$89,5,0)</f>
        <v>4.2051281235258422</v>
      </c>
      <c r="BF7" s="14">
        <f t="shared" si="37"/>
        <v>1.6395452027137964</v>
      </c>
      <c r="BG7" s="22">
        <f t="shared" si="7"/>
        <v>10.179472709867371</v>
      </c>
      <c r="BH7" s="60">
        <f t="shared" si="8"/>
        <v>271.7350282654229</v>
      </c>
      <c r="BI7" s="60">
        <f ca="1">AVERAGE(OFFSET($BH$3,0,0,'Données projet'!$E$11+1,1))-AVERAGE(OFFSET($H$3,0,0,'Données projet'!$E$11+1,1))</f>
        <v>123.29894837876157</v>
      </c>
      <c r="BJ7" s="60">
        <f t="shared" si="38"/>
        <v>103.52963511757127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2.1413507656762891</v>
      </c>
      <c r="CA7" s="14">
        <f t="shared" si="39"/>
        <v>0.9031249003236328</v>
      </c>
      <c r="CB7" s="22">
        <f t="shared" si="10"/>
        <v>5.3024617849498643</v>
      </c>
      <c r="CC7" s="60">
        <f t="shared" si="11"/>
        <v>266.8580173405054</v>
      </c>
      <c r="CD7" s="60">
        <f ca="1">AVERAGE(OFFSET($CC$3,0,0,'Données projet'!$E$12+1,1))-AVERAGE(OFFSET($H$3,0,0,'Données projet'!$E$12+1,1))</f>
        <v>428.49602929661046</v>
      </c>
      <c r="CE7" s="60">
        <f t="shared" si="40"/>
        <v>252.32489414103878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2.0940170940170941</v>
      </c>
      <c r="CT7" s="13">
        <f>IF('Données projet'!$A$140&gt;35,CT6+CS7-DB6,IF(A7&lt;'Données projet'!$A$140,$CQ$205^A7,IF(A7='Données projet'!$A$140,'Données projet'!$B$140,CT6+CS7-DB6)))</f>
        <v>2.5073736744273876</v>
      </c>
      <c r="CU7" s="18">
        <f>CT7*VLOOKUP('Données projet'!$B$13,Paramètres!$A$1:$I$89,3,0)*VLOOKUP('Données projet'!$B$13,Paramètres!$A$1:$I$89,5,0)</f>
        <v>1.6819462608058917</v>
      </c>
      <c r="CV7" s="14">
        <f t="shared" si="41"/>
        <v>0.72959130621706658</v>
      </c>
      <c r="CW7" s="22">
        <f t="shared" si="13"/>
        <v>4.2000945958983191</v>
      </c>
      <c r="CX7" s="60">
        <f t="shared" si="14"/>
        <v>265.75565015145384</v>
      </c>
      <c r="CY7" s="60">
        <f ca="1">AVERAGE(OFFSET($CX$3,0,0,'Données projet'!$E$13+1,1))-AVERAGE(OFFSET($H$3,0,0,'Données projet'!$E$13+1,1))</f>
        <v>226.5873967387837</v>
      </c>
      <c r="CZ7" s="60">
        <f t="shared" si="42"/>
        <v>188.57459946241204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3.4358974358974361</v>
      </c>
      <c r="DO7" s="13">
        <f>IF('Données projet'!$A$166&gt;35,DO6+DN7-DW6,IF(A7&lt;'Données projet'!$A$166,$DL$205^A7,IF(A7='Données projet'!$A$166,'Données projet'!$B$166,DO6+DN7-DW6)))</f>
        <v>1.8553315342091854</v>
      </c>
      <c r="DP7" s="18">
        <f>DO7*VLOOKUP('Données projet'!$B$14,Paramètres!$A$1:$I$89,3,0)*VLOOKUP('Données projet'!$B$14,Paramètres!$A$1:$I$89,5,0)</f>
        <v>0.86829515800989876</v>
      </c>
      <c r="DQ7" s="14">
        <f t="shared" si="43"/>
        <v>0.4067790344719715</v>
      </c>
      <c r="DR7" s="22">
        <f t="shared" si="16"/>
        <v>2.2207542185725906</v>
      </c>
      <c r="DS7" s="60">
        <f t="shared" si="17"/>
        <v>263.77630977412815</v>
      </c>
      <c r="DT7" s="60">
        <f ca="1">AVERAGE(OFFSET($DS$3,0,0,'Données projet'!$E$14+1,1))-AVERAGE(OFFSET($H$3,0,0,'Données projet'!$E$14+1,1))</f>
        <v>212.19771249416107</v>
      </c>
      <c r="DU7" s="60">
        <f t="shared" si="44"/>
        <v>125.93313963856127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1.3650000000000002</v>
      </c>
      <c r="D8" s="12">
        <f t="shared" si="32"/>
        <v>0.60667385008114294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15.219938491854441</v>
      </c>
      <c r="H8" s="68">
        <f t="shared" si="1"/>
        <v>260.10066528889132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2.740223659001499</v>
      </c>
      <c r="P8" s="14">
        <f t="shared" si="33"/>
        <v>1.1230000737947632</v>
      </c>
      <c r="Q8" s="22">
        <f t="shared" si="2"/>
        <v>6.7284480012868242</v>
      </c>
      <c r="R8" s="60">
        <f t="shared" si="0"/>
        <v>269.50622577906461</v>
      </c>
      <c r="S8" s="60">
        <f ca="1">AVERAGE(OFFSET($R$3,0,0,'Données projet'!$E$9+1,1))-AVERAGE(OFFSET($H$3,0,0,'Données projet'!$E$9+1,1))</f>
        <v>455.09463986470064</v>
      </c>
      <c r="T8" s="60">
        <f t="shared" si="34"/>
        <v>266.42568447709669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5.7600000000000007</v>
      </c>
      <c r="AI8" s="14">
        <f>IF('Données projet'!$A$62&gt;35,AI7+AH8-AQ7,IF(A8&lt;'Données projet'!$A$62,$AF$205^A8,IF(A8='Données projet'!$A$62,'Données projet'!$B$62,AI7+AH8-AQ7)))</f>
        <v>6.5918436029709655</v>
      </c>
      <c r="AJ8" s="14">
        <f>AI8*VLOOKUP('Données projet'!$B$10,Paramètres!$A$1:$I$89,3,0)*VLOOKUP('Données projet'!$B$10,Paramètres!$A$1:$I$89,5,0)</f>
        <v>5.6558018113490887</v>
      </c>
      <c r="AK8" s="14">
        <f t="shared" si="35"/>
        <v>2.1303743508312176</v>
      </c>
      <c r="AL8" s="22">
        <f t="shared" si="4"/>
        <v>13.560923482464032</v>
      </c>
      <c r="AM8" s="60">
        <f t="shared" si="5"/>
        <v>276.33870126024181</v>
      </c>
      <c r="AN8" s="60">
        <f ca="1">AVERAGE(OFFSET($AM$3,0,0,'Données projet'!$E$10+1,1))-AVERAGE(OFFSET($H$3,0,0,'Données projet'!$E$10+1,1))</f>
        <v>201.39673092164992</v>
      </c>
      <c r="AO8" s="60">
        <f t="shared" si="36"/>
        <v>278.95637851890405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1.3039557036344289</v>
      </c>
      <c r="BD8" s="13">
        <f>IF('Données projet'!$A$88&gt;35,BD7+BC8-BL7,IF(A8&lt;'Données projet'!$A$88,$BA$205^A8,IF(A8='Données projet'!$A$88,'Données projet'!$B$88,BD7+BC8-BL7)))</f>
        <v>5.5158228145377164</v>
      </c>
      <c r="BE8" s="14">
        <f>BD8*VLOOKUP('Données projet'!$B$11,Paramètres!$A$1:$I$89,3,0)*VLOOKUP('Données projet'!$B$11,Paramètres!$A$1:$I$89,5,0)</f>
        <v>5.5069974980344565</v>
      </c>
      <c r="BF8" s="14">
        <f t="shared" si="37"/>
        <v>2.0807717938861838</v>
      </c>
      <c r="BG8" s="22">
        <f t="shared" si="7"/>
        <v>13.215364850095114</v>
      </c>
      <c r="BH8" s="60">
        <f t="shared" si="8"/>
        <v>275.99314262787288</v>
      </c>
      <c r="BI8" s="60">
        <f ca="1">AVERAGE(OFFSET($BH$3,0,0,'Données projet'!$E$11+1,1))-AVERAGE(OFFSET($H$3,0,0,'Données projet'!$E$11+1,1))</f>
        <v>123.29894837876157</v>
      </c>
      <c r="BJ8" s="60">
        <f t="shared" si="38"/>
        <v>103.52963511757127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2.5813701135521372</v>
      </c>
      <c r="CA8" s="14">
        <f t="shared" si="39"/>
        <v>1.0652780295337991</v>
      </c>
      <c r="CB8" s="22">
        <f t="shared" si="10"/>
        <v>6.3512455158746723</v>
      </c>
      <c r="CC8" s="60">
        <f t="shared" si="11"/>
        <v>269.12902329365244</v>
      </c>
      <c r="CD8" s="60">
        <f ca="1">AVERAGE(OFFSET($CC$3,0,0,'Données projet'!$E$12+1,1))-AVERAGE(OFFSET($H$3,0,0,'Données projet'!$E$12+1,1))</f>
        <v>428.49602929661046</v>
      </c>
      <c r="CE8" s="60">
        <f t="shared" si="40"/>
        <v>252.32489414103878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2.0940170940170941</v>
      </c>
      <c r="CT8" s="13">
        <f>IF('Données projet'!$A$140&gt;35,CT7+CS8-DB7,IF(A8&lt;'Données projet'!$A$140,$CQ$205^A8,IF(A8='Données projet'!$A$140,'Données projet'!$B$140,CT7+CS8-DB7)))</f>
        <v>3.1551777249667929</v>
      </c>
      <c r="CU8" s="18">
        <f>CT8*VLOOKUP('Données projet'!$B$13,Paramètres!$A$1:$I$89,3,0)*VLOOKUP('Données projet'!$B$13,Paramètres!$A$1:$I$89,5,0)</f>
        <v>2.1164932179077245</v>
      </c>
      <c r="CV8" s="14">
        <f t="shared" si="41"/>
        <v>0.8938551383919876</v>
      </c>
      <c r="CW8" s="22">
        <f t="shared" si="13"/>
        <v>5.2430233872219976</v>
      </c>
      <c r="CX8" s="60">
        <f t="shared" si="14"/>
        <v>268.0208011649998</v>
      </c>
      <c r="CY8" s="60">
        <f ca="1">AVERAGE(OFFSET($CX$3,0,0,'Données projet'!$E$13+1,1))-AVERAGE(OFFSET($H$3,0,0,'Données projet'!$E$13+1,1))</f>
        <v>226.5873967387837</v>
      </c>
      <c r="CZ8" s="60">
        <f t="shared" si="42"/>
        <v>188.57459946241204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3.4358974358974361</v>
      </c>
      <c r="DO8" s="13">
        <f>IF('Données projet'!$A$166&gt;35,DO7+DN8-DW7,IF(A8&lt;'Données projet'!$A$166,$DL$205^A8,IF(A8='Données projet'!$A$166,'Données projet'!$B$166,DO7+DN8-DW7)))</f>
        <v>2.1653440338365213</v>
      </c>
      <c r="DP8" s="18">
        <f>DO8*VLOOKUP('Données projet'!$B$14,Paramètres!$A$1:$I$89,3,0)*VLOOKUP('Données projet'!$B$14,Paramètres!$A$1:$I$89,5,0)</f>
        <v>1.0133810078354919</v>
      </c>
      <c r="DQ8" s="14">
        <f t="shared" si="43"/>
        <v>0.46628653692783789</v>
      </c>
      <c r="DR8" s="22">
        <f t="shared" si="16"/>
        <v>2.5770876404627994</v>
      </c>
      <c r="DS8" s="60">
        <f t="shared" si="17"/>
        <v>265.35486541824059</v>
      </c>
      <c r="DT8" s="60">
        <f ca="1">AVERAGE(OFFSET($DS$3,0,0,'Données projet'!$E$14+1,1))-AVERAGE(OFFSET($H$3,0,0,'Données projet'!$E$14+1,1))</f>
        <v>212.19771249416107</v>
      </c>
      <c r="DU8" s="60">
        <f t="shared" si="44"/>
        <v>125.93313963856127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1.6380000000000003</v>
      </c>
      <c r="D9" s="12">
        <f t="shared" si="32"/>
        <v>0.71272144204532062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18.145919903507739</v>
      </c>
      <c r="H9" s="68">
        <f t="shared" si="1"/>
        <v>260.7608398448956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3.3033034901038101</v>
      </c>
      <c r="P9" s="14">
        <f t="shared" si="33"/>
        <v>1.3246310730107231</v>
      </c>
      <c r="Q9" s="22">
        <f t="shared" si="2"/>
        <v>8.0603193640911446</v>
      </c>
      <c r="R9" s="60">
        <f t="shared" si="0"/>
        <v>272.06031936409113</v>
      </c>
      <c r="S9" s="60">
        <f ca="1">AVERAGE(OFFSET($R$3,0,0,'Données projet'!$E$9+1,1))-AVERAGE(OFFSET($H$3,0,0,'Données projet'!$E$9+1,1))</f>
        <v>455.09463986470064</v>
      </c>
      <c r="T9" s="60">
        <f t="shared" si="34"/>
        <v>266.42568447709669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5.7600000000000007</v>
      </c>
      <c r="AI9" s="14">
        <f>IF('Données projet'!$A$62&gt;35,AI8+AH9-AQ8,IF(A9&lt;'Données projet'!$A$62,$AF$205^A9,IF(A9='Données projet'!$A$62,'Données projet'!$B$62,AI8+AH9-AQ8)))</f>
        <v>9.6118785299219489</v>
      </c>
      <c r="AJ9" s="14">
        <f>AI9*VLOOKUP('Données projet'!$B$10,Paramètres!$A$1:$I$89,3,0)*VLOOKUP('Données projet'!$B$10,Paramètres!$A$1:$I$89,5,0)</f>
        <v>8.2469917786730331</v>
      </c>
      <c r="AK9" s="14">
        <f t="shared" si="35"/>
        <v>2.9729720284696155</v>
      </c>
      <c r="AL9" s="22">
        <f t="shared" si="4"/>
        <v>19.541436964106779</v>
      </c>
      <c r="AM9" s="60">
        <f t="shared" si="5"/>
        <v>283.54143696410677</v>
      </c>
      <c r="AN9" s="60">
        <f ca="1">AVERAGE(OFFSET($AM$3,0,0,'Données projet'!$E$10+1,1))-AVERAGE(OFFSET($H$3,0,0,'Données projet'!$E$10+1,1))</f>
        <v>201.39673092164992</v>
      </c>
      <c r="AO9" s="60">
        <f t="shared" si="36"/>
        <v>278.95637851890405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1.3039557036344289</v>
      </c>
      <c r="BD9" s="13">
        <f>IF('Données projet'!$A$88&gt;35,BD8+BC9-BL8,IF(A9&lt;'Données projet'!$A$88,$BA$205^A9,IF(A9='Données projet'!$A$88,'Données projet'!$B$88,BD8+BC9-BL8)))</f>
        <v>6.8197785181721455</v>
      </c>
      <c r="BE9" s="14">
        <f>BD9*VLOOKUP('Données projet'!$B$11,Paramètres!$A$1:$I$89,3,0)*VLOOKUP('Données projet'!$B$11,Paramètres!$A$1:$I$89,5,0)</f>
        <v>6.8088668725430699</v>
      </c>
      <c r="BF9" s="14">
        <f t="shared" si="37"/>
        <v>2.5099033374800355</v>
      </c>
      <c r="BG9" s="22">
        <f t="shared" si="7"/>
        <v>16.230191449123577</v>
      </c>
      <c r="BH9" s="60">
        <f t="shared" si="8"/>
        <v>280.23019144912359</v>
      </c>
      <c r="BI9" s="60">
        <f ca="1">AVERAGE(OFFSET($BH$3,0,0,'Données projet'!$E$11+1,1))-AVERAGE(OFFSET($H$3,0,0,'Données projet'!$E$11+1,1))</f>
        <v>123.29894837876157</v>
      </c>
      <c r="BJ9" s="60">
        <f t="shared" si="38"/>
        <v>103.52963511757127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3.111807635605039</v>
      </c>
      <c r="CA9" s="14">
        <f t="shared" si="39"/>
        <v>1.2565452240335246</v>
      </c>
      <c r="CB9" s="22">
        <f t="shared" si="10"/>
        <v>7.6082145638704972</v>
      </c>
      <c r="CC9" s="60">
        <f t="shared" si="11"/>
        <v>271.60821456387049</v>
      </c>
      <c r="CD9" s="60">
        <f ca="1">AVERAGE(OFFSET($CC$3,0,0,'Données projet'!$E$12+1,1))-AVERAGE(OFFSET($H$3,0,0,'Données projet'!$E$12+1,1))</f>
        <v>428.49602929661046</v>
      </c>
      <c r="CE9" s="60">
        <f t="shared" si="40"/>
        <v>252.32489414103878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2.0940170940170941</v>
      </c>
      <c r="CT9" s="13">
        <f>IF('Données projet'!$A$140&gt;35,CT8+CS9-DB8,IF(A9&lt;'Données projet'!$A$140,$CQ$205^A9,IF(A9='Données projet'!$A$140,'Données projet'!$B$140,CT8+CS9-DB8)))</f>
        <v>3.9703481685473538</v>
      </c>
      <c r="CU9" s="18">
        <f>CT9*VLOOKUP('Données projet'!$B$13,Paramètres!$A$1:$I$89,3,0)*VLOOKUP('Données projet'!$B$13,Paramètres!$A$1:$I$89,5,0)</f>
        <v>2.6633095514615648</v>
      </c>
      <c r="CV9" s="14">
        <f t="shared" si="41"/>
        <v>1.0951021505073271</v>
      </c>
      <c r="CW9" s="22">
        <f t="shared" si="13"/>
        <v>6.5459003809291518</v>
      </c>
      <c r="CX9" s="60">
        <f t="shared" si="14"/>
        <v>270.54590038092914</v>
      </c>
      <c r="CY9" s="60">
        <f ca="1">AVERAGE(OFFSET($CX$3,0,0,'Données projet'!$E$13+1,1))-AVERAGE(OFFSET($H$3,0,0,'Données projet'!$E$13+1,1))</f>
        <v>226.5873967387837</v>
      </c>
      <c r="CZ9" s="60">
        <f t="shared" si="42"/>
        <v>188.57459946241204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3.4358974358974361</v>
      </c>
      <c r="DO9" s="13">
        <f>IF('Données projet'!$A$166&gt;35,DO8+DN9-DW8,IF(A9&lt;'Données projet'!$A$166,$DL$205^A9,IF(A9='Données projet'!$A$166,'Données projet'!$B$166,DO8+DN9-DW8)))</f>
        <v>2.5271573831519722</v>
      </c>
      <c r="DP9" s="18">
        <f>DO9*VLOOKUP('Données projet'!$B$14,Paramètres!$A$1:$I$89,3,0)*VLOOKUP('Données projet'!$B$14,Paramètres!$A$1:$I$89,5,0)</f>
        <v>1.1827096553151231</v>
      </c>
      <c r="DQ9" s="14">
        <f t="shared" si="43"/>
        <v>0.53449936229478223</v>
      </c>
      <c r="DR9" s="22">
        <f t="shared" si="16"/>
        <v>2.990805705670585</v>
      </c>
      <c r="DS9" s="60">
        <f t="shared" si="17"/>
        <v>266.9908057056706</v>
      </c>
      <c r="DT9" s="60">
        <f ca="1">AVERAGE(OFFSET($DS$3,0,0,'Données projet'!$E$14+1,1))-AVERAGE(OFFSET($H$3,0,0,'Données projet'!$E$14+1,1))</f>
        <v>212.19771249416107</v>
      </c>
      <c r="DU9" s="60">
        <f t="shared" si="44"/>
        <v>125.93313963856127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1.9110000000000005</v>
      </c>
      <c r="D10" s="12">
        <f t="shared" si="32"/>
        <v>0.81672153669562542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21.056096072738168</v>
      </c>
      <c r="H10" s="68">
        <f t="shared" si="1"/>
        <v>261.41744834307821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3.982088802090022</v>
      </c>
      <c r="P10" s="14">
        <f t="shared" si="33"/>
        <v>1.5624642602705792</v>
      </c>
      <c r="Q10" s="22">
        <f t="shared" si="2"/>
        <v>9.6567632502780452</v>
      </c>
      <c r="R10" s="60">
        <f t="shared" si="0"/>
        <v>274.87898547250029</v>
      </c>
      <c r="S10" s="60">
        <f ca="1">AVERAGE(OFFSET($R$3,0,0,'Données projet'!$E$9+1,1))-AVERAGE(OFFSET($H$3,0,0,'Données projet'!$E$9+1,1))</f>
        <v>455.09463986470064</v>
      </c>
      <c r="T10" s="60">
        <f t="shared" si="34"/>
        <v>266.42568447709669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5.7600000000000007</v>
      </c>
      <c r="AI10" s="14">
        <f>IF('Données projet'!$A$62&gt;35,AI9+AH10-AQ9,IF(A10&lt;'Données projet'!$A$62,$AF$205^A10,IF(A10='Données projet'!$A$62,'Données projet'!$B$62,AI9+AH10-AQ9)))</f>
        <v>14.015534111327343</v>
      </c>
      <c r="AJ10" s="14">
        <f>AI10*VLOOKUP('Données projet'!$B$10,Paramètres!$A$1:$I$89,3,0)*VLOOKUP('Données projet'!$B$10,Paramètres!$A$1:$I$89,5,0)</f>
        <v>12.02532826751886</v>
      </c>
      <c r="AK10" s="14">
        <f t="shared" si="35"/>
        <v>4.1488307811320393</v>
      </c>
      <c r="AL10" s="22">
        <f t="shared" si="4"/>
        <v>28.169993676400313</v>
      </c>
      <c r="AM10" s="60">
        <f t="shared" si="5"/>
        <v>293.39221589862257</v>
      </c>
      <c r="AN10" s="60">
        <f ca="1">AVERAGE(OFFSET($AM$3,0,0,'Données projet'!$E$10+1,1))-AVERAGE(OFFSET($H$3,0,0,'Données projet'!$E$10+1,1))</f>
        <v>201.39673092164992</v>
      </c>
      <c r="AO10" s="60">
        <f t="shared" si="36"/>
        <v>278.95637851890405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1.3039557036344289</v>
      </c>
      <c r="BD10" s="13">
        <f>IF('Données projet'!$A$88&gt;35,BD9+BC10-BL9,IF(A10&lt;'Données projet'!$A$88,$BA$205^A10,IF(A10='Données projet'!$A$88,'Données projet'!$B$88,BD9+BC10-BL9)))</f>
        <v>8.1237342218065738</v>
      </c>
      <c r="BE10" s="14">
        <f>BD10*VLOOKUP('Données projet'!$B$11,Paramètres!$A$1:$I$89,3,0)*VLOOKUP('Données projet'!$B$11,Paramètres!$A$1:$I$89,5,0)</f>
        <v>8.1107362470516833</v>
      </c>
      <c r="BF10" s="14">
        <f t="shared" si="37"/>
        <v>2.9295284987749604</v>
      </c>
      <c r="BG10" s="22">
        <f t="shared" si="7"/>
        <v>19.228461098981406</v>
      </c>
      <c r="BH10" s="60">
        <f t="shared" si="8"/>
        <v>284.45068332120366</v>
      </c>
      <c r="BI10" s="60">
        <f ca="1">AVERAGE(OFFSET($BH$3,0,0,'Données projet'!$E$11+1,1))-AVERAGE(OFFSET($H$3,0,0,'Données projet'!$E$11+1,1))</f>
        <v>123.29894837876157</v>
      </c>
      <c r="BJ10" s="60">
        <f t="shared" si="38"/>
        <v>103.52963511757127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3.7512430744326299</v>
      </c>
      <c r="CA10" s="14">
        <f t="shared" si="39"/>
        <v>1.4821538192545303</v>
      </c>
      <c r="CB10" s="22">
        <f t="shared" si="10"/>
        <v>9.1148329231718037</v>
      </c>
      <c r="CC10" s="60">
        <f t="shared" si="11"/>
        <v>274.33705514539406</v>
      </c>
      <c r="CD10" s="60">
        <f ca="1">AVERAGE(OFFSET($CC$3,0,0,'Données projet'!$E$12+1,1))-AVERAGE(OFFSET($H$3,0,0,'Données projet'!$E$12+1,1))</f>
        <v>428.49602929661046</v>
      </c>
      <c r="CE10" s="60">
        <f t="shared" si="40"/>
        <v>252.32489414103878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2.0940170940170941</v>
      </c>
      <c r="CT10" s="13">
        <f>IF('Données projet'!$A$140&gt;35,CT9+CS10-DB9,IF(A10&lt;'Données projet'!$A$140,$CQ$205^A10,IF(A10='Données projet'!$A$140,'Données projet'!$B$140,CT9+CS10-DB9)))</f>
        <v>4.9961257189254642</v>
      </c>
      <c r="CU10" s="18">
        <f>CT10*VLOOKUP('Données projet'!$B$13,Paramètres!$A$1:$I$89,3,0)*VLOOKUP('Données projet'!$B$13,Paramètres!$A$1:$I$89,5,0)</f>
        <v>3.3514011322552011</v>
      </c>
      <c r="CV10" s="14">
        <f t="shared" si="41"/>
        <v>1.3416589204859044</v>
      </c>
      <c r="CW10" s="22">
        <f t="shared" si="13"/>
        <v>8.1737462585240923</v>
      </c>
      <c r="CX10" s="60">
        <f t="shared" si="14"/>
        <v>273.39596848074632</v>
      </c>
      <c r="CY10" s="60">
        <f ca="1">AVERAGE(OFFSET($CX$3,0,0,'Données projet'!$E$13+1,1))-AVERAGE(OFFSET($H$3,0,0,'Données projet'!$E$13+1,1))</f>
        <v>226.5873967387837</v>
      </c>
      <c r="CZ10" s="60">
        <f t="shared" si="42"/>
        <v>188.57459946241204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3.4358974358974361</v>
      </c>
      <c r="DO10" s="13">
        <f>IF('Données projet'!$A$166&gt;35,DO9+DN10-DW9,IF(A10&lt;'Données projet'!$A$166,$DL$205^A10,IF(A10='Données projet'!$A$166,'Données projet'!$B$166,DO9+DN10-DW9)))</f>
        <v>2.9494271300177566</v>
      </c>
      <c r="DP10" s="18">
        <f>DO10*VLOOKUP('Données projet'!$B$14,Paramètres!$A$1:$I$89,3,0)*VLOOKUP('Données projet'!$B$14,Paramètres!$A$1:$I$89,5,0)</f>
        <v>1.38033189684831</v>
      </c>
      <c r="DQ10" s="14">
        <f t="shared" si="43"/>
        <v>0.6126910079279041</v>
      </c>
      <c r="DR10" s="22">
        <f t="shared" si="16"/>
        <v>3.4711815591519066</v>
      </c>
      <c r="DS10" s="60">
        <f t="shared" si="17"/>
        <v>268.69340378137412</v>
      </c>
      <c r="DT10" s="60">
        <f ca="1">AVERAGE(OFFSET($DS$3,0,0,'Données projet'!$E$14+1,1))-AVERAGE(OFFSET($H$3,0,0,'Données projet'!$E$14+1,1))</f>
        <v>212.19771249416107</v>
      </c>
      <c r="DU10" s="60">
        <f t="shared" si="44"/>
        <v>125.93313963856127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2.1840000000000006</v>
      </c>
      <c r="D11" s="12">
        <f t="shared" si="32"/>
        <v>0.91900038282935026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23.952985411314291</v>
      </c>
      <c r="H11" s="68">
        <f t="shared" si="1"/>
        <v>262.07105900009446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4.8003555456638995</v>
      </c>
      <c r="P11" s="14">
        <f t="shared" si="33"/>
        <v>1.8429996203200378</v>
      </c>
      <c r="Q11" s="22">
        <f t="shared" si="2"/>
        <v>11.570510247422023</v>
      </c>
      <c r="R11" s="60">
        <f t="shared" si="0"/>
        <v>278.01495469186648</v>
      </c>
      <c r="S11" s="60">
        <f ca="1">AVERAGE(OFFSET($R$3,0,0,'Données projet'!$E$9+1,1))-AVERAGE(OFFSET($H$3,0,0,'Données projet'!$E$9+1,1))</f>
        <v>455.09463986470064</v>
      </c>
      <c r="T11" s="60">
        <f t="shared" si="34"/>
        <v>266.42568447709669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5.7600000000000007</v>
      </c>
      <c r="AI11" s="14">
        <f>IF('Données projet'!$A$62&gt;35,AI10+AH11-AQ10,IF(A11&lt;'Données projet'!$A$62,$AF$205^A11,IF(A11='Données projet'!$A$62,'Données projet'!$B$62,AI10+AH11-AQ10)))</f>
        <v>20.436712325720109</v>
      </c>
      <c r="AJ11" s="14">
        <f>AI11*VLOOKUP('Données projet'!$B$10,Paramètres!$A$1:$I$89,3,0)*VLOOKUP('Données projet'!$B$10,Paramètres!$A$1:$I$89,5,0)</f>
        <v>17.534699175467857</v>
      </c>
      <c r="AK11" s="14">
        <f t="shared" si="35"/>
        <v>5.7897607799994137</v>
      </c>
      <c r="AL11" s="22">
        <f t="shared" si="4"/>
        <v>40.623434422438827</v>
      </c>
      <c r="AM11" s="60">
        <f t="shared" si="5"/>
        <v>307.06787886688329</v>
      </c>
      <c r="AN11" s="60">
        <f ca="1">AVERAGE(OFFSET($AM$3,0,0,'Données projet'!$E$10+1,1))-AVERAGE(OFFSET($H$3,0,0,'Données projet'!$E$10+1,1))</f>
        <v>201.39673092164992</v>
      </c>
      <c r="AO11" s="60">
        <f t="shared" si="36"/>
        <v>278.95637851890405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1.3039557036344289</v>
      </c>
      <c r="BD11" s="13">
        <f>IF('Données projet'!$A$88&gt;35,BD10+BC11-BL10,IF(A11&lt;'Données projet'!$A$88,$BA$205^A11,IF(A11='Données projet'!$A$88,'Données projet'!$B$88,BD10+BC11-BL10)))</f>
        <v>9.4276899254410029</v>
      </c>
      <c r="BE11" s="14">
        <f>BD11*VLOOKUP('Données projet'!$B$11,Paramètres!$A$1:$I$89,3,0)*VLOOKUP('Données projet'!$B$11,Paramètres!$A$1:$I$89,5,0)</f>
        <v>9.4126056215602976</v>
      </c>
      <c r="BF11" s="14">
        <f t="shared" si="37"/>
        <v>3.3413509994984132</v>
      </c>
      <c r="BG11" s="22">
        <f t="shared" si="7"/>
        <v>22.213141115010586</v>
      </c>
      <c r="BH11" s="60">
        <f t="shared" si="8"/>
        <v>288.65758555945501</v>
      </c>
      <c r="BI11" s="60">
        <f ca="1">AVERAGE(OFFSET($BH$3,0,0,'Données projet'!$E$11+1,1))-AVERAGE(OFFSET($H$3,0,0,'Données projet'!$E$11+1,1))</f>
        <v>123.29894837876157</v>
      </c>
      <c r="BJ11" s="60">
        <f t="shared" si="38"/>
        <v>103.52963511757127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4.5220740647558486</v>
      </c>
      <c r="CA11" s="14">
        <f t="shared" si="39"/>
        <v>1.7482697016499746</v>
      </c>
      <c r="CB11" s="22">
        <f t="shared" si="10"/>
        <v>10.92084872649014</v>
      </c>
      <c r="CC11" s="60">
        <f t="shared" si="11"/>
        <v>277.36529317093459</v>
      </c>
      <c r="CD11" s="60">
        <f ca="1">AVERAGE(OFFSET($CC$3,0,0,'Données projet'!$E$12+1,1))-AVERAGE(OFFSET($H$3,0,0,'Données projet'!$E$12+1,1))</f>
        <v>428.49602929661046</v>
      </c>
      <c r="CE11" s="60">
        <f t="shared" si="40"/>
        <v>252.32489414103878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2.0940170940170941</v>
      </c>
      <c r="CT11" s="13">
        <f>IF('Données projet'!$A$140&gt;35,CT10+CS11-DB10,IF(A11&lt;'Données projet'!$A$140,$CQ$205^A11,IF(A11='Données projet'!$A$140,'Données projet'!$B$140,CT10+CS11-DB10)))</f>
        <v>6.2869227432114991</v>
      </c>
      <c r="CU11" s="18">
        <f>CT11*VLOOKUP('Données projet'!$B$13,Paramètres!$A$1:$I$89,3,0)*VLOOKUP('Données projet'!$B$13,Paramètres!$A$1:$I$89,5,0)</f>
        <v>4.217267776146274</v>
      </c>
      <c r="CV11" s="14">
        <f t="shared" si="41"/>
        <v>1.6437267136088582</v>
      </c>
      <c r="CW11" s="22">
        <f t="shared" si="13"/>
        <v>10.207898736323521</v>
      </c>
      <c r="CX11" s="60">
        <f t="shared" si="14"/>
        <v>276.65234318076796</v>
      </c>
      <c r="CY11" s="60">
        <f ca="1">AVERAGE(OFFSET($CX$3,0,0,'Données projet'!$E$13+1,1))-AVERAGE(OFFSET($H$3,0,0,'Données projet'!$E$13+1,1))</f>
        <v>226.5873967387837</v>
      </c>
      <c r="CZ11" s="60">
        <f t="shared" si="42"/>
        <v>188.57459946241204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3.4358974358974361</v>
      </c>
      <c r="DO11" s="13">
        <f>IF('Données projet'!$A$166&gt;35,DO10+DN11-DW10,IF(A11&lt;'Données projet'!$A$166,$DL$205^A11,IF(A11='Données projet'!$A$166,'Données projet'!$B$166,DO10+DN11-DW10)))</f>
        <v>3.4422551018310097</v>
      </c>
      <c r="DP11" s="18">
        <f>DO11*VLOOKUP('Données projet'!$B$14,Paramètres!$A$1:$I$89,3,0)*VLOOKUP('Données projet'!$B$14,Paramètres!$A$1:$I$89,5,0)</f>
        <v>1.6109753876569124</v>
      </c>
      <c r="DQ11" s="14">
        <f t="shared" si="43"/>
        <v>0.70232127047642601</v>
      </c>
      <c r="DR11" s="22">
        <f t="shared" si="16"/>
        <v>4.0289916795822309</v>
      </c>
      <c r="DS11" s="60">
        <f t="shared" si="17"/>
        <v>270.4734361240267</v>
      </c>
      <c r="DT11" s="60">
        <f ca="1">AVERAGE(OFFSET($DS$3,0,0,'Données projet'!$E$14+1,1))-AVERAGE(OFFSET($H$3,0,0,'Données projet'!$E$14+1,1))</f>
        <v>212.19771249416107</v>
      </c>
      <c r="DU11" s="60">
        <f t="shared" si="44"/>
        <v>125.93313963856127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2.4570000000000007</v>
      </c>
      <c r="D12" s="12">
        <f t="shared" si="32"/>
        <v>1.0197977774627227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26.838438983922781</v>
      </c>
      <c r="H12" s="68">
        <f t="shared" si="1"/>
        <v>262.72208946241426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5.7867653159044812</v>
      </c>
      <c r="P12" s="14">
        <f t="shared" si="33"/>
        <v>2.1739041889582755</v>
      </c>
      <c r="Q12" s="22">
        <f t="shared" si="2"/>
        <v>13.864832720969302</v>
      </c>
      <c r="R12" s="60">
        <f t="shared" si="0"/>
        <v>281.53149938763596</v>
      </c>
      <c r="S12" s="60">
        <f ca="1">AVERAGE(OFFSET($R$3,0,0,'Données projet'!$E$9+1,1))-AVERAGE(OFFSET($H$3,0,0,'Données projet'!$E$9+1,1))</f>
        <v>455.09463986470064</v>
      </c>
      <c r="T12" s="60">
        <f t="shared" si="34"/>
        <v>266.42568447709669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5.7600000000000007</v>
      </c>
      <c r="AI12" s="14">
        <f>IF('Données projet'!$A$62&gt;35,AI11+AH12-AQ11,IF(A12&lt;'Données projet'!$A$62,$AF$205^A12,IF(A12='Données projet'!$A$62,'Données projet'!$B$62,AI11+AH12-AQ11)))</f>
        <v>29.799735591003152</v>
      </c>
      <c r="AJ12" s="14">
        <f>AI12*VLOOKUP('Données projet'!$B$10,Paramètres!$A$1:$I$89,3,0)*VLOOKUP('Données projet'!$B$10,Paramètres!$A$1:$I$89,5,0)</f>
        <v>25.568173137080709</v>
      </c>
      <c r="AK12" s="14">
        <f t="shared" si="35"/>
        <v>8.0797052610742721</v>
      </c>
      <c r="AL12" s="22">
        <f t="shared" si="4"/>
        <v>58.603388210119924</v>
      </c>
      <c r="AM12" s="60">
        <f t="shared" si="5"/>
        <v>326.27005487678662</v>
      </c>
      <c r="AN12" s="60">
        <f ca="1">AVERAGE(OFFSET($AM$3,0,0,'Données projet'!$E$10+1,1))-AVERAGE(OFFSET($H$3,0,0,'Données projet'!$E$10+1,1))</f>
        <v>201.39673092164992</v>
      </c>
      <c r="AO12" s="60">
        <f t="shared" si="36"/>
        <v>278.95637851890405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1.3039557036344289</v>
      </c>
      <c r="BD12" s="13">
        <f>IF('Données projet'!$A$88&gt;35,BD11+BC12-BL11,IF(A12&lt;'Données projet'!$A$88,$BA$205^A12,IF(A12='Données projet'!$A$88,'Données projet'!$B$88,BD11+BC12-BL11)))</f>
        <v>10.731645629075432</v>
      </c>
      <c r="BE12" s="14">
        <f>BD12*VLOOKUP('Données projet'!$B$11,Paramètres!$A$1:$I$89,3,0)*VLOOKUP('Données projet'!$B$11,Paramètres!$A$1:$I$89,5,0)</f>
        <v>10.714474996068912</v>
      </c>
      <c r="BF12" s="14">
        <f t="shared" si="37"/>
        <v>3.7465742878287456</v>
      </c>
      <c r="BG12" s="22">
        <f t="shared" si="7"/>
        <v>25.186327502788419</v>
      </c>
      <c r="BH12" s="60">
        <f t="shared" si="8"/>
        <v>292.85299416945509</v>
      </c>
      <c r="BI12" s="60">
        <f ca="1">AVERAGE(OFFSET($BH$3,0,0,'Données projet'!$E$11+1,1))-AVERAGE(OFFSET($H$3,0,0,'Données projet'!$E$11+1,1))</f>
        <v>123.29894837876157</v>
      </c>
      <c r="BJ12" s="60">
        <f t="shared" si="38"/>
        <v>103.52963511757127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5.4513006599100189</v>
      </c>
      <c r="CA12" s="14">
        <f t="shared" si="39"/>
        <v>2.062165822468125</v>
      </c>
      <c r="CB12" s="22">
        <f t="shared" si="10"/>
        <v>13.085954123475267</v>
      </c>
      <c r="CC12" s="60">
        <f t="shared" si="11"/>
        <v>280.75262079014198</v>
      </c>
      <c r="CD12" s="60">
        <f ca="1">AVERAGE(OFFSET($CC$3,0,0,'Données projet'!$E$12+1,1))-AVERAGE(OFFSET($H$3,0,0,'Données projet'!$E$12+1,1))</f>
        <v>428.49602929661046</v>
      </c>
      <c r="CE12" s="60">
        <f t="shared" si="40"/>
        <v>252.32489414103878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2.0940170940170941</v>
      </c>
      <c r="CT12" s="13">
        <f>IF('Données projet'!$A$140&gt;35,CT11+CS12-DB11,IF(A12&lt;'Données projet'!$A$140,$CQ$205^A12,IF(A12='Données projet'!$A$140,'Données projet'!$B$140,CT11+CS12-DB11)))</f>
        <v>7.9112095657214336</v>
      </c>
      <c r="CU12" s="18">
        <f>CT12*VLOOKUP('Données projet'!$B$13,Paramètres!$A$1:$I$89,3,0)*VLOOKUP('Données projet'!$B$13,Paramètres!$A$1:$I$89,5,0)</f>
        <v>5.3068393766859385</v>
      </c>
      <c r="CV12" s="14">
        <f t="shared" si="41"/>
        <v>2.0138035589946082</v>
      </c>
      <c r="CW12" s="22">
        <f t="shared" si="13"/>
        <v>12.750119779643619</v>
      </c>
      <c r="CX12" s="60">
        <f t="shared" si="14"/>
        <v>280.41678644631031</v>
      </c>
      <c r="CY12" s="60">
        <f ca="1">AVERAGE(OFFSET($CX$3,0,0,'Données projet'!$E$13+1,1))-AVERAGE(OFFSET($H$3,0,0,'Données projet'!$E$13+1,1))</f>
        <v>226.5873967387837</v>
      </c>
      <c r="CZ12" s="60">
        <f t="shared" si="42"/>
        <v>188.57459946241204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3.4358974358974361</v>
      </c>
      <c r="DO12" s="13">
        <f>IF('Données projet'!$A$166&gt;35,DO11+DN12-DW11,IF(A12&lt;'Données projet'!$A$166,$DL$205^A12,IF(A12='Données projet'!$A$166,'Données projet'!$B$166,DO11+DN12-DW11)))</f>
        <v>4.0174310683886194</v>
      </c>
      <c r="DP12" s="18">
        <f>DO12*VLOOKUP('Données projet'!$B$14,Paramètres!$A$1:$I$89,3,0)*VLOOKUP('Données projet'!$B$14,Paramètres!$A$1:$I$89,5,0)</f>
        <v>1.8801577400058738</v>
      </c>
      <c r="DQ12" s="14">
        <f t="shared" si="43"/>
        <v>0.80506349951468992</v>
      </c>
      <c r="DR12" s="22">
        <f t="shared" si="16"/>
        <v>4.6767603254983152</v>
      </c>
      <c r="DS12" s="60">
        <f t="shared" si="17"/>
        <v>272.34342699216501</v>
      </c>
      <c r="DT12" s="60">
        <f ca="1">AVERAGE(OFFSET($DS$3,0,0,'Données projet'!$E$14+1,1))-AVERAGE(OFFSET($H$3,0,0,'Données projet'!$E$14+1,1))</f>
        <v>212.19771249416107</v>
      </c>
      <c r="DU12" s="60">
        <f t="shared" si="44"/>
        <v>125.93313963856127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2.7300000000000009</v>
      </c>
      <c r="D13" s="12">
        <f t="shared" si="32"/>
        <v>1.1192971032254277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29.713872375775242</v>
      </c>
      <c r="H13" s="68">
        <f t="shared" si="1"/>
        <v>263.37085912145096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6.9758692877662263</v>
      </c>
      <c r="P13" s="14">
        <f t="shared" si="33"/>
        <v>2.5642215932468222</v>
      </c>
      <c r="Q13" s="22">
        <f t="shared" si="2"/>
        <v>16.61565828443106</v>
      </c>
      <c r="R13" s="60">
        <f t="shared" si="0"/>
        <v>285.50454717331991</v>
      </c>
      <c r="S13" s="60">
        <f ca="1">AVERAGE(OFFSET($R$3,0,0,'Données projet'!$E$9+1,1))-AVERAGE(OFFSET($H$3,0,0,'Données projet'!$E$9+1,1))</f>
        <v>455.09463986470064</v>
      </c>
      <c r="T13" s="60">
        <f t="shared" si="34"/>
        <v>266.42568447709669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5.7600000000000007</v>
      </c>
      <c r="AI13" s="14">
        <f>IF('Données projet'!$A$62&gt;35,AI12+AH13-AQ12,IF(A13&lt;'Données projet'!$A$62,$AF$205^A13,IF(A13='Données projet'!$A$62,'Données projet'!$B$62,AI12+AH13-AQ12)))</f>
        <v>43.452402086029245</v>
      </c>
      <c r="AJ13" s="14">
        <f>AI13*VLOOKUP('Données projet'!$B$10,Paramètres!$A$1:$I$89,3,0)*VLOOKUP('Données projet'!$B$10,Paramètres!$A$1:$I$89,5,0)</f>
        <v>37.2821609898131</v>
      </c>
      <c r="AK13" s="14">
        <f t="shared" si="35"/>
        <v>11.275359999560791</v>
      </c>
      <c r="AL13" s="22">
        <f t="shared" si="4"/>
        <v>84.571015723159533</v>
      </c>
      <c r="AM13" s="60">
        <f t="shared" si="5"/>
        <v>353.45990461204838</v>
      </c>
      <c r="AN13" s="60">
        <f ca="1">AVERAGE(OFFSET($AM$3,0,0,'Données projet'!$E$10+1,1))-AVERAGE(OFFSET($H$3,0,0,'Données projet'!$E$10+1,1))</f>
        <v>201.39673092164992</v>
      </c>
      <c r="AO13" s="60">
        <f t="shared" si="36"/>
        <v>278.95637851890405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1.3039557036344289</v>
      </c>
      <c r="BD13" s="13">
        <f>IF('Données projet'!$A$88&gt;35,BD12+BC13-BL12,IF(A13&lt;'Données projet'!$A$88,$BA$205^A13,IF(A13='Données projet'!$A$88,'Données projet'!$B$88,BD12+BC13-BL12)))</f>
        <v>12.035601332709861</v>
      </c>
      <c r="BE13" s="14">
        <f>BD13*VLOOKUP('Données projet'!$B$11,Paramètres!$A$1:$I$89,3,0)*VLOOKUP('Données projet'!$B$11,Paramètres!$A$1:$I$89,5,0)</f>
        <v>12.016344370577526</v>
      </c>
      <c r="BF13" s="14">
        <f t="shared" si="37"/>
        <v>4.1460919318269651</v>
      </c>
      <c r="BG13" s="22">
        <f t="shared" si="7"/>
        <v>28.149576560021149</v>
      </c>
      <c r="BH13" s="60">
        <f t="shared" si="8"/>
        <v>297.03846544891002</v>
      </c>
      <c r="BI13" s="60">
        <f ca="1">AVERAGE(OFFSET($BH$3,0,0,'Données projet'!$E$11+1,1))-AVERAGE(OFFSET($H$3,0,0,'Données projet'!$E$11+1,1))</f>
        <v>123.29894837876157</v>
      </c>
      <c r="BJ13" s="60">
        <f t="shared" si="38"/>
        <v>103.52963511757127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6.5714710681855761</v>
      </c>
      <c r="CA13" s="14">
        <f t="shared" si="39"/>
        <v>2.4324209676242781</v>
      </c>
      <c r="CB13" s="22">
        <f t="shared" si="10"/>
        <v>15.681778629035497</v>
      </c>
      <c r="CC13" s="60">
        <f t="shared" si="11"/>
        <v>284.57066751792433</v>
      </c>
      <c r="CD13" s="60">
        <f ca="1">AVERAGE(OFFSET($CC$3,0,0,'Données projet'!$E$12+1,1))-AVERAGE(OFFSET($H$3,0,0,'Données projet'!$E$12+1,1))</f>
        <v>428.49602929661046</v>
      </c>
      <c r="CE13" s="60">
        <f t="shared" si="40"/>
        <v>252.32489414103878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2.0940170940170941</v>
      </c>
      <c r="CT13" s="13">
        <f>IF('Données projet'!$A$140&gt;35,CT12+CS13-DB12,IF(A13&lt;'Données projet'!$A$140,$CQ$205^A13,IF(A13='Données projet'!$A$140,'Données projet'!$B$140,CT12+CS13-DB12)))</f>
        <v>9.9551464761266271</v>
      </c>
      <c r="CU13" s="18">
        <f>CT13*VLOOKUP('Données projet'!$B$13,Paramètres!$A$1:$I$89,3,0)*VLOOKUP('Données projet'!$B$13,Paramètres!$A$1:$I$89,5,0)</f>
        <v>6.677912256185742</v>
      </c>
      <c r="CV13" s="14">
        <f t="shared" si="41"/>
        <v>2.46720135448524</v>
      </c>
      <c r="CW13" s="22">
        <f t="shared" si="13"/>
        <v>15.927739538585294</v>
      </c>
      <c r="CX13" s="60">
        <f t="shared" si="14"/>
        <v>284.81662842747414</v>
      </c>
      <c r="CY13" s="60">
        <f ca="1">AVERAGE(OFFSET($CX$3,0,0,'Données projet'!$E$13+1,1))-AVERAGE(OFFSET($H$3,0,0,'Données projet'!$E$13+1,1))</f>
        <v>226.5873967387837</v>
      </c>
      <c r="CZ13" s="60">
        <f t="shared" si="42"/>
        <v>188.57459946241204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3.4358974358974361</v>
      </c>
      <c r="DO13" s="13">
        <f>IF('Données projet'!$A$166&gt;35,DO12+DN13-DW12,IF(A13&lt;'Données projet'!$A$166,$DL$205^A13,IF(A13='Données projet'!$A$166,'Données projet'!$B$166,DO12+DN13-DW12)))</f>
        <v>4.6887147848714186</v>
      </c>
      <c r="DP13" s="18">
        <f>DO13*VLOOKUP('Données projet'!$B$14,Paramètres!$A$1:$I$89,3,0)*VLOOKUP('Données projet'!$B$14,Paramètres!$A$1:$I$89,5,0)</f>
        <v>2.194318519319824</v>
      </c>
      <c r="DQ13" s="14">
        <f t="shared" si="43"/>
        <v>0.9228358380932653</v>
      </c>
      <c r="DR13" s="22">
        <f t="shared" si="16"/>
        <v>5.4290438391611309</v>
      </c>
      <c r="DS13" s="60">
        <f t="shared" si="17"/>
        <v>274.31793272804998</v>
      </c>
      <c r="DT13" s="60">
        <f ca="1">AVERAGE(OFFSET($DS$3,0,0,'Données projet'!$E$14+1,1))-AVERAGE(OFFSET($H$3,0,0,'Données projet'!$E$14+1,1))</f>
        <v>212.19771249416107</v>
      </c>
      <c r="DU13" s="60">
        <f t="shared" si="44"/>
        <v>125.93313963856127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3.003000000000001</v>
      </c>
      <c r="D14" s="12">
        <f t="shared" si="32"/>
        <v>1.2176429438486822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32.5804016718144</v>
      </c>
      <c r="H14" s="68">
        <f t="shared" si="1"/>
        <v>264.01761979386981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8.4093184470872249</v>
      </c>
      <c r="P14" s="14">
        <f t="shared" si="33"/>
        <v>3.0246192139792929</v>
      </c>
      <c r="Q14" s="22">
        <f t="shared" si="2"/>
        <v>19.914108093024186</v>
      </c>
      <c r="R14" s="60">
        <f t="shared" si="0"/>
        <v>290.02521920413534</v>
      </c>
      <c r="S14" s="60">
        <f ca="1">AVERAGE(OFFSET($R$3,0,0,'Données projet'!$E$9+1,1))-AVERAGE(OFFSET($H$3,0,0,'Données projet'!$E$9+1,1))</f>
        <v>455.09463986470064</v>
      </c>
      <c r="T14" s="60">
        <f t="shared" si="34"/>
        <v>266.42568447709669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63.360000000000007</v>
      </c>
      <c r="AG14" s="13">
        <f>VLOOKUP(A14,'Données projet'!$A$61:$I$81,9,0)</f>
        <v>5.7600000000000007</v>
      </c>
      <c r="AH14" s="13">
        <f t="array" ref="AH14">INDEX(AG:AG,MIN(IF(ISNUMBER(AG14:AG210),ROW(AG14:AG210),"")))</f>
        <v>5.7600000000000007</v>
      </c>
      <c r="AI14" s="14">
        <f>IF('Données projet'!$A$62&gt;35,AI13+AH14-AQ13,IF(A14&lt;'Données projet'!$A$62,$AF$205^A14,IF(A14='Données projet'!$A$62,'Données projet'!$B$62,AI13+AH14-AQ13)))</f>
        <v>63.360000000000007</v>
      </c>
      <c r="AJ14" s="14">
        <f>AI14*VLOOKUP('Données projet'!$B$10,Paramètres!$A$1:$I$89,3,0)*VLOOKUP('Données projet'!$B$10,Paramètres!$A$1:$I$89,5,0)</f>
        <v>54.362880000000011</v>
      </c>
      <c r="AK14" s="14">
        <f t="shared" si="35"/>
        <v>15.734948121460548</v>
      </c>
      <c r="AL14" s="22">
        <f t="shared" si="4"/>
        <v>122.08705064487715</v>
      </c>
      <c r="AM14" s="60">
        <f t="shared" si="5"/>
        <v>392.19816175598828</v>
      </c>
      <c r="AN14" s="60">
        <f ca="1">AVERAGE(OFFSET($AM$3,0,0,'Données projet'!$E$10+1,1))-AVERAGE(OFFSET($H$3,0,0,'Données projet'!$E$10+1,1))</f>
        <v>201.39673092164992</v>
      </c>
      <c r="AO14" s="60">
        <f t="shared" si="36"/>
        <v>278.95637851890405</v>
      </c>
      <c r="AP14" s="16">
        <f>IF(ISNA(VLOOKUP(A14,'Données projet'!$A$61:$I$81,3,0)),0,VLOOKUP(A14,'Données projet'!$A$61:$I$81,3,0))</f>
        <v>1</v>
      </c>
      <c r="AQ14" s="16">
        <f>IF(ISNA(VLOOKUP(A14,'Données projet'!$A$61:$I$81,4,0)),0,VLOOKUP(A14,'Données projet'!$A$61:$I$81,4,0))</f>
        <v>7.0399999999999991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1.3039557036344289</v>
      </c>
      <c r="BD14" s="13">
        <f>IF('Données projet'!$A$88&gt;35,BD13+BC14-BL13,IF(A14&lt;'Données projet'!$A$88,$BA$205^A14,IF(A14='Données projet'!$A$88,'Données projet'!$B$88,BD13+BC14-BL13)))</f>
        <v>13.33955703634429</v>
      </c>
      <c r="BE14" s="14">
        <f>BD14*VLOOKUP('Données projet'!$B$11,Paramètres!$A$1:$I$89,3,0)*VLOOKUP('Données projet'!$B$11,Paramètres!$A$1:$I$89,5,0)</f>
        <v>13.31821374508614</v>
      </c>
      <c r="BF14" s="14">
        <f t="shared" si="37"/>
        <v>4.5405925617275065</v>
      </c>
      <c r="BG14" s="22">
        <f t="shared" si="7"/>
        <v>31.104087651033765</v>
      </c>
      <c r="BH14" s="60">
        <f t="shared" si="8"/>
        <v>301.21519876214489</v>
      </c>
      <c r="BI14" s="60">
        <f ca="1">AVERAGE(OFFSET($BH$3,0,0,'Données projet'!$E$11+1,1))-AVERAGE(OFFSET($H$3,0,0,'Données projet'!$E$11+1,1))</f>
        <v>123.29894837876157</v>
      </c>
      <c r="BJ14" s="60">
        <f t="shared" si="38"/>
        <v>103.52963511757127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7.921821725516951</v>
      </c>
      <c r="CA14" s="14">
        <f t="shared" si="39"/>
        <v>2.869154216054651</v>
      </c>
      <c r="CB14" s="22">
        <f t="shared" si="10"/>
        <v>18.794283098237205</v>
      </c>
      <c r="CC14" s="60">
        <f t="shared" si="11"/>
        <v>288.90539420934834</v>
      </c>
      <c r="CD14" s="60">
        <f ca="1">AVERAGE(OFFSET($CC$3,0,0,'Données projet'!$E$12+1,1))-AVERAGE(OFFSET($H$3,0,0,'Données projet'!$E$12+1,1))</f>
        <v>428.49602929661046</v>
      </c>
      <c r="CE14" s="60">
        <f t="shared" si="40"/>
        <v>252.32489414103878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2.0940170940170941</v>
      </c>
      <c r="CT14" s="13">
        <f>IF('Données projet'!$A$140&gt;35,CT13+CS14-DB13,IF(A14&lt;'Données projet'!$A$140,$CQ$205^A14,IF(A14='Données projet'!$A$140,'Données projet'!$B$140,CT13+CS14-DB13)))</f>
        <v>12.527154101763314</v>
      </c>
      <c r="CU14" s="18">
        <f>CT14*VLOOKUP('Données projet'!$B$13,Paramètres!$A$1:$I$89,3,0)*VLOOKUP('Données projet'!$B$13,Paramètres!$A$1:$I$89,5,0)</f>
        <v>8.4032149714628304</v>
      </c>
      <c r="CV14" s="14">
        <f t="shared" si="41"/>
        <v>3.0226793951108037</v>
      </c>
      <c r="CW14" s="22">
        <f t="shared" si="13"/>
        <v>19.900099355115746</v>
      </c>
      <c r="CX14" s="60">
        <f t="shared" si="14"/>
        <v>290.01121046622688</v>
      </c>
      <c r="CY14" s="60">
        <f ca="1">AVERAGE(OFFSET($CX$3,0,0,'Données projet'!$E$13+1,1))-AVERAGE(OFFSET($H$3,0,0,'Données projet'!$E$13+1,1))</f>
        <v>226.5873967387837</v>
      </c>
      <c r="CZ14" s="60">
        <f t="shared" si="42"/>
        <v>188.57459946241204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3.4358974358974361</v>
      </c>
      <c r="DO14" s="13">
        <f>IF('Données projet'!$A$166&gt;35,DO13+DN14-DW13,IF(A14&lt;'Données projet'!$A$166,$DL$205^A14,IF(A14='Données projet'!$A$166,'Données projet'!$B$166,DO13+DN14-DW13)))</f>
        <v>5.472165162174039</v>
      </c>
      <c r="DP14" s="18">
        <f>DO14*VLOOKUP('Données projet'!$B$14,Paramètres!$A$1:$I$89,3,0)*VLOOKUP('Données projet'!$B$14,Paramètres!$A$1:$I$89,5,0)</f>
        <v>2.5609732958974503</v>
      </c>
      <c r="DQ14" s="14">
        <f t="shared" si="43"/>
        <v>1.0578370334547251</v>
      </c>
      <c r="DR14" s="22">
        <f t="shared" si="16"/>
        <v>6.3027613236217057</v>
      </c>
      <c r="DS14" s="60">
        <f t="shared" si="17"/>
        <v>276.41387243473287</v>
      </c>
      <c r="DT14" s="60">
        <f ca="1">AVERAGE(OFFSET($DS$3,0,0,'Données projet'!$E$14+1,1))-AVERAGE(OFFSET($H$3,0,0,'Données projet'!$E$14+1,1))</f>
        <v>212.19771249416107</v>
      </c>
      <c r="DU14" s="60">
        <f t="shared" si="44"/>
        <v>125.93313963856127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3.2760000000000011</v>
      </c>
      <c r="D15" s="12">
        <f t="shared" si="32"/>
        <v>1.3149520873221716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35.438928393364137</v>
      </c>
      <c r="H15" s="68">
        <f t="shared" si="1"/>
        <v>264.66257488541947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10.137322508112241</v>
      </c>
      <c r="P15" s="14">
        <f t="shared" si="33"/>
        <v>3.5676797253661268</v>
      </c>
      <c r="Q15" s="22">
        <f t="shared" si="2"/>
        <v>23.869545556641487</v>
      </c>
      <c r="R15" s="60">
        <f t="shared" si="0"/>
        <v>295.20287888997478</v>
      </c>
      <c r="S15" s="60">
        <f ca="1">AVERAGE(OFFSET($R$3,0,0,'Données projet'!$E$9+1,1))-AVERAGE(OFFSET($H$3,0,0,'Données projet'!$E$9+1,1))</f>
        <v>455.09463986470064</v>
      </c>
      <c r="T15" s="60">
        <f t="shared" si="34"/>
        <v>266.42568447709669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4.3264000000000005</v>
      </c>
      <c r="AI15" s="14">
        <f>IF('Données projet'!$A$62&gt;35,AI14+AH15-AQ14,IF(A15&lt;'Données projet'!$A$62,$AF$205^A15,IF(A15='Données projet'!$A$62,'Données projet'!$B$62,AI14+AH15-AQ14)))</f>
        <v>60.646400000000007</v>
      </c>
      <c r="AJ15" s="14">
        <f>AI15*VLOOKUP('Données projet'!$B$10,Paramètres!$A$1:$I$89,3,0)*VLOOKUP('Données projet'!$B$10,Paramètres!$A$1:$I$89,5,0)</f>
        <v>52.034611200000008</v>
      </c>
      <c r="AK15" s="14">
        <f t="shared" si="35"/>
        <v>15.137980916605091</v>
      </c>
      <c r="AL15" s="22">
        <f t="shared" si="4"/>
        <v>116.99226460308721</v>
      </c>
      <c r="AM15" s="60">
        <f t="shared" si="5"/>
        <v>388.32559793642054</v>
      </c>
      <c r="AN15" s="60">
        <f ca="1">AVERAGE(OFFSET($AM$3,0,0,'Données projet'!$E$10+1,1))-AVERAGE(OFFSET($H$3,0,0,'Données projet'!$E$10+1,1))</f>
        <v>201.39673092164992</v>
      </c>
      <c r="AO15" s="60">
        <f t="shared" si="36"/>
        <v>278.95637851890405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1.3039557036344289</v>
      </c>
      <c r="BD15" s="13">
        <f>IF('Données projet'!$A$88&gt;35,BD14+BC15-BL14,IF(A15&lt;'Données projet'!$A$88,$BA$205^A15,IF(A15='Données projet'!$A$88,'Données projet'!$B$88,BD14+BC15-BL14)))</f>
        <v>14.643512739978719</v>
      </c>
      <c r="BE15" s="14">
        <f>BD15*VLOOKUP('Données projet'!$B$11,Paramètres!$A$1:$I$89,3,0)*VLOOKUP('Données projet'!$B$11,Paramètres!$A$1:$I$89,5,0)</f>
        <v>14.620083119594755</v>
      </c>
      <c r="BF15" s="14">
        <f t="shared" si="37"/>
        <v>4.9306224070783076</v>
      </c>
      <c r="BG15" s="22">
        <f t="shared" si="7"/>
        <v>34.050812125622251</v>
      </c>
      <c r="BH15" s="60">
        <f t="shared" si="8"/>
        <v>305.38414545895557</v>
      </c>
      <c r="BI15" s="60">
        <f ca="1">AVERAGE(OFFSET($BH$3,0,0,'Données projet'!$E$11+1,1))-AVERAGE(OFFSET($H$3,0,0,'Données projet'!$E$11+1,1))</f>
        <v>123.29894837876157</v>
      </c>
      <c r="BJ15" s="60">
        <f t="shared" si="38"/>
        <v>103.52963511757127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9.5496516380767513</v>
      </c>
      <c r="CA15" s="14">
        <f t="shared" si="39"/>
        <v>3.3843014943027487</v>
      </c>
      <c r="CB15" s="22">
        <f t="shared" si="10"/>
        <v>22.526635038894295</v>
      </c>
      <c r="CC15" s="60">
        <f t="shared" si="11"/>
        <v>293.85996837222763</v>
      </c>
      <c r="CD15" s="60">
        <f ca="1">AVERAGE(OFFSET($CC$3,0,0,'Données projet'!$E$12+1,1))-AVERAGE(OFFSET($H$3,0,0,'Données projet'!$E$12+1,1))</f>
        <v>428.49602929661046</v>
      </c>
      <c r="CE15" s="60">
        <f t="shared" si="40"/>
        <v>252.32489414103878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2.0940170940170941</v>
      </c>
      <c r="CT15" s="13">
        <f>IF('Données projet'!$A$140&gt;35,CT14+CS15-DB14,IF(A15&lt;'Données projet'!$A$140,$CQ$205^A15,IF(A15='Données projet'!$A$140,'Données projet'!$B$140,CT14+CS15-DB14)))</f>
        <v>15.763664579487328</v>
      </c>
      <c r="CU15" s="18">
        <f>CT15*VLOOKUP('Données projet'!$B$13,Paramètres!$A$1:$I$89,3,0)*VLOOKUP('Données projet'!$B$13,Paramètres!$A$1:$I$89,5,0)</f>
        <v>10.5742661999201</v>
      </c>
      <c r="CV15" s="14">
        <f t="shared" si="41"/>
        <v>3.7032205373175491</v>
      </c>
      <c r="CW15" s="22">
        <f t="shared" si="13"/>
        <v>24.86662273402224</v>
      </c>
      <c r="CX15" s="60">
        <f t="shared" si="14"/>
        <v>296.19995606735557</v>
      </c>
      <c r="CY15" s="60">
        <f ca="1">AVERAGE(OFFSET($CX$3,0,0,'Données projet'!$E$13+1,1))-AVERAGE(OFFSET($H$3,0,0,'Données projet'!$E$13+1,1))</f>
        <v>226.5873967387837</v>
      </c>
      <c r="CZ15" s="60">
        <f t="shared" si="42"/>
        <v>188.57459946241204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3.4358974358974361</v>
      </c>
      <c r="DO15" s="13">
        <f>IF('Données projet'!$A$166&gt;35,DO14+DN15-DW14,IF(A15&lt;'Données projet'!$A$166,$DL$205^A15,IF(A15='Données projet'!$A$166,'Données projet'!$B$166,DO14+DN15-DW14)))</f>
        <v>6.3865244392195226</v>
      </c>
      <c r="DP15" s="18">
        <f>DO15*VLOOKUP('Données projet'!$B$14,Paramètres!$A$1:$I$89,3,0)*VLOOKUP('Données projet'!$B$14,Paramètres!$A$1:$I$89,5,0)</f>
        <v>2.9888934375547365</v>
      </c>
      <c r="DQ15" s="14">
        <f t="shared" si="43"/>
        <v>1.2125874864812094</v>
      </c>
      <c r="DR15" s="22">
        <f t="shared" si="16"/>
        <v>7.3175792760292708</v>
      </c>
      <c r="DS15" s="60">
        <f t="shared" si="17"/>
        <v>278.65091260936259</v>
      </c>
      <c r="DT15" s="60">
        <f ca="1">AVERAGE(OFFSET($DS$3,0,0,'Données projet'!$E$14+1,1))-AVERAGE(OFFSET($H$3,0,0,'Données projet'!$E$14+1,1))</f>
        <v>212.19771249416107</v>
      </c>
      <c r="DU15" s="60">
        <f t="shared" si="44"/>
        <v>125.93313963856127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3.5490000000000013</v>
      </c>
      <c r="D16" s="12">
        <f t="shared" si="32"/>
        <v>1.4113207470133129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38.290195240102776</v>
      </c>
      <c r="H16" s="68">
        <f t="shared" si="1"/>
        <v>265.3058919677149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12.220408619330426</v>
      </c>
      <c r="P16" s="14">
        <f t="shared" si="33"/>
        <v>4.2082449797185175</v>
      </c>
      <c r="Q16" s="22">
        <f t="shared" si="2"/>
        <v>28.613238351676909</v>
      </c>
      <c r="R16" s="60">
        <f t="shared" si="0"/>
        <v>301.16879390723244</v>
      </c>
      <c r="S16" s="60">
        <f ca="1">AVERAGE(OFFSET($R$3,0,0,'Données projet'!$E$9+1,1))-AVERAGE(OFFSET($H$3,0,0,'Données projet'!$E$9+1,1))</f>
        <v>455.09463986470064</v>
      </c>
      <c r="T16" s="60">
        <f t="shared" si="34"/>
        <v>266.42568447709669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4.3264000000000005</v>
      </c>
      <c r="AI16" s="14">
        <f>IF('Données projet'!$A$62&gt;35,AI15+AH16-AQ15,IF(A16&lt;'Données projet'!$A$62,$AF$205^A16,IF(A16='Données projet'!$A$62,'Données projet'!$B$62,AI15+AH16-AQ15)))</f>
        <v>64.972800000000007</v>
      </c>
      <c r="AJ16" s="14">
        <f>AI16*VLOOKUP('Données projet'!$B$10,Paramètres!$A$1:$I$89,3,0)*VLOOKUP('Données projet'!$B$10,Paramètres!$A$1:$I$89,5,0)</f>
        <v>55.746662400000012</v>
      </c>
      <c r="AK16" s="14">
        <f t="shared" si="35"/>
        <v>16.088333459557013</v>
      </c>
      <c r="AL16" s="22">
        <f t="shared" si="4"/>
        <v>125.11261778872849</v>
      </c>
      <c r="AM16" s="60">
        <f t="shared" si="5"/>
        <v>397.66817334428401</v>
      </c>
      <c r="AN16" s="60">
        <f ca="1">AVERAGE(OFFSET($AM$3,0,0,'Données projet'!$E$10+1,1))-AVERAGE(OFFSET($H$3,0,0,'Données projet'!$E$10+1,1))</f>
        <v>201.39673092164992</v>
      </c>
      <c r="AO16" s="60">
        <f t="shared" si="36"/>
        <v>278.95637851890405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1.3039557036344289</v>
      </c>
      <c r="BD16" s="13">
        <f>IF('Données projet'!$A$88&gt;35,BD15+BC16-BL15,IF(A16&lt;'Données projet'!$A$88,$BA$205^A16,IF(A16='Données projet'!$A$88,'Données projet'!$B$88,BD15+BC16-BL15)))</f>
        <v>15.947468443613149</v>
      </c>
      <c r="BE16" s="14">
        <f>BD16*VLOOKUP('Données projet'!$B$11,Paramètres!$A$1:$I$89,3,0)*VLOOKUP('Données projet'!$B$11,Paramètres!$A$1:$I$89,5,0)</f>
        <v>15.921952494103369</v>
      </c>
      <c r="BF16" s="14">
        <f t="shared" si="37"/>
        <v>5.3166248466580344</v>
      </c>
      <c r="BG16" s="22">
        <f t="shared" si="7"/>
        <v>36.99052220182611</v>
      </c>
      <c r="BH16" s="60">
        <f t="shared" si="8"/>
        <v>309.54607775738168</v>
      </c>
      <c r="BI16" s="60">
        <f ca="1">AVERAGE(OFFSET($BH$3,0,0,'Données projet'!$E$11+1,1))-AVERAGE(OFFSET($H$3,0,0,'Données projet'!$E$11+1,1))</f>
        <v>123.29894837876157</v>
      </c>
      <c r="BJ16" s="60">
        <f t="shared" si="38"/>
        <v>103.52963511757127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11.511979134151852</v>
      </c>
      <c r="CA16" s="14">
        <f t="shared" si="39"/>
        <v>3.9919417855793822</v>
      </c>
      <c r="CB16" s="22">
        <f t="shared" si="10"/>
        <v>27.002662268531896</v>
      </c>
      <c r="CC16" s="60">
        <f t="shared" si="11"/>
        <v>299.55821782408742</v>
      </c>
      <c r="CD16" s="60">
        <f ca="1">AVERAGE(OFFSET($CC$3,0,0,'Données projet'!$E$12+1,1))-AVERAGE(OFFSET($H$3,0,0,'Données projet'!$E$12+1,1))</f>
        <v>428.49602929661046</v>
      </c>
      <c r="CE16" s="60">
        <f t="shared" si="40"/>
        <v>252.32489414103878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2.0940170940170941</v>
      </c>
      <c r="CT16" s="13">
        <f>IF('Données projet'!$A$140&gt;35,CT15+CS16-DB15,IF(A16&lt;'Données projet'!$A$140,$CQ$205^A16,IF(A16='Données projet'!$A$140,'Données projet'!$B$140,CT15+CS16-DB15)))</f>
        <v>19.836358597968047</v>
      </c>
      <c r="CU16" s="18">
        <f>CT16*VLOOKUP('Données projet'!$B$13,Paramètres!$A$1:$I$89,3,0)*VLOOKUP('Données projet'!$B$13,Paramètres!$A$1:$I$89,5,0)</f>
        <v>13.306229347516966</v>
      </c>
      <c r="CV16" s="14">
        <f t="shared" si="41"/>
        <v>4.536982112688718</v>
      </c>
      <c r="CW16" s="22">
        <f t="shared" si="13"/>
        <v>31.076926626524898</v>
      </c>
      <c r="CX16" s="60">
        <f t="shared" si="14"/>
        <v>303.63248218208042</v>
      </c>
      <c r="CY16" s="60">
        <f ca="1">AVERAGE(OFFSET($CX$3,0,0,'Données projet'!$E$13+1,1))-AVERAGE(OFFSET($H$3,0,0,'Données projet'!$E$13+1,1))</f>
        <v>226.5873967387837</v>
      </c>
      <c r="CZ16" s="60">
        <f t="shared" si="42"/>
        <v>188.57459946241204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3.4358974358974361</v>
      </c>
      <c r="DO16" s="13">
        <f>IF('Données projet'!$A$166&gt;35,DO15+DN16-DW15,IF(A16&lt;'Données projet'!$A$166,$DL$205^A16,IF(A16='Données projet'!$A$166,'Données projet'!$B$166,DO15+DN16-DW15)))</f>
        <v>7.4536665476931043</v>
      </c>
      <c r="DP16" s="18">
        <f>DO16*VLOOKUP('Données projet'!$B$14,Paramètres!$A$1:$I$89,3,0)*VLOOKUP('Données projet'!$B$14,Paramètres!$A$1:$I$89,5,0)</f>
        <v>3.4883159443203726</v>
      </c>
      <c r="DQ16" s="14">
        <f t="shared" si="43"/>
        <v>1.3899763062452366</v>
      </c>
      <c r="DR16" s="22">
        <f t="shared" si="16"/>
        <v>8.4963590030684362</v>
      </c>
      <c r="DS16" s="60">
        <f t="shared" si="17"/>
        <v>281.05191455862399</v>
      </c>
      <c r="DT16" s="60">
        <f ca="1">AVERAGE(OFFSET($DS$3,0,0,'Données projet'!$E$14+1,1))-AVERAGE(OFFSET($H$3,0,0,'Données projet'!$E$14+1,1))</f>
        <v>212.19771249416107</v>
      </c>
      <c r="DU16" s="60">
        <f t="shared" si="44"/>
        <v>125.93313963856127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3.8220000000000014</v>
      </c>
      <c r="D17" s="12">
        <f t="shared" si="32"/>
        <v>1.5068294933809407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41.134824159431837</v>
      </c>
      <c r="H17" s="68">
        <f t="shared" si="1"/>
        <v>265.94771136763848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14.731541460173487</v>
      </c>
      <c r="P17" s="14">
        <f t="shared" si="33"/>
        <v>4.9638216355053304</v>
      </c>
      <c r="Q17" s="22">
        <f t="shared" si="2"/>
        <v>34.302757391640604</v>
      </c>
      <c r="R17" s="60">
        <f t="shared" si="0"/>
        <v>308.0805351694184</v>
      </c>
      <c r="S17" s="60">
        <f ca="1">AVERAGE(OFFSET($R$3,0,0,'Données projet'!$E$9+1,1))-AVERAGE(OFFSET($H$3,0,0,'Données projet'!$E$9+1,1))</f>
        <v>455.09463986470064</v>
      </c>
      <c r="T17" s="60">
        <f t="shared" si="34"/>
        <v>266.42568447709669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4.3264000000000005</v>
      </c>
      <c r="AI17" s="14">
        <f>IF('Données projet'!$A$62&gt;35,AI16+AH17-AQ16,IF(A17&lt;'Données projet'!$A$62,$AF$205^A17,IF(A17='Données projet'!$A$62,'Données projet'!$B$62,AI16+AH17-AQ16)))</f>
        <v>69.299200000000013</v>
      </c>
      <c r="AJ17" s="14">
        <f>AI17*VLOOKUP('Données projet'!$B$10,Paramètres!$A$1:$I$89,3,0)*VLOOKUP('Données projet'!$B$10,Paramètres!$A$1:$I$89,5,0)</f>
        <v>59.458713600000017</v>
      </c>
      <c r="AK17" s="14">
        <f t="shared" si="35"/>
        <v>17.031342730343823</v>
      </c>
      <c r="AL17" s="22">
        <f t="shared" si="4"/>
        <v>133.2201814420155</v>
      </c>
      <c r="AM17" s="60">
        <f t="shared" si="5"/>
        <v>406.9979592197933</v>
      </c>
      <c r="AN17" s="60">
        <f ca="1">AVERAGE(OFFSET($AM$3,0,0,'Données projet'!$E$10+1,1))-AVERAGE(OFFSET($H$3,0,0,'Données projet'!$E$10+1,1))</f>
        <v>201.39673092164992</v>
      </c>
      <c r="AO17" s="60">
        <f t="shared" si="36"/>
        <v>278.95637851890405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1.3039557036344289</v>
      </c>
      <c r="BD17" s="13">
        <f>IF('Données projet'!$A$88&gt;35,BD16+BC17-BL16,IF(A17&lt;'Données projet'!$A$88,$BA$205^A17,IF(A17='Données projet'!$A$88,'Données projet'!$B$88,BD16+BC17-BL16)))</f>
        <v>17.251424147247576</v>
      </c>
      <c r="BE17" s="14">
        <f>BD17*VLOOKUP('Données projet'!$B$11,Paramètres!$A$1:$I$89,3,0)*VLOOKUP('Données projet'!$B$11,Paramètres!$A$1:$I$89,5,0)</f>
        <v>17.223821868611982</v>
      </c>
      <c r="BF17" s="14">
        <f t="shared" si="37"/>
        <v>5.6989666225336659</v>
      </c>
      <c r="BG17" s="22">
        <f t="shared" si="7"/>
        <v>39.923856622078667</v>
      </c>
      <c r="BH17" s="60">
        <f t="shared" si="8"/>
        <v>313.70163439985646</v>
      </c>
      <c r="BI17" s="60">
        <f ca="1">AVERAGE(OFFSET($BH$3,0,0,'Données projet'!$E$11+1,1))-AVERAGE(OFFSET($H$3,0,0,'Données projet'!$E$11+1,1))</f>
        <v>123.29894837876157</v>
      </c>
      <c r="BJ17" s="60">
        <f t="shared" si="38"/>
        <v>103.52963511757127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13.877539056685173</v>
      </c>
      <c r="CA17" s="14">
        <f t="shared" si="39"/>
        <v>4.7086819085950955</v>
      </c>
      <c r="CB17" s="22">
        <f t="shared" si="10"/>
        <v>32.371001514529802</v>
      </c>
      <c r="CC17" s="60">
        <f t="shared" si="11"/>
        <v>306.14877929230755</v>
      </c>
      <c r="CD17" s="60">
        <f ca="1">AVERAGE(OFFSET($CC$3,0,0,'Données projet'!$E$12+1,1))-AVERAGE(OFFSET($H$3,0,0,'Données projet'!$E$12+1,1))</f>
        <v>428.49602929661046</v>
      </c>
      <c r="CE17" s="60">
        <f t="shared" si="40"/>
        <v>252.32489414103878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2.0940170940170941</v>
      </c>
      <c r="CT17" s="13">
        <f>IF('Données projet'!$A$140&gt;35,CT16+CS17-DB16,IF(A17&lt;'Données projet'!$A$140,$CQ$205^A17,IF(A17='Données projet'!$A$140,'Données projet'!$B$140,CT16+CS17-DB16)))</f>
        <v>24.961272199308482</v>
      </c>
      <c r="CU17" s="18">
        <f>CT17*VLOOKUP('Données projet'!$B$13,Paramètres!$A$1:$I$89,3,0)*VLOOKUP('Données projet'!$B$13,Paramètres!$A$1:$I$89,5,0)</f>
        <v>16.74402139129613</v>
      </c>
      <c r="CV17" s="14">
        <f t="shared" si="41"/>
        <v>5.5584609351317997</v>
      </c>
      <c r="CW17" s="22">
        <f t="shared" si="13"/>
        <v>38.84349005186197</v>
      </c>
      <c r="CX17" s="60">
        <f t="shared" si="14"/>
        <v>312.62126782963975</v>
      </c>
      <c r="CY17" s="60">
        <f ca="1">AVERAGE(OFFSET($CX$3,0,0,'Données projet'!$E$13+1,1))-AVERAGE(OFFSET($H$3,0,0,'Données projet'!$E$13+1,1))</f>
        <v>226.5873967387837</v>
      </c>
      <c r="CZ17" s="60">
        <f t="shared" si="42"/>
        <v>188.57459946241204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3.4358974358974361</v>
      </c>
      <c r="DO17" s="13">
        <f>IF('Données projet'!$A$166&gt;35,DO16+DN17-DW16,IF(A17&lt;'Données projet'!$A$166,$DL$205^A17,IF(A17='Données projet'!$A$166,'Données projet'!$B$166,DO16+DN17-DW16)))</f>
        <v>8.6991203952847798</v>
      </c>
      <c r="DP17" s="18">
        <f>DO17*VLOOKUP('Données projet'!$B$14,Paramètres!$A$1:$I$89,3,0)*VLOOKUP('Données projet'!$B$14,Paramètres!$A$1:$I$89,5,0)</f>
        <v>4.0711883449932769</v>
      </c>
      <c r="DQ17" s="14">
        <f t="shared" si="43"/>
        <v>1.5933152481473272</v>
      </c>
      <c r="DR17" s="22">
        <f t="shared" si="16"/>
        <v>9.8656770913865515</v>
      </c>
      <c r="DS17" s="60">
        <f t="shared" si="17"/>
        <v>283.64345486916432</v>
      </c>
      <c r="DT17" s="60">
        <f ca="1">AVERAGE(OFFSET($DS$3,0,0,'Données projet'!$E$14+1,1))-AVERAGE(OFFSET($H$3,0,0,'Données projet'!$E$14+1,1))</f>
        <v>212.19771249416107</v>
      </c>
      <c r="DU17" s="60">
        <f t="shared" si="44"/>
        <v>125.93313963856127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4.0950000000000015</v>
      </c>
      <c r="D18" s="12">
        <f t="shared" si="32"/>
        <v>1.6015467346037442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43.973343214485055</v>
      </c>
      <c r="H18" s="68">
        <f t="shared" si="1"/>
        <v>266.58815222943485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17.758678989631132</v>
      </c>
      <c r="P18" s="14">
        <f t="shared" si="33"/>
        <v>5.8550596146042126</v>
      </c>
      <c r="Q18" s="22">
        <f t="shared" si="2"/>
        <v>41.127261402376554</v>
      </c>
      <c r="R18" s="60">
        <f t="shared" si="0"/>
        <v>316.12726140237658</v>
      </c>
      <c r="S18" s="60">
        <f ca="1">AVERAGE(OFFSET($R$3,0,0,'Données projet'!$E$9+1,1))-AVERAGE(OFFSET($H$3,0,0,'Données projet'!$E$9+1,1))</f>
        <v>455.09463986470064</v>
      </c>
      <c r="T18" s="60">
        <f t="shared" si="34"/>
        <v>266.42568447709669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4.3264000000000005</v>
      </c>
      <c r="AI18" s="14">
        <f>IF('Données projet'!$A$62&gt;35,AI17+AH18-AQ17,IF(A18&lt;'Données projet'!$A$62,$AF$205^A18,IF(A18='Données projet'!$A$62,'Données projet'!$B$62,AI17+AH18-AQ17)))</f>
        <v>73.62560000000002</v>
      </c>
      <c r="AJ18" s="14">
        <f>AI18*VLOOKUP('Données projet'!$B$10,Paramètres!$A$1:$I$89,3,0)*VLOOKUP('Données projet'!$B$10,Paramètres!$A$1:$I$89,5,0)</f>
        <v>63.170764800000022</v>
      </c>
      <c r="AK18" s="14">
        <f t="shared" si="35"/>
        <v>17.967519366645512</v>
      </c>
      <c r="AL18" s="22">
        <f t="shared" si="4"/>
        <v>141.3158449235743</v>
      </c>
      <c r="AM18" s="60">
        <f t="shared" si="5"/>
        <v>416.31584492357433</v>
      </c>
      <c r="AN18" s="60">
        <f ca="1">AVERAGE(OFFSET($AM$3,0,0,'Données projet'!$E$10+1,1))-AVERAGE(OFFSET($H$3,0,0,'Données projet'!$E$10+1,1))</f>
        <v>201.39673092164992</v>
      </c>
      <c r="AO18" s="60">
        <f t="shared" si="36"/>
        <v>278.95637851890405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1.3039557036344289</v>
      </c>
      <c r="BD18" s="13">
        <f>IF('Données projet'!$A$88&gt;35,BD17+BC18-BL17,IF(A18&lt;'Données projet'!$A$88,$BA$205^A18,IF(A18='Données projet'!$A$88,'Données projet'!$B$88,BD17+BC18-BL17)))</f>
        <v>18.555379850882005</v>
      </c>
      <c r="BE18" s="14">
        <f>BD18*VLOOKUP('Données projet'!$B$11,Paramètres!$A$1:$I$89,3,0)*VLOOKUP('Données projet'!$B$11,Paramètres!$A$1:$I$89,5,0)</f>
        <v>18.525691243120594</v>
      </c>
      <c r="BF18" s="14">
        <f t="shared" si="37"/>
        <v>6.0779558888187681</v>
      </c>
      <c r="BG18" s="22">
        <f t="shared" si="7"/>
        <v>42.851352088127719</v>
      </c>
      <c r="BH18" s="60">
        <f t="shared" si="8"/>
        <v>317.85135208812773</v>
      </c>
      <c r="BI18" s="60">
        <f ca="1">AVERAGE(OFFSET($BH$3,0,0,'Données projet'!$E$11+1,1))-AVERAGE(OFFSET($H$3,0,0,'Données projet'!$E$11+1,1))</f>
        <v>123.29894837876157</v>
      </c>
      <c r="BJ18" s="60">
        <f t="shared" si="38"/>
        <v>103.52963511757127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16.729190352551068</v>
      </c>
      <c r="CA18" s="14">
        <f t="shared" si="39"/>
        <v>5.5541103821765283</v>
      </c>
      <c r="CB18" s="22">
        <f t="shared" si="10"/>
        <v>38.810082112983899</v>
      </c>
      <c r="CC18" s="60">
        <f t="shared" si="11"/>
        <v>313.81008211298388</v>
      </c>
      <c r="CD18" s="60">
        <f ca="1">AVERAGE(OFFSET($CC$3,0,0,'Données projet'!$E$12+1,1))-AVERAGE(OFFSET($H$3,0,0,'Données projet'!$E$12+1,1))</f>
        <v>428.49602929661046</v>
      </c>
      <c r="CE18" s="60">
        <f t="shared" si="40"/>
        <v>252.32489414103878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31.410256410256409</v>
      </c>
      <c r="CR18" s="13">
        <f>VLOOKUP(A18,'Données projet'!$A$139:$I$159,9,0)</f>
        <v>2.0940170940170941</v>
      </c>
      <c r="CS18" s="13">
        <f t="array" ref="CS18">INDEX(CR:CR,MIN(IF(ISNUMBER(CR18:CR214),ROW(CR18:CR214),"")))</f>
        <v>2.0940170940170941</v>
      </c>
      <c r="CT18" s="13">
        <f>IF('Données projet'!$A$140&gt;35,CT17+CS18-DB17,IF(A18&lt;'Données projet'!$A$140,$CQ$205^A18,IF(A18='Données projet'!$A$140,'Données projet'!$B$140,CT17+CS18-DB17)))</f>
        <v>31.410256410256409</v>
      </c>
      <c r="CU18" s="18">
        <f>CT18*VLOOKUP('Données projet'!$B$13,Paramètres!$A$1:$I$89,3,0)*VLOOKUP('Données projet'!$B$13,Paramètres!$A$1:$I$89,5,0)</f>
        <v>21.07</v>
      </c>
      <c r="CV18" s="14">
        <f t="shared" si="41"/>
        <v>6.8099206036050086</v>
      </c>
      <c r="CW18" s="22">
        <f t="shared" si="13"/>
        <v>48.557528384612056</v>
      </c>
      <c r="CX18" s="60">
        <f t="shared" si="14"/>
        <v>323.55752838461206</v>
      </c>
      <c r="CY18" s="60">
        <f ca="1">AVERAGE(OFFSET($CX$3,0,0,'Données projet'!$E$13+1,1))-AVERAGE(OFFSET($H$3,0,0,'Données projet'!$E$13+1,1))</f>
        <v>226.5873967387837</v>
      </c>
      <c r="CZ18" s="60">
        <f t="shared" si="42"/>
        <v>188.57459946241204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3.4358974358974361</v>
      </c>
      <c r="DO18" s="13">
        <f>IF('Données projet'!$A$166&gt;35,DO17+DN18-DW17,IF(A18&lt;'Données projet'!$A$166,$DL$205^A18,IF(A18='Données projet'!$A$166,'Données projet'!$B$166,DO17+DN18-DW17)))</f>
        <v>10.152680585782415</v>
      </c>
      <c r="DP18" s="18">
        <f>DO18*VLOOKUP('Données projet'!$B$14,Paramètres!$A$1:$I$89,3,0)*VLOOKUP('Données projet'!$B$14,Paramètres!$A$1:$I$89,5,0)</f>
        <v>4.7514545141461699</v>
      </c>
      <c r="DQ18" s="14">
        <f t="shared" si="43"/>
        <v>1.8264005426369321</v>
      </c>
      <c r="DR18" s="22">
        <f t="shared" si="16"/>
        <v>11.456430890563903</v>
      </c>
      <c r="DS18" s="60">
        <f t="shared" si="17"/>
        <v>286.45643089056392</v>
      </c>
      <c r="DT18" s="60">
        <f ca="1">AVERAGE(OFFSET($DS$3,0,0,'Données projet'!$E$14+1,1))-AVERAGE(OFFSET($H$3,0,0,'Données projet'!$E$14+1,1))</f>
        <v>212.19771249416107</v>
      </c>
      <c r="DU18" s="60">
        <f t="shared" si="44"/>
        <v>125.93313963856127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9" s="12">
        <f t="shared" si="32"/>
        <v>1.6955312417477209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46.806206076649083</v>
      </c>
      <c r="H19" s="68">
        <f t="shared" si="1"/>
        <v>267.22731691271065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21.407853367508512</v>
      </c>
      <c r="P19" s="14">
        <f t="shared" si="33"/>
        <v>6.906316464991046</v>
      </c>
      <c r="Q19" s="22">
        <f t="shared" si="2"/>
        <v>49.313845791603399</v>
      </c>
      <c r="R19" s="60">
        <f t="shared" si="0"/>
        <v>325.53606801382563</v>
      </c>
      <c r="S19" s="60">
        <f ca="1">AVERAGE(OFFSET($R$3,0,0,'Données projet'!$E$9+1,1))-AVERAGE(OFFSET($H$3,0,0,'Données projet'!$E$9+1,1))</f>
        <v>455.09463986470064</v>
      </c>
      <c r="T19" s="60">
        <f t="shared" si="34"/>
        <v>266.42568447709669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4.3264000000000005</v>
      </c>
      <c r="AI19" s="14">
        <f>IF('Données projet'!$A$62&gt;35,AI18+AH19-AQ18,IF(A19&lt;'Données projet'!$A$62,$AF$205^A19,IF(A19='Données projet'!$A$62,'Données projet'!$B$62,AI18+AH19-AQ18)))</f>
        <v>77.952000000000027</v>
      </c>
      <c r="AJ19" s="14">
        <f>AI19*VLOOKUP('Données projet'!$B$10,Paramètres!$A$1:$I$89,3,0)*VLOOKUP('Données projet'!$B$10,Paramètres!$A$1:$I$89,5,0)</f>
        <v>66.882816000000034</v>
      </c>
      <c r="AK19" s="14">
        <f t="shared" si="35"/>
        <v>18.897310603665094</v>
      </c>
      <c r="AL19" s="22">
        <f t="shared" si="4"/>
        <v>149.40038716805009</v>
      </c>
      <c r="AM19" s="60">
        <f t="shared" si="5"/>
        <v>425.62260939027232</v>
      </c>
      <c r="AN19" s="60">
        <f ca="1">AVERAGE(OFFSET($AM$3,0,0,'Données projet'!$E$10+1,1))-AVERAGE(OFFSET($H$3,0,0,'Données projet'!$E$10+1,1))</f>
        <v>201.39673092164992</v>
      </c>
      <c r="AO19" s="60">
        <f t="shared" si="36"/>
        <v>278.95637851890405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1.3039557036344289</v>
      </c>
      <c r="BD19" s="13">
        <f>IF('Données projet'!$A$88&gt;35,BD18+BC19-BL18,IF(A19&lt;'Données projet'!$A$88,$BA$205^A19,IF(A19='Données projet'!$A$88,'Données projet'!$B$88,BD18+BC19-BL18)))</f>
        <v>19.859335554516434</v>
      </c>
      <c r="BE19" s="14">
        <f>BD19*VLOOKUP('Données projet'!$B$11,Paramètres!$A$1:$I$89,3,0)*VLOOKUP('Données projet'!$B$11,Paramètres!$A$1:$I$89,5,0)</f>
        <v>19.82756061762921</v>
      </c>
      <c r="BF19" s="14">
        <f t="shared" si="37"/>
        <v>6.4538550362521434</v>
      </c>
      <c r="BG19" s="22">
        <f t="shared" si="7"/>
        <v>45.773465597176681</v>
      </c>
      <c r="BH19" s="60">
        <f t="shared" si="8"/>
        <v>321.99568781939888</v>
      </c>
      <c r="BI19" s="60">
        <f ca="1">AVERAGE(OFFSET($BH$3,0,0,'Données projet'!$E$11+1,1))-AVERAGE(OFFSET($H$3,0,0,'Données projet'!$E$11+1,1))</f>
        <v>123.29894837876157</v>
      </c>
      <c r="BJ19" s="60">
        <f t="shared" si="38"/>
        <v>103.52963511757127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20.166818389681932</v>
      </c>
      <c r="CA19" s="14">
        <f t="shared" si="39"/>
        <v>6.5513327797938032</v>
      </c>
      <c r="CB19" s="22">
        <f t="shared" si="10"/>
        <v>46.534113286836906</v>
      </c>
      <c r="CC19" s="60">
        <f t="shared" si="11"/>
        <v>322.75633550905911</v>
      </c>
      <c r="CD19" s="60">
        <f ca="1">AVERAGE(OFFSET($CC$3,0,0,'Données projet'!$E$12+1,1))-AVERAGE(OFFSET($H$3,0,0,'Données projet'!$E$12+1,1))</f>
        <v>428.49602929661046</v>
      </c>
      <c r="CE19" s="60">
        <f t="shared" si="40"/>
        <v>252.32489414103878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6.2820512820512819</v>
      </c>
      <c r="CT19" s="13">
        <f>IF('Données projet'!$A$140&gt;35,CT18+CS19-DB18,IF(A19&lt;'Données projet'!$A$140,$CQ$205^A19,IF(A19='Données projet'!$A$140,'Données projet'!$B$140,CT18+CS19-DB18)))</f>
        <v>37.692307692307693</v>
      </c>
      <c r="CU19" s="18">
        <f>CT19*VLOOKUP('Données projet'!$B$13,Paramètres!$A$1:$I$89,3,0)*VLOOKUP('Données projet'!$B$13,Paramètres!$A$1:$I$89,5,0)</f>
        <v>25.284000000000002</v>
      </c>
      <c r="CV19" s="14">
        <f t="shared" si="41"/>
        <v>8.0003059834643206</v>
      </c>
      <c r="CW19" s="22">
        <f t="shared" si="13"/>
        <v>57.970166254533687</v>
      </c>
      <c r="CX19" s="60">
        <f t="shared" si="14"/>
        <v>334.19238847675592</v>
      </c>
      <c r="CY19" s="60">
        <f ca="1">AVERAGE(OFFSET($CX$3,0,0,'Données projet'!$E$13+1,1))-AVERAGE(OFFSET($H$3,0,0,'Données projet'!$E$13+1,1))</f>
        <v>226.5873967387837</v>
      </c>
      <c r="CZ19" s="60">
        <f t="shared" si="42"/>
        <v>188.57459946241204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3.4358974358974361</v>
      </c>
      <c r="DO19" s="13">
        <f>IF('Données projet'!$A$166&gt;35,DO18+DN19-DW18,IF(A19&lt;'Données projet'!$A$166,$DL$205^A19,IF(A19='Données projet'!$A$166,'Données projet'!$B$166,DO18+DN19-DW18)))</f>
        <v>11.849120186081615</v>
      </c>
      <c r="DP19" s="18">
        <f>DO19*VLOOKUP('Données projet'!$B$14,Paramètres!$A$1:$I$89,3,0)*VLOOKUP('Données projet'!$B$14,Paramètres!$A$1:$I$89,5,0)</f>
        <v>5.545388247086195</v>
      </c>
      <c r="DQ19" s="14">
        <f t="shared" si="43"/>
        <v>2.0935837688261665</v>
      </c>
      <c r="DR19" s="22">
        <f t="shared" si="16"/>
        <v>13.304542927714031</v>
      </c>
      <c r="DS19" s="60">
        <f t="shared" si="17"/>
        <v>289.52676514993624</v>
      </c>
      <c r="DT19" s="60">
        <f ca="1">AVERAGE(OFFSET($DS$3,0,0,'Données projet'!$E$14+1,1))-AVERAGE(OFFSET($H$3,0,0,'Données projet'!$E$14+1,1))</f>
        <v>212.19771249416107</v>
      </c>
      <c r="DU19" s="60">
        <f t="shared" si="44"/>
        <v>125.93313963856127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4.6410000000000009</v>
      </c>
      <c r="D20" s="12">
        <f t="shared" si="32"/>
        <v>1.7888340242767005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49.633806503188573</v>
      </c>
      <c r="H20" s="68">
        <f t="shared" si="1"/>
        <v>267.86529425894861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25.80688496437903</v>
      </c>
      <c r="P20" s="14">
        <f t="shared" si="33"/>
        <v>8.146323052908933</v>
      </c>
      <c r="Q20" s="22">
        <f t="shared" si="2"/>
        <v>59.135170630109862</v>
      </c>
      <c r="R20" s="60">
        <f t="shared" si="0"/>
        <v>336.57961507455434</v>
      </c>
      <c r="S20" s="60">
        <f ca="1">AVERAGE(OFFSET($R$3,0,0,'Données projet'!$E$9+1,1))-AVERAGE(OFFSET($H$3,0,0,'Données projet'!$E$9+1,1))</f>
        <v>455.09463986470064</v>
      </c>
      <c r="T20" s="60">
        <f t="shared" si="34"/>
        <v>266.42568447709669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4.3264000000000005</v>
      </c>
      <c r="AI20" s="14">
        <f>IF('Données projet'!$A$62&gt;35,AI19+AH20-AQ19,IF(A20&lt;'Données projet'!$A$62,$AF$205^A20,IF(A20='Données projet'!$A$62,'Données projet'!$B$62,AI19+AH20-AQ19)))</f>
        <v>82.278400000000033</v>
      </c>
      <c r="AJ20" s="14">
        <f>AI20*VLOOKUP('Données projet'!$B$10,Paramètres!$A$1:$I$89,3,0)*VLOOKUP('Données projet'!$B$10,Paramètres!$A$1:$I$89,5,0)</f>
        <v>70.594867200000039</v>
      </c>
      <c r="AK20" s="14">
        <f t="shared" si="35"/>
        <v>19.821111228935951</v>
      </c>
      <c r="AL20" s="22">
        <f t="shared" si="4"/>
        <v>157.47449576373018</v>
      </c>
      <c r="AM20" s="60">
        <f t="shared" si="5"/>
        <v>434.9189402081746</v>
      </c>
      <c r="AN20" s="60">
        <f ca="1">AVERAGE(OFFSET($AM$3,0,0,'Données projet'!$E$10+1,1))-AVERAGE(OFFSET($H$3,0,0,'Données projet'!$E$10+1,1))</f>
        <v>201.39673092164992</v>
      </c>
      <c r="AO20" s="60">
        <f t="shared" si="36"/>
        <v>278.95637851890405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1.3039557036344289</v>
      </c>
      <c r="BD20" s="13">
        <f>IF('Données projet'!$A$88&gt;35,BD19+BC20-BL19,IF(A20&lt;'Données projet'!$A$88,$BA$205^A20,IF(A20='Données projet'!$A$88,'Données projet'!$B$88,BD19+BC20-BL19)))</f>
        <v>21.163291258150863</v>
      </c>
      <c r="BE20" s="14">
        <f>BD20*VLOOKUP('Données projet'!$B$11,Paramètres!$A$1:$I$89,3,0)*VLOOKUP('Données projet'!$B$11,Paramètres!$A$1:$I$89,5,0)</f>
        <v>21.129429992137823</v>
      </c>
      <c r="BF20" s="14">
        <f t="shared" si="37"/>
        <v>6.8268900497761464</v>
      </c>
      <c r="BG20" s="22">
        <f t="shared" si="7"/>
        <v>48.690590739666824</v>
      </c>
      <c r="BH20" s="60">
        <f t="shared" si="8"/>
        <v>326.1350351841113</v>
      </c>
      <c r="BI20" s="60">
        <f ca="1">AVERAGE(OFFSET($BH$3,0,0,'Données projet'!$E$11+1,1))-AVERAGE(OFFSET($H$3,0,0,'Données projet'!$E$11+1,1))</f>
        <v>123.29894837876157</v>
      </c>
      <c r="BJ20" s="60">
        <f t="shared" si="38"/>
        <v>103.52963511757127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24.31083366209619</v>
      </c>
      <c r="CA20" s="14">
        <f t="shared" si="39"/>
        <v>7.7276032052466093</v>
      </c>
      <c r="CB20" s="22">
        <f t="shared" si="10"/>
        <v>55.800277543955367</v>
      </c>
      <c r="CC20" s="60">
        <f t="shared" si="11"/>
        <v>333.24472198839982</v>
      </c>
      <c r="CD20" s="60">
        <f ca="1">AVERAGE(OFFSET($CC$3,0,0,'Données projet'!$E$12+1,1))-AVERAGE(OFFSET($H$3,0,0,'Données projet'!$E$12+1,1))</f>
        <v>428.49602929661046</v>
      </c>
      <c r="CE20" s="60">
        <f t="shared" si="40"/>
        <v>252.32489414103878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6.2820512820512819</v>
      </c>
      <c r="CT20" s="13">
        <f>IF('Données projet'!$A$140&gt;35,CT19+CS20-DB19,IF(A20&lt;'Données projet'!$A$140,$CQ$205^A20,IF(A20='Données projet'!$A$140,'Données projet'!$B$140,CT19+CS20-DB19)))</f>
        <v>43.974358974358978</v>
      </c>
      <c r="CU20" s="18">
        <f>CT20*VLOOKUP('Données projet'!$B$13,Paramètres!$A$1:$I$89,3,0)*VLOOKUP('Données projet'!$B$13,Paramètres!$A$1:$I$89,5,0)</f>
        <v>29.498000000000005</v>
      </c>
      <c r="CV20" s="14">
        <f t="shared" si="41"/>
        <v>9.1677081835777017</v>
      </c>
      <c r="CW20" s="22">
        <f t="shared" si="13"/>
        <v>67.342775086397836</v>
      </c>
      <c r="CX20" s="60">
        <f t="shared" si="14"/>
        <v>344.78721953084232</v>
      </c>
      <c r="CY20" s="60">
        <f ca="1">AVERAGE(OFFSET($CX$3,0,0,'Données projet'!$E$13+1,1))-AVERAGE(OFFSET($H$3,0,0,'Données projet'!$E$13+1,1))</f>
        <v>226.5873967387837</v>
      </c>
      <c r="CZ20" s="60">
        <f t="shared" si="42"/>
        <v>188.57459946241204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3.4358974358974361</v>
      </c>
      <c r="DO20" s="13">
        <f>IF('Données projet'!$A$166&gt;35,DO19+DN20-DW19,IF(A20&lt;'Données projet'!$A$166,$DL$205^A20,IF(A20='Données projet'!$A$166,'Données projet'!$B$166,DO19+DN20-DW19)))</f>
        <v>13.82902259141513</v>
      </c>
      <c r="DP20" s="18">
        <f>DO20*VLOOKUP('Données projet'!$B$14,Paramètres!$A$1:$I$89,3,0)*VLOOKUP('Données projet'!$B$14,Paramètres!$A$1:$I$89,5,0)</f>
        <v>6.4719825727822808</v>
      </c>
      <c r="DQ20" s="14">
        <f t="shared" si="43"/>
        <v>2.399853096169215</v>
      </c>
      <c r="DR20" s="22">
        <f t="shared" si="16"/>
        <v>15.45178045675719</v>
      </c>
      <c r="DS20" s="60">
        <f t="shared" si="17"/>
        <v>292.89622490120166</v>
      </c>
      <c r="DT20" s="60">
        <f ca="1">AVERAGE(OFFSET($DS$3,0,0,'Données projet'!$E$14+1,1))-AVERAGE(OFFSET($H$3,0,0,'Données projet'!$E$14+1,1))</f>
        <v>212.19771249416107</v>
      </c>
      <c r="DU20" s="60">
        <f t="shared" si="44"/>
        <v>125.93313963856127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4.9140000000000006</v>
      </c>
      <c r="D21" s="12">
        <f t="shared" si="32"/>
        <v>1.8814997515338499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52.456489310085864</v>
      </c>
      <c r="H21" s="68">
        <f t="shared" si="1"/>
        <v>268.5021620672548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31.109859551611933</v>
      </c>
      <c r="P21" s="14">
        <f t="shared" si="33"/>
        <v>9.6089687778941872</v>
      </c>
      <c r="Q21" s="22">
        <f t="shared" si="2"/>
        <v>70.918626007223153</v>
      </c>
      <c r="R21" s="60">
        <f t="shared" si="0"/>
        <v>349.58529267388985</v>
      </c>
      <c r="S21" s="60">
        <f ca="1">AVERAGE(OFFSET($R$3,0,0,'Données projet'!$E$9+1,1))-AVERAGE(OFFSET($H$3,0,0,'Données projet'!$E$9+1,1))</f>
        <v>455.09463986470064</v>
      </c>
      <c r="T21" s="60">
        <f t="shared" si="34"/>
        <v>266.42568447709669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4.3264000000000005</v>
      </c>
      <c r="AI21" s="14">
        <f>IF('Données projet'!$A$62&gt;35,AI20+AH21-AQ20,IF(A21&lt;'Données projet'!$A$62,$AF$205^A21,IF(A21='Données projet'!$A$62,'Données projet'!$B$62,AI20+AH21-AQ20)))</f>
        <v>86.60480000000004</v>
      </c>
      <c r="AJ21" s="14">
        <f>AI21*VLOOKUP('Données projet'!$B$10,Paramètres!$A$1:$I$89,3,0)*VLOOKUP('Données projet'!$B$10,Paramètres!$A$1:$I$89,5,0)</f>
        <v>74.306918400000043</v>
      </c>
      <c r="AK21" s="14">
        <f t="shared" si="35"/>
        <v>20.739272167280205</v>
      </c>
      <c r="AL21" s="22">
        <f t="shared" si="4"/>
        <v>165.53878190467975</v>
      </c>
      <c r="AM21" s="60">
        <f t="shared" si="5"/>
        <v>444.20544857134644</v>
      </c>
      <c r="AN21" s="60">
        <f ca="1">AVERAGE(OFFSET($AM$3,0,0,'Données projet'!$E$10+1,1))-AVERAGE(OFFSET($H$3,0,0,'Données projet'!$E$10+1,1))</f>
        <v>201.39673092164992</v>
      </c>
      <c r="AO21" s="60">
        <f t="shared" si="36"/>
        <v>278.95637851890405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1.3039557036344289</v>
      </c>
      <c r="BD21" s="13">
        <f>IF('Données projet'!$A$88&gt;35,BD20+BC21-BL20,IF(A21&lt;'Données projet'!$A$88,$BA$205^A21,IF(A21='Données projet'!$A$88,'Données projet'!$B$88,BD20+BC21-BL20)))</f>
        <v>22.467246961785293</v>
      </c>
      <c r="BE21" s="14">
        <f>BD21*VLOOKUP('Données projet'!$B$11,Paramètres!$A$1:$I$89,3,0)*VLOOKUP('Données projet'!$B$11,Paramètres!$A$1:$I$89,5,0)</f>
        <v>22.431299366646435</v>
      </c>
      <c r="BF21" s="14">
        <f t="shared" si="37"/>
        <v>7.197257492931584</v>
      </c>
      <c r="BG21" s="22">
        <f t="shared" si="7"/>
        <v>51.60306986376505</v>
      </c>
      <c r="BH21" s="60">
        <f t="shared" si="8"/>
        <v>330.26973653043171</v>
      </c>
      <c r="BI21" s="60">
        <f ca="1">AVERAGE(OFFSET($BH$3,0,0,'Données projet'!$E$11+1,1))-AVERAGE(OFFSET($H$3,0,0,'Données projet'!$E$11+1,1))</f>
        <v>123.29894837876157</v>
      </c>
      <c r="BJ21" s="60">
        <f t="shared" si="38"/>
        <v>103.52963511757127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29.306389432677911</v>
      </c>
      <c r="CA21" s="14">
        <f t="shared" si="39"/>
        <v>9.1150691477493808</v>
      </c>
      <c r="CB21" s="22">
        <f t="shared" si="10"/>
        <v>66.917373694244205</v>
      </c>
      <c r="CC21" s="60">
        <f t="shared" si="11"/>
        <v>345.58404036091088</v>
      </c>
      <c r="CD21" s="60">
        <f ca="1">AVERAGE(OFFSET($CC$3,0,0,'Données projet'!$E$12+1,1))-AVERAGE(OFFSET($H$3,0,0,'Données projet'!$E$12+1,1))</f>
        <v>428.49602929661046</v>
      </c>
      <c r="CE21" s="60">
        <f t="shared" si="40"/>
        <v>252.32489414103878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6.2820512820512819</v>
      </c>
      <c r="CT21" s="13">
        <f>IF('Données projet'!$A$140&gt;35,CT20+CS21-DB20,IF(A21&lt;'Données projet'!$A$140,$CQ$205^A21,IF(A21='Données projet'!$A$140,'Données projet'!$B$140,CT20+CS21-DB20)))</f>
        <v>50.256410256410263</v>
      </c>
      <c r="CU21" s="18">
        <f>CT21*VLOOKUP('Données projet'!$B$13,Paramètres!$A$1:$I$89,3,0)*VLOOKUP('Données projet'!$B$13,Paramètres!$A$1:$I$89,5,0)</f>
        <v>33.712000000000003</v>
      </c>
      <c r="CV21" s="14">
        <f t="shared" si="41"/>
        <v>10.315789350263621</v>
      </c>
      <c r="CW21" s="22">
        <f t="shared" si="13"/>
        <v>76.681733118375817</v>
      </c>
      <c r="CX21" s="60">
        <f t="shared" si="14"/>
        <v>355.34839978504249</v>
      </c>
      <c r="CY21" s="60">
        <f ca="1">AVERAGE(OFFSET($CX$3,0,0,'Données projet'!$E$13+1,1))-AVERAGE(OFFSET($H$3,0,0,'Données projet'!$E$13+1,1))</f>
        <v>226.5873967387837</v>
      </c>
      <c r="CZ21" s="60">
        <f t="shared" si="42"/>
        <v>188.57459946241204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3.4358974358974361</v>
      </c>
      <c r="DO21" s="13">
        <f>IF('Données projet'!$A$166&gt;35,DO20+DN21-DW20,IF(A21&lt;'Données projet'!$A$166,$DL$205^A21,IF(A21='Données projet'!$A$166,'Données projet'!$B$166,DO20+DN21-DW20)))</f>
        <v>16.139752389254127</v>
      </c>
      <c r="DP21" s="18">
        <f>DO21*VLOOKUP('Données projet'!$B$14,Paramètres!$A$1:$I$89,3,0)*VLOOKUP('Données projet'!$B$14,Paramètres!$A$1:$I$89,5,0)</f>
        <v>7.5534041181709313</v>
      </c>
      <c r="DQ21" s="14">
        <f t="shared" si="43"/>
        <v>2.7509264109465743</v>
      </c>
      <c r="DR21" s="22">
        <f t="shared" si="16"/>
        <v>17.946709004879654</v>
      </c>
      <c r="DS21" s="60">
        <f t="shared" si="17"/>
        <v>296.61337567154635</v>
      </c>
      <c r="DT21" s="60">
        <f ca="1">AVERAGE(OFFSET($DS$3,0,0,'Données projet'!$E$14+1,1))-AVERAGE(OFFSET($H$3,0,0,'Données projet'!$E$14+1,1))</f>
        <v>212.19771249416107</v>
      </c>
      <c r="DU21" s="60">
        <f t="shared" si="44"/>
        <v>125.93313963856127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5.1870000000000003</v>
      </c>
      <c r="D22" s="12">
        <f t="shared" si="32"/>
        <v>1.9735678492822717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55.2745588365649</v>
      </c>
      <c r="H22" s="68">
        <f t="shared" si="1"/>
        <v>269.13798900416663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37.502525494917215</v>
      </c>
      <c r="P22" s="14">
        <f t="shared" si="33"/>
        <v>11.334227770598273</v>
      </c>
      <c r="Q22" s="22">
        <f t="shared" si="2"/>
        <v>85.057345270772814</v>
      </c>
      <c r="R22" s="60">
        <f t="shared" si="0"/>
        <v>364.94623415966169</v>
      </c>
      <c r="S22" s="60">
        <f ca="1">AVERAGE(OFFSET($R$3,0,0,'Données projet'!$E$9+1,1))-AVERAGE(OFFSET($H$3,0,0,'Données projet'!$E$9+1,1))</f>
        <v>455.09463986470064</v>
      </c>
      <c r="T22" s="60">
        <f t="shared" si="34"/>
        <v>266.42568447709669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4.3264000000000005</v>
      </c>
      <c r="AI22" s="14">
        <f>IF('Données projet'!$A$62&gt;35,AI21+AH22-AQ21,IF(A22&lt;'Données projet'!$A$62,$AF$205^A22,IF(A22='Données projet'!$A$62,'Données projet'!$B$62,AI21+AH22-AQ21)))</f>
        <v>90.931200000000047</v>
      </c>
      <c r="AJ22" s="14">
        <f>AI22*VLOOKUP('Données projet'!$B$10,Paramètres!$A$1:$I$89,3,0)*VLOOKUP('Données projet'!$B$10,Paramètres!$A$1:$I$89,5,0)</f>
        <v>78.018969600000048</v>
      </c>
      <c r="AK22" s="14">
        <f t="shared" si="35"/>
        <v>21.65210730155038</v>
      </c>
      <c r="AL22" s="22">
        <f t="shared" si="4"/>
        <v>173.59379227020034</v>
      </c>
      <c r="AM22" s="60">
        <f t="shared" si="5"/>
        <v>453.48268115908922</v>
      </c>
      <c r="AN22" s="60">
        <f ca="1">AVERAGE(OFFSET($AM$3,0,0,'Données projet'!$E$10+1,1))-AVERAGE(OFFSET($H$3,0,0,'Données projet'!$E$10+1,1))</f>
        <v>201.39673092164992</v>
      </c>
      <c r="AO22" s="60">
        <f t="shared" si="36"/>
        <v>278.95637851890405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1.3039557036344289</v>
      </c>
      <c r="BD22" s="13">
        <f>IF('Données projet'!$A$88&gt;35,BD21+BC22-BL21,IF(A22&lt;'Données projet'!$A$88,$BA$205^A22,IF(A22='Données projet'!$A$88,'Données projet'!$B$88,BD21+BC22-BL21)))</f>
        <v>23.771202665419722</v>
      </c>
      <c r="BE22" s="14">
        <f>BD22*VLOOKUP('Données projet'!$B$11,Paramètres!$A$1:$I$89,3,0)*VLOOKUP('Données projet'!$B$11,Paramètres!$A$1:$I$89,5,0)</f>
        <v>23.733168741155051</v>
      </c>
      <c r="BF22" s="14">
        <f t="shared" si="37"/>
        <v>7.5651298241023719</v>
      </c>
      <c r="BG22" s="22">
        <f t="shared" si="7"/>
        <v>54.511203334490006</v>
      </c>
      <c r="BH22" s="60">
        <f t="shared" si="8"/>
        <v>334.40009222337886</v>
      </c>
      <c r="BI22" s="60">
        <f ca="1">AVERAGE(OFFSET($BH$3,0,0,'Données projet'!$E$11+1,1))-AVERAGE(OFFSET($H$3,0,0,'Données projet'!$E$11+1,1))</f>
        <v>123.29894837876157</v>
      </c>
      <c r="BJ22" s="60">
        <f t="shared" si="38"/>
        <v>103.52963511757127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35.328466045936516</v>
      </c>
      <c r="CA22" s="14">
        <f t="shared" si="39"/>
        <v>10.751650073316766</v>
      </c>
      <c r="CB22" s="22">
        <f t="shared" si="10"/>
        <v>80.256202241032796</v>
      </c>
      <c r="CC22" s="60">
        <f t="shared" si="11"/>
        <v>360.14509112992164</v>
      </c>
      <c r="CD22" s="60">
        <f ca="1">AVERAGE(OFFSET($CC$3,0,0,'Données projet'!$E$12+1,1))-AVERAGE(OFFSET($H$3,0,0,'Données projet'!$E$12+1,1))</f>
        <v>428.49602929661046</v>
      </c>
      <c r="CE22" s="60">
        <f t="shared" si="40"/>
        <v>252.32489414103878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6.2820512820512819</v>
      </c>
      <c r="CT22" s="13">
        <f>IF('Données projet'!$A$140&gt;35,CT21+CS22-DB21,IF(A22&lt;'Données projet'!$A$140,$CQ$205^A22,IF(A22='Données projet'!$A$140,'Données projet'!$B$140,CT21+CS22-DB21)))</f>
        <v>56.538461538461547</v>
      </c>
      <c r="CU22" s="18">
        <f>CT22*VLOOKUP('Données projet'!$B$13,Paramètres!$A$1:$I$89,3,0)*VLOOKUP('Données projet'!$B$13,Paramètres!$A$1:$I$89,5,0)</f>
        <v>37.926000000000009</v>
      </c>
      <c r="CV22" s="14">
        <f t="shared" si="41"/>
        <v>11.447241207652395</v>
      </c>
      <c r="CW22" s="22">
        <f t="shared" si="13"/>
        <v>85.991728436661276</v>
      </c>
      <c r="CX22" s="60">
        <f t="shared" si="14"/>
        <v>365.88061732555013</v>
      </c>
      <c r="CY22" s="60">
        <f ca="1">AVERAGE(OFFSET($CX$3,0,0,'Données projet'!$E$13+1,1))-AVERAGE(OFFSET($H$3,0,0,'Données projet'!$E$13+1,1))</f>
        <v>226.5873967387837</v>
      </c>
      <c r="CZ22" s="60">
        <f t="shared" si="42"/>
        <v>188.57459946241204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3.4358974358974361</v>
      </c>
      <c r="DO22" s="13">
        <f>IF('Données projet'!$A$166&gt;35,DO21+DN22-DW21,IF(A22&lt;'Données projet'!$A$166,$DL$205^A22,IF(A22='Données projet'!$A$166,'Données projet'!$B$166,DO21+DN22-DW21)))</f>
        <v>18.836588447555499</v>
      </c>
      <c r="DP22" s="18">
        <f>DO22*VLOOKUP('Données projet'!$B$14,Paramètres!$A$1:$I$89,3,0)*VLOOKUP('Données projet'!$B$14,Paramètres!$A$1:$I$89,5,0)</f>
        <v>8.8155233934559742</v>
      </c>
      <c r="DQ22" s="14">
        <f t="shared" si="43"/>
        <v>3.153358066176315</v>
      </c>
      <c r="DR22" s="22">
        <f t="shared" si="16"/>
        <v>20.845801875526238</v>
      </c>
      <c r="DS22" s="60">
        <f t="shared" si="17"/>
        <v>300.73469076441512</v>
      </c>
      <c r="DT22" s="60">
        <f ca="1">AVERAGE(OFFSET($DS$3,0,0,'Données projet'!$E$14+1,1))-AVERAGE(OFFSET($H$3,0,0,'Données projet'!$E$14+1,1))</f>
        <v>212.19771249416107</v>
      </c>
      <c r="DU22" s="60">
        <f t="shared" si="44"/>
        <v>125.93313963856127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</v>
      </c>
      <c r="D23" s="12">
        <f t="shared" si="32"/>
        <v>2.0650733588092969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58.088285576773522</v>
      </c>
      <c r="H23" s="68">
        <f t="shared" si="1"/>
        <v>269.77283609992622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45.208799999999997</v>
      </c>
      <c r="P23" s="14">
        <f t="shared" si="33"/>
        <v>13.369251386406743</v>
      </c>
      <c r="Q23" s="22">
        <f t="shared" si="2"/>
        <v>102.02343949799173</v>
      </c>
      <c r="R23" s="60">
        <f t="shared" si="0"/>
        <v>383.13455060910286</v>
      </c>
      <c r="S23" s="60">
        <f ca="1">AVERAGE(OFFSET($R$3,0,0,'Données projet'!$E$9+1,1))-AVERAGE(OFFSET($H$3,0,0,'Données projet'!$E$9+1,1))</f>
        <v>455.09463986470064</v>
      </c>
      <c r="T23" s="60">
        <f t="shared" si="34"/>
        <v>266.42568447709669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4.3264000000000005</v>
      </c>
      <c r="AI23" s="14">
        <f>IF('Données projet'!$A$62&gt;35,AI22+AH23-AQ22,IF(A23&lt;'Données projet'!$A$62,$AF$205^A23,IF(A23='Données projet'!$A$62,'Données projet'!$B$62,AI22+AH23-AQ22)))</f>
        <v>95.257600000000053</v>
      </c>
      <c r="AJ23" s="14">
        <f>AI23*VLOOKUP('Données projet'!$B$10,Paramètres!$A$1:$I$89,3,0)*VLOOKUP('Données projet'!$B$10,Paramètres!$A$1:$I$89,5,0)</f>
        <v>81.731020800000053</v>
      </c>
      <c r="AK23" s="14">
        <f t="shared" si="35"/>
        <v>22.559898958501687</v>
      </c>
      <c r="AL23" s="22">
        <f t="shared" si="4"/>
        <v>181.64001857939056</v>
      </c>
      <c r="AM23" s="60">
        <f t="shared" si="5"/>
        <v>462.75112969050167</v>
      </c>
      <c r="AN23" s="60">
        <f ca="1">AVERAGE(OFFSET($AM$3,0,0,'Données projet'!$E$10+1,1))-AVERAGE(OFFSET($H$3,0,0,'Données projet'!$E$10+1,1))</f>
        <v>201.39673092164992</v>
      </c>
      <c r="AO23" s="60">
        <f t="shared" si="36"/>
        <v>278.95637851890405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1.3039557036344289</v>
      </c>
      <c r="BD23" s="13">
        <f>IF('Données projet'!$A$88&gt;35,BD22+BC23-BL22,IF(A23&lt;'Données projet'!$A$88,$BA$205^A23,IF(A23='Données projet'!$A$88,'Données projet'!$B$88,BD22+BC23-BL22)))</f>
        <v>25.075158369054151</v>
      </c>
      <c r="BE23" s="14">
        <f>BD23*VLOOKUP('Données projet'!$B$11,Paramètres!$A$1:$I$89,3,0)*VLOOKUP('Données projet'!$B$11,Paramètres!$A$1:$I$89,5,0)</f>
        <v>25.035038115663667</v>
      </c>
      <c r="BF23" s="14">
        <f t="shared" si="37"/>
        <v>7.9306595128818955</v>
      </c>
      <c r="BG23" s="22">
        <f t="shared" si="7"/>
        <v>57.415256703050183</v>
      </c>
      <c r="BH23" s="60">
        <f t="shared" si="8"/>
        <v>338.52636781416135</v>
      </c>
      <c r="BI23" s="60">
        <f ca="1">AVERAGE(OFFSET($BH$3,0,0,'Données projet'!$E$11+1,1))-AVERAGE(OFFSET($H$3,0,0,'Données projet'!$E$11+1,1))</f>
        <v>123.29894837876157</v>
      </c>
      <c r="BJ23" s="60">
        <f t="shared" si="38"/>
        <v>103.52963511757127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42.588000000000001</v>
      </c>
      <c r="CA23" s="14">
        <f t="shared" si="39"/>
        <v>12.682073764365764</v>
      </c>
      <c r="CB23" s="22">
        <f t="shared" si="10"/>
        <v>96.262045139603686</v>
      </c>
      <c r="CC23" s="60">
        <f t="shared" si="11"/>
        <v>377.37315625071483</v>
      </c>
      <c r="CD23" s="60">
        <f ca="1">AVERAGE(OFFSET($CC$3,0,0,'Données projet'!$E$12+1,1))-AVERAGE(OFFSET($H$3,0,0,'Données projet'!$E$12+1,1))</f>
        <v>428.49602929661046</v>
      </c>
      <c r="CE23" s="60">
        <f t="shared" si="40"/>
        <v>252.32489414103878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62.820512820512818</v>
      </c>
      <c r="CR23" s="13">
        <f>VLOOKUP(A23,'Données projet'!$A$139:$I$159,9,0)</f>
        <v>6.2820512820512819</v>
      </c>
      <c r="CS23" s="13">
        <f t="array" ref="CS23">INDEX(CR:CR,MIN(IF(ISNUMBER(CR23:CR219),ROW(CR23:CR219),"")))</f>
        <v>6.2820512820512819</v>
      </c>
      <c r="CT23" s="13">
        <f>IF('Données projet'!$A$140&gt;35,CT22+CS23-DB22,IF(A23&lt;'Données projet'!$A$140,$CQ$205^A23,IF(A23='Données projet'!$A$140,'Données projet'!$B$140,CT22+CS23-DB22)))</f>
        <v>62.820512820512832</v>
      </c>
      <c r="CU23" s="18">
        <f>CT23*VLOOKUP('Données projet'!$B$13,Paramètres!$A$1:$I$89,3,0)*VLOOKUP('Données projet'!$B$13,Paramètres!$A$1:$I$89,5,0)</f>
        <v>42.140000000000008</v>
      </c>
      <c r="CV23" s="14">
        <f t="shared" si="41"/>
        <v>12.564122227768271</v>
      </c>
      <c r="CW23" s="22">
        <f t="shared" si="13"/>
        <v>95.276346213363084</v>
      </c>
      <c r="CX23" s="60">
        <f t="shared" si="14"/>
        <v>376.38745732447421</v>
      </c>
      <c r="CY23" s="60">
        <f ca="1">AVERAGE(OFFSET($CX$3,0,0,'Données projet'!$E$13+1,1))-AVERAGE(OFFSET($H$3,0,0,'Données projet'!$E$13+1,1))</f>
        <v>226.5873967387837</v>
      </c>
      <c r="CZ23" s="60">
        <f t="shared" si="42"/>
        <v>188.57459946241204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17.307692307692307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3.4358974358974361</v>
      </c>
      <c r="DO23" s="13">
        <f>IF('Données projet'!$A$166&gt;35,DO22+DN23-DW22,IF(A23&lt;'Données projet'!$A$166,$DL$205^A23,IF(A23='Données projet'!$A$166,'Données projet'!$B$166,DO22+DN23-DW22)))</f>
        <v>21.984046333871831</v>
      </c>
      <c r="DP23" s="18">
        <f>DO23*VLOOKUP('Données projet'!$B$14,Paramètres!$A$1:$I$89,3,0)*VLOOKUP('Données projet'!$B$14,Paramètres!$A$1:$I$89,5,0)</f>
        <v>10.288533684252016</v>
      </c>
      <c r="DQ23" s="14">
        <f t="shared" si="43"/>
        <v>3.6146612479167253</v>
      </c>
      <c r="DR23" s="22">
        <f t="shared" si="16"/>
        <v>24.214731173527223</v>
      </c>
      <c r="DS23" s="60">
        <f t="shared" si="17"/>
        <v>305.32584228463838</v>
      </c>
      <c r="DT23" s="60">
        <f ca="1">AVERAGE(OFFSET($DS$3,0,0,'Données projet'!$E$14+1,1))-AVERAGE(OFFSET($H$3,0,0,'Données projet'!$E$14+1,1))</f>
        <v>212.19771249416107</v>
      </c>
      <c r="DU23" s="60">
        <f t="shared" si="44"/>
        <v>125.93313963856127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5.7329999999999997</v>
      </c>
      <c r="D24" s="12">
        <f t="shared" si="32"/>
        <v>2.1560476193270603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60.897911447436968</v>
      </c>
      <c r="H24" s="68">
        <f t="shared" si="1"/>
        <v>270.40675793699467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51.236640000000001</v>
      </c>
      <c r="P24" s="14">
        <f t="shared" si="33"/>
        <v>14.932671799321549</v>
      </c>
      <c r="Q24" s="22">
        <f t="shared" si="2"/>
        <v>115.24488471715169</v>
      </c>
      <c r="R24" s="60">
        <f t="shared" si="0"/>
        <v>397.57821805048502</v>
      </c>
      <c r="S24" s="60">
        <f ca="1">AVERAGE(OFFSET($R$3,0,0,'Données projet'!$E$9+1,1))-AVERAGE(OFFSET($H$3,0,0,'Données projet'!$E$9+1,1))</f>
        <v>455.09463986470064</v>
      </c>
      <c r="T24" s="60">
        <f t="shared" si="34"/>
        <v>266.42568447709669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4.3264000000000005</v>
      </c>
      <c r="AI24" s="14">
        <f>IF('Données projet'!$A$62&gt;35,AI23+AH24-AQ23,IF(A24&lt;'Données projet'!$A$62,$AF$205^A24,IF(A24='Données projet'!$A$62,'Données projet'!$B$62,AI23+AH24-AQ23)))</f>
        <v>99.58400000000006</v>
      </c>
      <c r="AJ24" s="14">
        <f>AI24*VLOOKUP('Données projet'!$B$10,Paramètres!$A$1:$I$89,3,0)*VLOOKUP('Données projet'!$B$10,Paramètres!$A$1:$I$89,5,0)</f>
        <v>85.443072000000058</v>
      </c>
      <c r="AK24" s="14">
        <f t="shared" si="35"/>
        <v>23.462902369865859</v>
      </c>
      <c r="AL24" s="22">
        <f t="shared" si="4"/>
        <v>189.67790536084979</v>
      </c>
      <c r="AM24" s="60">
        <f t="shared" si="5"/>
        <v>472.01123869418313</v>
      </c>
      <c r="AN24" s="60">
        <f ca="1">AVERAGE(OFFSET($AM$3,0,0,'Données projet'!$E$10+1,1))-AVERAGE(OFFSET($H$3,0,0,'Données projet'!$E$10+1,1))</f>
        <v>201.39673092164992</v>
      </c>
      <c r="AO24" s="60">
        <f t="shared" si="36"/>
        <v>278.95637851890405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1.3039557036344289</v>
      </c>
      <c r="BD24" s="13">
        <f>IF('Données projet'!$A$88&gt;35,BD23+BC24-BL23,IF(A24&lt;'Données projet'!$A$88,$BA$205^A24,IF(A24='Données projet'!$A$88,'Données projet'!$B$88,BD23+BC24-BL23)))</f>
        <v>26.37911407268858</v>
      </c>
      <c r="BE24" s="14">
        <f>BD24*VLOOKUP('Données projet'!$B$11,Paramètres!$A$1:$I$89,3,0)*VLOOKUP('Données projet'!$B$11,Paramètres!$A$1:$I$89,5,0)</f>
        <v>26.33690749017228</v>
      </c>
      <c r="BF24" s="14">
        <f t="shared" si="37"/>
        <v>8.2939822758012163</v>
      </c>
      <c r="BG24" s="22">
        <f t="shared" si="7"/>
        <v>60.31546634240383</v>
      </c>
      <c r="BH24" s="60">
        <f t="shared" si="8"/>
        <v>342.64879967573717</v>
      </c>
      <c r="BI24" s="60">
        <f ca="1">AVERAGE(OFFSET($BH$3,0,0,'Données projet'!$E$11+1,1))-AVERAGE(OFFSET($H$3,0,0,'Données projet'!$E$11+1,1))</f>
        <v>123.29894837876157</v>
      </c>
      <c r="BJ24" s="60">
        <f t="shared" si="38"/>
        <v>103.52963511757127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48.266400000000004</v>
      </c>
      <c r="CA24" s="14">
        <f t="shared" si="39"/>
        <v>14.165134590154434</v>
      </c>
      <c r="CB24" s="22">
        <f t="shared" si="10"/>
        <v>108.73492274451898</v>
      </c>
      <c r="CC24" s="60">
        <f t="shared" si="11"/>
        <v>391.06825607785231</v>
      </c>
      <c r="CD24" s="60">
        <f ca="1">AVERAGE(OFFSET($CC$3,0,0,'Données projet'!$E$12+1,1))-AVERAGE(OFFSET($H$3,0,0,'Données projet'!$E$12+1,1))</f>
        <v>428.49602929661046</v>
      </c>
      <c r="CE24" s="60">
        <f t="shared" si="40"/>
        <v>252.32489414103878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6.9230769230769225</v>
      </c>
      <c r="CT24" s="13">
        <f>IF('Données projet'!$A$140&gt;35,CT23+CS24-DB23,IF(A24&lt;'Données projet'!$A$140,$CQ$205^A24,IF(A24='Données projet'!$A$140,'Données projet'!$B$140,CT23+CS24-DB23)))</f>
        <v>52.435897435897445</v>
      </c>
      <c r="CU24" s="18">
        <f>CT24*VLOOKUP('Données projet'!$B$13,Paramètres!$A$1:$I$89,3,0)*VLOOKUP('Données projet'!$B$13,Paramètres!$A$1:$I$89,5,0)</f>
        <v>35.174000000000007</v>
      </c>
      <c r="CV24" s="14">
        <f t="shared" si="41"/>
        <v>10.710102108349531</v>
      </c>
      <c r="CW24" s="22">
        <f t="shared" si="13"/>
        <v>79.914811172042121</v>
      </c>
      <c r="CX24" s="60">
        <f t="shared" si="14"/>
        <v>362.24814450537542</v>
      </c>
      <c r="CY24" s="60">
        <f ca="1">AVERAGE(OFFSET($CX$3,0,0,'Données projet'!$E$13+1,1))-AVERAGE(OFFSET($H$3,0,0,'Données projet'!$E$13+1,1))</f>
        <v>226.5873967387837</v>
      </c>
      <c r="CZ24" s="60">
        <f t="shared" si="42"/>
        <v>188.57459946241204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3.4358974358974361</v>
      </c>
      <c r="DO24" s="13">
        <f>IF('Données projet'!$A$166&gt;35,DO23+DN24-DW23,IF(A24&lt;'Données projet'!$A$166,$DL$205^A24,IF(A24='Données projet'!$A$166,'Données projet'!$B$166,DO23+DN24-DW23)))</f>
        <v>25.657421701143715</v>
      </c>
      <c r="DP24" s="18">
        <f>DO24*VLOOKUP('Données projet'!$B$14,Paramètres!$A$1:$I$89,3,0)*VLOOKUP('Données projet'!$B$14,Paramètres!$A$1:$I$89,5,0)</f>
        <v>12.007673356135259</v>
      </c>
      <c r="DQ24" s="14">
        <f t="shared" si="43"/>
        <v>4.1434482424744576</v>
      </c>
      <c r="DR24" s="22">
        <f t="shared" si="16"/>
        <v>28.129870117578587</v>
      </c>
      <c r="DS24" s="60">
        <f t="shared" si="17"/>
        <v>310.46320345091192</v>
      </c>
      <c r="DT24" s="60">
        <f ca="1">AVERAGE(OFFSET($DS$3,0,0,'Données projet'!$E$14+1,1))-AVERAGE(OFFSET($H$3,0,0,'Données projet'!$E$14+1,1))</f>
        <v>212.19771249416107</v>
      </c>
      <c r="DU24" s="60">
        <f t="shared" si="44"/>
        <v>125.93313963856127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6.0059999999999993</v>
      </c>
      <c r="D25" s="12">
        <f t="shared" si="32"/>
        <v>2.2465188167092123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63.70365402372024</v>
      </c>
      <c r="H25" s="68">
        <f t="shared" si="1"/>
        <v>271.03980360576855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57.264479999999999</v>
      </c>
      <c r="P25" s="14">
        <f t="shared" si="33"/>
        <v>16.474776623807379</v>
      </c>
      <c r="Q25" s="22">
        <f t="shared" si="2"/>
        <v>128.42920528646451</v>
      </c>
      <c r="R25" s="60">
        <f t="shared" si="0"/>
        <v>411.98476084202002</v>
      </c>
      <c r="S25" s="60">
        <f ca="1">AVERAGE(OFFSET($R$3,0,0,'Données projet'!$E$9+1,1))-AVERAGE(OFFSET($H$3,0,0,'Données projet'!$E$9+1,1))</f>
        <v>455.09463986470064</v>
      </c>
      <c r="T25" s="60">
        <f t="shared" si="34"/>
        <v>266.42568447709669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4.3264000000000005</v>
      </c>
      <c r="AI25" s="14">
        <f>IF('Données projet'!$A$62&gt;35,AI24+AH25-AQ24,IF(A25&lt;'Données projet'!$A$62,$AF$205^A25,IF(A25='Données projet'!$A$62,'Données projet'!$B$62,AI24+AH25-AQ24)))</f>
        <v>103.91040000000007</v>
      </c>
      <c r="AJ25" s="14">
        <f>AI25*VLOOKUP('Données projet'!$B$10,Paramètres!$A$1:$I$89,3,0)*VLOOKUP('Données projet'!$B$10,Paramètres!$A$1:$I$89,5,0)</f>
        <v>89.155123200000062</v>
      </c>
      <c r="AK25" s="14">
        <f t="shared" si="35"/>
        <v>24.361349336310035</v>
      </c>
      <c r="AL25" s="22">
        <f t="shared" si="4"/>
        <v>197.7078563340734</v>
      </c>
      <c r="AM25" s="60">
        <f t="shared" si="5"/>
        <v>481.26341188962897</v>
      </c>
      <c r="AN25" s="60">
        <f ca="1">AVERAGE(OFFSET($AM$3,0,0,'Données projet'!$E$10+1,1))-AVERAGE(OFFSET($H$3,0,0,'Données projet'!$E$10+1,1))</f>
        <v>201.39673092164992</v>
      </c>
      <c r="AO25" s="60">
        <f t="shared" si="36"/>
        <v>278.95637851890405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1.3039557036344289</v>
      </c>
      <c r="BD25" s="13">
        <f>IF('Données projet'!$A$88&gt;35,BD24+BC25-BL24,IF(A25&lt;'Données projet'!$A$88,$BA$205^A25,IF(A25='Données projet'!$A$88,'Données projet'!$B$88,BD24+BC25-BL24)))</f>
        <v>27.683069776323009</v>
      </c>
      <c r="BE25" s="14">
        <f>BD25*VLOOKUP('Données projet'!$B$11,Paramètres!$A$1:$I$89,3,0)*VLOOKUP('Données projet'!$B$11,Paramètres!$A$1:$I$89,5,0)</f>
        <v>27.638776864680896</v>
      </c>
      <c r="BF25" s="14">
        <f t="shared" si="37"/>
        <v>8.6552196541035329</v>
      </c>
      <c r="BG25" s="22">
        <f t="shared" si="7"/>
        <v>63.212043936882871</v>
      </c>
      <c r="BH25" s="60">
        <f t="shared" si="8"/>
        <v>346.76759949243842</v>
      </c>
      <c r="BI25" s="60">
        <f ca="1">AVERAGE(OFFSET($BH$3,0,0,'Données projet'!$E$11+1,1))-AVERAGE(OFFSET($H$3,0,0,'Données projet'!$E$11+1,1))</f>
        <v>123.29894837876157</v>
      </c>
      <c r="BJ25" s="60">
        <f t="shared" si="38"/>
        <v>103.52963511757127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53.944800000000008</v>
      </c>
      <c r="CA25" s="14">
        <f t="shared" si="39"/>
        <v>15.627975445731321</v>
      </c>
      <c r="CB25" s="22">
        <f t="shared" si="10"/>
        <v>121.17258390131538</v>
      </c>
      <c r="CC25" s="60">
        <f t="shared" si="11"/>
        <v>404.72813945687091</v>
      </c>
      <c r="CD25" s="60">
        <f ca="1">AVERAGE(OFFSET($CC$3,0,0,'Données projet'!$E$12+1,1))-AVERAGE(OFFSET($H$3,0,0,'Données projet'!$E$12+1,1))</f>
        <v>428.49602929661046</v>
      </c>
      <c r="CE25" s="60">
        <f t="shared" si="40"/>
        <v>252.32489414103878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6.9230769230769225</v>
      </c>
      <c r="CT25" s="13">
        <f>IF('Données projet'!$A$140&gt;35,CT24+CS25-DB24,IF(A25&lt;'Données projet'!$A$140,$CQ$205^A25,IF(A25='Données projet'!$A$140,'Données projet'!$B$140,CT24+CS25-DB24)))</f>
        <v>59.358974358974365</v>
      </c>
      <c r="CU25" s="18">
        <f>CT25*VLOOKUP('Données projet'!$B$13,Paramètres!$A$1:$I$89,3,0)*VLOOKUP('Données projet'!$B$13,Paramètres!$A$1:$I$89,5,0)</f>
        <v>39.818000000000005</v>
      </c>
      <c r="CV25" s="14">
        <f t="shared" si="41"/>
        <v>11.950394990762812</v>
      </c>
      <c r="CW25" s="22">
        <f t="shared" si="13"/>
        <v>90.163287942245233</v>
      </c>
      <c r="CX25" s="60">
        <f t="shared" si="14"/>
        <v>373.71884349780078</v>
      </c>
      <c r="CY25" s="60">
        <f ca="1">AVERAGE(OFFSET($CX$3,0,0,'Données projet'!$E$13+1,1))-AVERAGE(OFFSET($H$3,0,0,'Données projet'!$E$13+1,1))</f>
        <v>226.5873967387837</v>
      </c>
      <c r="CZ25" s="60">
        <f t="shared" si="42"/>
        <v>188.57459946241204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3.4358974358974361</v>
      </c>
      <c r="DO25" s="13">
        <f>IF('Données projet'!$A$166&gt;35,DO24+DN25-DW24,IF(A25&lt;'Données projet'!$A$166,$DL$205^A25,IF(A25='Données projet'!$A$166,'Données projet'!$B$166,DO24+DN25-DW24)))</f>
        <v>29.944591562111224</v>
      </c>
      <c r="DP25" s="18">
        <f>DO25*VLOOKUP('Données projet'!$B$14,Paramètres!$A$1:$I$89,3,0)*VLOOKUP('Données projet'!$B$14,Paramètres!$A$1:$I$89,5,0)</f>
        <v>14.014068851068053</v>
      </c>
      <c r="DQ25" s="14">
        <f t="shared" si="43"/>
        <v>4.749591223232712</v>
      </c>
      <c r="DR25" s="22">
        <f t="shared" si="16"/>
        <v>32.680041296073831</v>
      </c>
      <c r="DS25" s="60">
        <f t="shared" si="17"/>
        <v>316.2355968516294</v>
      </c>
      <c r="DT25" s="60">
        <f ca="1">AVERAGE(OFFSET($DS$3,0,0,'Données projet'!$E$14+1,1))-AVERAGE(OFFSET($H$3,0,0,'Données projet'!$E$14+1,1))</f>
        <v>212.19771249416107</v>
      </c>
      <c r="DU25" s="60">
        <f t="shared" si="44"/>
        <v>125.93313963856127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6.278999999999999</v>
      </c>
      <c r="D26" s="12">
        <f t="shared" si="32"/>
        <v>2.336512429637037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66.505709983163086</v>
      </c>
      <c r="H26" s="68">
        <f t="shared" si="1"/>
        <v>271.67201748161784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63.292320000000004</v>
      </c>
      <c r="P26" s="14">
        <f t="shared" si="33"/>
        <v>17.998065245956816</v>
      </c>
      <c r="Q26" s="22">
        <f t="shared" si="2"/>
        <v>141.58075430337479</v>
      </c>
      <c r="R26" s="60">
        <f t="shared" si="0"/>
        <v>426.35853208115259</v>
      </c>
      <c r="S26" s="60">
        <f ca="1">AVERAGE(OFFSET($R$3,0,0,'Données projet'!$E$9+1,1))-AVERAGE(OFFSET($H$3,0,0,'Données projet'!$E$9+1,1))</f>
        <v>455.09463986470064</v>
      </c>
      <c r="T26" s="60">
        <f t="shared" si="34"/>
        <v>266.42568447709669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4.3264000000000005</v>
      </c>
      <c r="AI26" s="14">
        <f>IF('Données projet'!$A$62&gt;35,AI25+AH26-AQ25,IF(A26&lt;'Données projet'!$A$62,$AF$205^A26,IF(A26='Données projet'!$A$62,'Données projet'!$B$62,AI25+AH26-AQ25)))</f>
        <v>108.23680000000007</v>
      </c>
      <c r="AJ26" s="14">
        <f>AI26*VLOOKUP('Données projet'!$B$10,Paramètres!$A$1:$I$89,3,0)*VLOOKUP('Données projet'!$B$10,Paramètres!$A$1:$I$89,5,0)</f>
        <v>92.867174400000067</v>
      </c>
      <c r="AK26" s="14">
        <f t="shared" si="35"/>
        <v>25.255451263993066</v>
      </c>
      <c r="AL26" s="22">
        <f t="shared" si="4"/>
        <v>205.73023969812138</v>
      </c>
      <c r="AM26" s="60">
        <f t="shared" si="5"/>
        <v>490.50801747589912</v>
      </c>
      <c r="AN26" s="60">
        <f ca="1">AVERAGE(OFFSET($AM$3,0,0,'Données projet'!$E$10+1,1))-AVERAGE(OFFSET($H$3,0,0,'Données projet'!$E$10+1,1))</f>
        <v>201.39673092164992</v>
      </c>
      <c r="AO26" s="60">
        <f t="shared" si="36"/>
        <v>278.95637851890405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1.3039557036344289</v>
      </c>
      <c r="BD26" s="13">
        <f>IF('Données projet'!$A$88&gt;35,BD25+BC26-BL25,IF(A26&lt;'Données projet'!$A$88,$BA$205^A26,IF(A26='Données projet'!$A$88,'Données projet'!$B$88,BD25+BC26-BL25)))</f>
        <v>28.987025479957438</v>
      </c>
      <c r="BE26" s="14">
        <f>BD26*VLOOKUP('Données projet'!$B$11,Paramètres!$A$1:$I$89,3,0)*VLOOKUP('Données projet'!$B$11,Paramètres!$A$1:$I$89,5,0)</f>
        <v>28.940646239189508</v>
      </c>
      <c r="BF26" s="14">
        <f t="shared" si="37"/>
        <v>9.0144810920819491</v>
      </c>
      <c r="BG26" s="22">
        <f t="shared" si="7"/>
        <v>66.10518010196445</v>
      </c>
      <c r="BH26" s="60">
        <f t="shared" si="8"/>
        <v>350.88295787974221</v>
      </c>
      <c r="BI26" s="60">
        <f ca="1">AVERAGE(OFFSET($BH$3,0,0,'Données projet'!$E$11+1,1))-AVERAGE(OFFSET($H$3,0,0,'Données projet'!$E$11+1,1))</f>
        <v>123.29894837876157</v>
      </c>
      <c r="BJ26" s="60">
        <f t="shared" si="38"/>
        <v>103.52963511757127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59.623200000000011</v>
      </c>
      <c r="CA26" s="14">
        <f t="shared" si="39"/>
        <v>17.072967249098898</v>
      </c>
      <c r="CB26" s="22">
        <f t="shared" si="10"/>
        <v>133.57915795884725</v>
      </c>
      <c r="CC26" s="60">
        <f t="shared" si="11"/>
        <v>418.35693573662502</v>
      </c>
      <c r="CD26" s="60">
        <f ca="1">AVERAGE(OFFSET($CC$3,0,0,'Données projet'!$E$12+1,1))-AVERAGE(OFFSET($H$3,0,0,'Données projet'!$E$12+1,1))</f>
        <v>428.49602929661046</v>
      </c>
      <c r="CE26" s="60">
        <f t="shared" si="40"/>
        <v>252.32489414103878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6.9230769230769225</v>
      </c>
      <c r="CT26" s="13">
        <f>IF('Données projet'!$A$140&gt;35,CT25+CS26-DB25,IF(A26&lt;'Données projet'!$A$140,$CQ$205^A26,IF(A26='Données projet'!$A$140,'Données projet'!$B$140,CT25+CS26-DB25)))</f>
        <v>66.282051282051285</v>
      </c>
      <c r="CU26" s="18">
        <f>CT26*VLOOKUP('Données projet'!$B$13,Paramètres!$A$1:$I$89,3,0)*VLOOKUP('Données projet'!$B$13,Paramètres!$A$1:$I$89,5,0)</f>
        <v>44.462000000000003</v>
      </c>
      <c r="CV26" s="14">
        <f t="shared" si="41"/>
        <v>13.173923593104782</v>
      </c>
      <c r="CW26" s="22">
        <f t="shared" si="13"/>
        <v>100.3825669246575</v>
      </c>
      <c r="CX26" s="60">
        <f t="shared" si="14"/>
        <v>385.16034470243528</v>
      </c>
      <c r="CY26" s="60">
        <f ca="1">AVERAGE(OFFSET($CX$3,0,0,'Données projet'!$E$13+1,1))-AVERAGE(OFFSET($H$3,0,0,'Données projet'!$E$13+1,1))</f>
        <v>226.5873967387837</v>
      </c>
      <c r="CZ26" s="60">
        <f t="shared" si="42"/>
        <v>188.57459946241204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3.4358974358974361</v>
      </c>
      <c r="DO26" s="13">
        <f>IF('Données projet'!$A$166&gt;35,DO25+DN26-DW25,IF(A26&lt;'Données projet'!$A$166,$DL$205^A26,IF(A26='Données projet'!$A$166,'Données projet'!$B$166,DO25+DN26-DW25)))</f>
        <v>34.948116543670167</v>
      </c>
      <c r="DP26" s="18">
        <f>DO26*VLOOKUP('Données projet'!$B$14,Paramètres!$A$1:$I$89,3,0)*VLOOKUP('Données projet'!$B$14,Paramètres!$A$1:$I$89,5,0)</f>
        <v>16.355718542437639</v>
      </c>
      <c r="DQ26" s="14">
        <f t="shared" si="43"/>
        <v>5.4444065589044843</v>
      </c>
      <c r="DR26" s="22">
        <f t="shared" si="16"/>
        <v>37.968551218170866</v>
      </c>
      <c r="DS26" s="60">
        <f t="shared" si="17"/>
        <v>322.74632899594866</v>
      </c>
      <c r="DT26" s="60">
        <f ca="1">AVERAGE(OFFSET($DS$3,0,0,'Données projet'!$E$14+1,1))-AVERAGE(OFFSET($H$3,0,0,'Données projet'!$E$14+1,1))</f>
        <v>212.19771249416107</v>
      </c>
      <c r="DU26" s="60">
        <f t="shared" si="44"/>
        <v>125.93313963856127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6.5519999999999987</v>
      </c>
      <c r="D27" s="12">
        <f t="shared" si="32"/>
        <v>2.4260515959655726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69.304257933769307</v>
      </c>
      <c r="H27" s="68">
        <f t="shared" si="1"/>
        <v>272.30343986297339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69.320160000000001</v>
      </c>
      <c r="P27" s="14">
        <f t="shared" si="33"/>
        <v>19.50453356393022</v>
      </c>
      <c r="Q27" s="22">
        <f t="shared" si="2"/>
        <v>154.70300795717847</v>
      </c>
      <c r="R27" s="60">
        <f t="shared" si="0"/>
        <v>440.70300795717844</v>
      </c>
      <c r="S27" s="60">
        <f ca="1">AVERAGE(OFFSET($R$3,0,0,'Données projet'!$E$9+1,1))-AVERAGE(OFFSET($H$3,0,0,'Données projet'!$E$9+1,1))</f>
        <v>455.09463986470064</v>
      </c>
      <c r="T27" s="60">
        <f t="shared" si="34"/>
        <v>266.42568447709669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4.3264000000000005</v>
      </c>
      <c r="AI27" s="14">
        <f>IF('Données projet'!$A$62&gt;35,AI26+AH27-AQ26,IF(A27&lt;'Données projet'!$A$62,$AF$205^A27,IF(A27='Données projet'!$A$62,'Données projet'!$B$62,AI26+AH27-AQ26)))</f>
        <v>112.56320000000008</v>
      </c>
      <c r="AJ27" s="14">
        <f>AI27*VLOOKUP('Données projet'!$B$10,Paramètres!$A$1:$I$89,3,0)*VLOOKUP('Données projet'!$B$10,Paramètres!$A$1:$I$89,5,0)</f>
        <v>96.579225600000072</v>
      </c>
      <c r="AK27" s="14">
        <f t="shared" si="35"/>
        <v>26.145401701951332</v>
      </c>
      <c r="AL27" s="22">
        <f t="shared" si="4"/>
        <v>213.74539255089869</v>
      </c>
      <c r="AM27" s="60">
        <f t="shared" si="5"/>
        <v>499.74539255089871</v>
      </c>
      <c r="AN27" s="60">
        <f ca="1">AVERAGE(OFFSET($AM$3,0,0,'Données projet'!$E$10+1,1))-AVERAGE(OFFSET($H$3,0,0,'Données projet'!$E$10+1,1))</f>
        <v>201.39673092164992</v>
      </c>
      <c r="AO27" s="60">
        <f t="shared" si="36"/>
        <v>278.95637851890405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1.3039557036344289</v>
      </c>
      <c r="BD27" s="13">
        <f>IF('Données projet'!$A$88&gt;35,BD26+BC27-BL26,IF(A27&lt;'Données projet'!$A$88,$BA$205^A27,IF(A27='Données projet'!$A$88,'Données projet'!$B$88,BD26+BC27-BL26)))</f>
        <v>30.290981183591867</v>
      </c>
      <c r="BE27" s="14">
        <f>BD27*VLOOKUP('Données projet'!$B$11,Paramètres!$A$1:$I$89,3,0)*VLOOKUP('Données projet'!$B$11,Paramètres!$A$1:$I$89,5,0)</f>
        <v>30.242515613698124</v>
      </c>
      <c r="BF27" s="14">
        <f t="shared" si="37"/>
        <v>9.3718656308821178</v>
      </c>
      <c r="BG27" s="22">
        <f t="shared" si="7"/>
        <v>68.995047334310584</v>
      </c>
      <c r="BH27" s="60">
        <f t="shared" si="8"/>
        <v>354.99504733431058</v>
      </c>
      <c r="BI27" s="60">
        <f ca="1">AVERAGE(OFFSET($BH$3,0,0,'Données projet'!$E$11+1,1))-AVERAGE(OFFSET($H$3,0,0,'Données projet'!$E$11+1,1))</f>
        <v>123.29894837876157</v>
      </c>
      <c r="BJ27" s="60">
        <f t="shared" si="38"/>
        <v>103.52963511757127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65.301600000000008</v>
      </c>
      <c r="CA27" s="14">
        <f t="shared" si="39"/>
        <v>18.502003309535596</v>
      </c>
      <c r="CB27" s="22">
        <f t="shared" si="10"/>
        <v>145.95794243077449</v>
      </c>
      <c r="CC27" s="60">
        <f t="shared" si="11"/>
        <v>431.95794243077449</v>
      </c>
      <c r="CD27" s="60">
        <f ca="1">AVERAGE(OFFSET($CC$3,0,0,'Données projet'!$E$12+1,1))-AVERAGE(OFFSET($H$3,0,0,'Données projet'!$E$12+1,1))</f>
        <v>428.49602929661046</v>
      </c>
      <c r="CE27" s="60">
        <f t="shared" si="40"/>
        <v>252.32489414103878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6.9230769230769225</v>
      </c>
      <c r="CT27" s="13">
        <f>IF('Données projet'!$A$140&gt;35,CT26+CS27-DB26,IF(A27&lt;'Données projet'!$A$140,$CQ$205^A27,IF(A27='Données projet'!$A$140,'Données projet'!$B$140,CT26+CS27-DB26)))</f>
        <v>73.205128205128204</v>
      </c>
      <c r="CU27" s="18">
        <f>CT27*VLOOKUP('Données projet'!$B$13,Paramètres!$A$1:$I$89,3,0)*VLOOKUP('Données projet'!$B$13,Paramètres!$A$1:$I$89,5,0)</f>
        <v>49.106000000000002</v>
      </c>
      <c r="CV27" s="14">
        <f t="shared" si="41"/>
        <v>14.382638394225781</v>
      </c>
      <c r="CW27" s="22">
        <f t="shared" si="13"/>
        <v>110.57604520327656</v>
      </c>
      <c r="CX27" s="60">
        <f t="shared" si="14"/>
        <v>396.57604520327658</v>
      </c>
      <c r="CY27" s="60">
        <f ca="1">AVERAGE(OFFSET($CX$3,0,0,'Données projet'!$E$13+1,1))-AVERAGE(OFFSET($H$3,0,0,'Données projet'!$E$13+1,1))</f>
        <v>226.5873967387837</v>
      </c>
      <c r="CZ27" s="60">
        <f t="shared" si="42"/>
        <v>188.57459946241204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3.4358974358974361</v>
      </c>
      <c r="DO27" s="13">
        <f>IF('Données projet'!$A$166&gt;35,DO26+DN27-DW26,IF(A27&lt;'Données projet'!$A$166,$DL$205^A27,IF(A27='Données projet'!$A$166,'Données projet'!$B$166,DO26+DN27-DW26)))</f>
        <v>40.787694412748245</v>
      </c>
      <c r="DP27" s="18">
        <f>DO27*VLOOKUP('Données projet'!$B$14,Paramètres!$A$1:$I$89,3,0)*VLOOKUP('Données projet'!$B$14,Paramètres!$A$1:$I$89,5,0)</f>
        <v>19.08864098516618</v>
      </c>
      <c r="DQ27" s="14">
        <f t="shared" si="43"/>
        <v>6.2408660841484478</v>
      </c>
      <c r="DR27" s="22">
        <f t="shared" si="16"/>
        <v>44.115558145722979</v>
      </c>
      <c r="DS27" s="60">
        <f t="shared" si="17"/>
        <v>330.11555814572296</v>
      </c>
      <c r="DT27" s="60">
        <f ca="1">AVERAGE(OFFSET($DS$3,0,0,'Données projet'!$E$14+1,1))-AVERAGE(OFFSET($H$3,0,0,'Données projet'!$E$14+1,1))</f>
        <v>212.19771249416107</v>
      </c>
      <c r="DU27" s="60">
        <f t="shared" si="44"/>
        <v>125.93313963856127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6.8249999999999984</v>
      </c>
      <c r="D28" s="12">
        <f t="shared" si="32"/>
        <v>2.5151574163081292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72.099460757466247</v>
      </c>
      <c r="H28" s="68">
        <f t="shared" si="1"/>
        <v>272.93410750007001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75.347999999999999</v>
      </c>
      <c r="P28" s="14">
        <f t="shared" si="33"/>
        <v>20.99581051771704</v>
      </c>
      <c r="Q28" s="22">
        <f t="shared" si="2"/>
        <v>167.79880331835713</v>
      </c>
      <c r="R28" s="60">
        <f t="shared" si="0"/>
        <v>455.02102554057933</v>
      </c>
      <c r="S28" s="60">
        <f ca="1">AVERAGE(OFFSET($R$3,0,0,'Données projet'!$E$9+1,1))-AVERAGE(OFFSET($H$3,0,0,'Données projet'!$E$9+1,1))</f>
        <v>455.09463986470064</v>
      </c>
      <c r="T28" s="60">
        <f t="shared" si="34"/>
        <v>266.42568447709669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4.3264000000000005</v>
      </c>
      <c r="AI28" s="14">
        <f>IF('Données projet'!$A$62&gt;35,AI27+AH28-AQ27,IF(A28&lt;'Données projet'!$A$62,$AF$205^A28,IF(A28='Données projet'!$A$62,'Données projet'!$B$62,AI27+AH28-AQ27)))</f>
        <v>116.88960000000009</v>
      </c>
      <c r="AJ28" s="14">
        <f>AI28*VLOOKUP('Données projet'!$B$10,Paramètres!$A$1:$I$89,3,0)*VLOOKUP('Données projet'!$B$10,Paramètres!$A$1:$I$89,5,0)</f>
        <v>100.29127680000008</v>
      </c>
      <c r="AK28" s="14">
        <f t="shared" si="35"/>
        <v>27.031378478411398</v>
      </c>
      <c r="AL28" s="22">
        <f t="shared" si="4"/>
        <v>221.75362460989996</v>
      </c>
      <c r="AM28" s="60">
        <f t="shared" si="5"/>
        <v>508.97584683212222</v>
      </c>
      <c r="AN28" s="60">
        <f ca="1">AVERAGE(OFFSET($AM$3,0,0,'Données projet'!$E$10+1,1))-AVERAGE(OFFSET($H$3,0,0,'Données projet'!$E$10+1,1))</f>
        <v>201.39673092164992</v>
      </c>
      <c r="AO28" s="60">
        <f t="shared" si="36"/>
        <v>278.95637851890405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1.3039557036344289</v>
      </c>
      <c r="BD28" s="13">
        <f>IF('Données projet'!$A$88&gt;35,BD27+BC28-BL27,IF(A28&lt;'Données projet'!$A$88,$BA$205^A28,IF(A28='Données projet'!$A$88,'Données projet'!$B$88,BD27+BC28-BL27)))</f>
        <v>31.594936887226297</v>
      </c>
      <c r="BE28" s="14">
        <f>BD28*VLOOKUP('Données projet'!$B$11,Paramètres!$A$1:$I$89,3,0)*VLOOKUP('Données projet'!$B$11,Paramètres!$A$1:$I$89,5,0)</f>
        <v>31.544384988206737</v>
      </c>
      <c r="BF28" s="14">
        <f t="shared" si="37"/>
        <v>9.7274633024211301</v>
      </c>
      <c r="BG28" s="22">
        <f t="shared" si="7"/>
        <v>71.881802439510196</v>
      </c>
      <c r="BH28" s="60">
        <f t="shared" si="8"/>
        <v>359.10402466173241</v>
      </c>
      <c r="BI28" s="60">
        <f ca="1">AVERAGE(OFFSET($BH$3,0,0,'Données projet'!$E$11+1,1))-AVERAGE(OFFSET($H$3,0,0,'Données projet'!$E$11+1,1))</f>
        <v>123.29894837876157</v>
      </c>
      <c r="BJ28" s="60">
        <f t="shared" si="38"/>
        <v>103.52963511757127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70.98</v>
      </c>
      <c r="CA28" s="14">
        <f t="shared" si="39"/>
        <v>19.916628839746853</v>
      </c>
      <c r="CB28" s="22">
        <f t="shared" si="10"/>
        <v>158.31162856255909</v>
      </c>
      <c r="CC28" s="60">
        <f t="shared" si="11"/>
        <v>445.53385078478129</v>
      </c>
      <c r="CD28" s="60">
        <f ca="1">AVERAGE(OFFSET($CC$3,0,0,'Données projet'!$E$12+1,1))-AVERAGE(OFFSET($H$3,0,0,'Données projet'!$E$12+1,1))</f>
        <v>428.49602929661046</v>
      </c>
      <c r="CE28" s="60">
        <f t="shared" si="40"/>
        <v>252.32489414103878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80.128205128205124</v>
      </c>
      <c r="CR28" s="13">
        <f>VLOOKUP(A28,'Données projet'!$A$139:$I$159,9,0)</f>
        <v>6.9230769230769225</v>
      </c>
      <c r="CS28" s="13">
        <f t="array" ref="CS28">INDEX(CR:CR,MIN(IF(ISNUMBER(CR28:CR224),ROW(CR28:CR224),"")))</f>
        <v>6.9230769230769225</v>
      </c>
      <c r="CT28" s="13">
        <f>IF('Données projet'!$A$140&gt;35,CT27+CS28-DB27,IF(A28&lt;'Données projet'!$A$140,$CQ$205^A28,IF(A28='Données projet'!$A$140,'Données projet'!$B$140,CT27+CS28-DB27)))</f>
        <v>80.128205128205124</v>
      </c>
      <c r="CU28" s="18">
        <f>CT28*VLOOKUP('Données projet'!$B$13,Paramètres!$A$1:$I$89,3,0)*VLOOKUP('Données projet'!$B$13,Paramètres!$A$1:$I$89,5,0)</f>
        <v>53.75</v>
      </c>
      <c r="CV28" s="14">
        <f t="shared" si="41"/>
        <v>15.578099725539307</v>
      </c>
      <c r="CW28" s="22">
        <f t="shared" si="13"/>
        <v>120.74644035531428</v>
      </c>
      <c r="CX28" s="60">
        <f t="shared" si="14"/>
        <v>407.96866257753652</v>
      </c>
      <c r="CY28" s="60">
        <f ca="1">AVERAGE(OFFSET($CX$3,0,0,'Données projet'!$E$13+1,1))-AVERAGE(OFFSET($H$3,0,0,'Données projet'!$E$13+1,1))</f>
        <v>226.5873967387837</v>
      </c>
      <c r="CZ28" s="60">
        <f t="shared" si="42"/>
        <v>188.57459946241204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3.4358974358974361</v>
      </c>
      <c r="DO28" s="13">
        <f>IF('Données projet'!$A$166&gt;35,DO27+DN28-DW27,IF(A28&lt;'Données projet'!$A$166,$DL$205^A28,IF(A28='Données projet'!$A$166,'Données projet'!$B$166,DO27+DN28-DW27)))</f>
        <v>47.603023568635017</v>
      </c>
      <c r="DP28" s="18">
        <f>DO28*VLOOKUP('Données projet'!$B$14,Paramètres!$A$1:$I$89,3,0)*VLOOKUP('Données projet'!$B$14,Paramètres!$A$1:$I$89,5,0)</f>
        <v>22.278215030121189</v>
      </c>
      <c r="DQ28" s="14">
        <f t="shared" si="43"/>
        <v>7.1538392768580321</v>
      </c>
      <c r="DR28" s="22">
        <f t="shared" si="16"/>
        <v>51.260827917988813</v>
      </c>
      <c r="DS28" s="60">
        <f t="shared" si="17"/>
        <v>338.48305014021105</v>
      </c>
      <c r="DT28" s="60">
        <f ca="1">AVERAGE(OFFSET($DS$3,0,0,'Données projet'!$E$14+1,1))-AVERAGE(OFFSET($H$3,0,0,'Données projet'!$E$14+1,1))</f>
        <v>212.19771249416107</v>
      </c>
      <c r="DU28" s="60">
        <f t="shared" si="44"/>
        <v>125.93313963856127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7.0979999999999981</v>
      </c>
      <c r="D29" s="12">
        <f t="shared" si="32"/>
        <v>2.6038492076799806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74.891467568055987</v>
      </c>
      <c r="H29" s="68">
        <f t="shared" si="1"/>
        <v>273.56405403670931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82.882799999999989</v>
      </c>
      <c r="P29" s="14">
        <f t="shared" si="33"/>
        <v>22.840584911380041</v>
      </c>
      <c r="Q29" s="22">
        <f t="shared" si="2"/>
        <v>184.1348953873202</v>
      </c>
      <c r="R29" s="60">
        <f t="shared" si="0"/>
        <v>472.57933983176463</v>
      </c>
      <c r="S29" s="60">
        <f ca="1">AVERAGE(OFFSET($R$3,0,0,'Données projet'!$E$9+1,1))-AVERAGE(OFFSET($H$3,0,0,'Données projet'!$E$9+1,1))</f>
        <v>455.09463986470064</v>
      </c>
      <c r="T29" s="60">
        <f t="shared" si="34"/>
        <v>266.42568447709669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4.3264000000000005</v>
      </c>
      <c r="AI29" s="14">
        <f>IF('Données projet'!$A$62&gt;35,AI28+AH29-AQ28,IF(A29&lt;'Données projet'!$A$62,$AF$205^A29,IF(A29='Données projet'!$A$62,'Données projet'!$B$62,AI28+AH29-AQ28)))</f>
        <v>121.21600000000009</v>
      </c>
      <c r="AJ29" s="14">
        <f>AI29*VLOOKUP('Données projet'!$B$10,Paramètres!$A$1:$I$89,3,0)*VLOOKUP('Données projet'!$B$10,Paramètres!$A$1:$I$89,5,0)</f>
        <v>104.0033280000001</v>
      </c>
      <c r="AK29" s="14">
        <f t="shared" si="35"/>
        <v>27.913545511928927</v>
      </c>
      <c r="AL29" s="22">
        <f t="shared" si="4"/>
        <v>229.7552213666097</v>
      </c>
      <c r="AM29" s="60">
        <f t="shared" si="5"/>
        <v>518.19966581105416</v>
      </c>
      <c r="AN29" s="60">
        <f ca="1">AVERAGE(OFFSET($AM$3,0,0,'Données projet'!$E$10+1,1))-AVERAGE(OFFSET($H$3,0,0,'Données projet'!$E$10+1,1))</f>
        <v>201.39673092164992</v>
      </c>
      <c r="AO29" s="60">
        <f t="shared" si="36"/>
        <v>278.95637851890405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1.3039557036344289</v>
      </c>
      <c r="BD29" s="13">
        <f>IF('Données projet'!$A$88&gt;35,BD28+BC29-BL28,IF(A29&lt;'Données projet'!$A$88,$BA$205^A29,IF(A29='Données projet'!$A$88,'Données projet'!$B$88,BD28+BC29-BL28)))</f>
        <v>32.898892590860726</v>
      </c>
      <c r="BE29" s="14">
        <f>BD29*VLOOKUP('Données projet'!$B$11,Paramètres!$A$1:$I$89,3,0)*VLOOKUP('Données projet'!$B$11,Paramètres!$A$1:$I$89,5,0)</f>
        <v>32.846254362715349</v>
      </c>
      <c r="BF29" s="14">
        <f t="shared" si="37"/>
        <v>10.081356286710104</v>
      </c>
      <c r="BG29" s="22">
        <f t="shared" si="7"/>
        <v>74.765588547749317</v>
      </c>
      <c r="BH29" s="60">
        <f t="shared" si="8"/>
        <v>363.21003299219376</v>
      </c>
      <c r="BI29" s="60">
        <f ca="1">AVERAGE(OFFSET($BH$3,0,0,'Données projet'!$E$11+1,1))-AVERAGE(OFFSET($H$3,0,0,'Données projet'!$E$11+1,1))</f>
        <v>123.29894837876157</v>
      </c>
      <c r="BJ29" s="60">
        <f t="shared" si="38"/>
        <v>103.52963511757127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78.078000000000003</v>
      </c>
      <c r="CA29" s="14">
        <f t="shared" si="39"/>
        <v>21.666582091642084</v>
      </c>
      <c r="CB29" s="22">
        <f t="shared" si="10"/>
        <v>173.72181380960993</v>
      </c>
      <c r="CC29" s="60">
        <f t="shared" si="11"/>
        <v>462.16625825405436</v>
      </c>
      <c r="CD29" s="60">
        <f ca="1">AVERAGE(OFFSET($CC$3,0,0,'Données projet'!$E$12+1,1))-AVERAGE(OFFSET($H$3,0,0,'Données projet'!$E$12+1,1))</f>
        <v>428.49602929661046</v>
      </c>
      <c r="CE29" s="60">
        <f t="shared" si="40"/>
        <v>252.32489414103878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6.9230769230769225</v>
      </c>
      <c r="CT29" s="13">
        <f>IF('Données projet'!$A$140&gt;35,CT28+CS29-DB28,IF(A29&lt;'Données projet'!$A$140,$CQ$205^A29,IF(A29='Données projet'!$A$140,'Données projet'!$B$140,CT28+CS29-DB28)))</f>
        <v>87.051282051282044</v>
      </c>
      <c r="CU29" s="18">
        <f>CT29*VLOOKUP('Données projet'!$B$13,Paramètres!$A$1:$I$89,3,0)*VLOOKUP('Données projet'!$B$13,Paramètres!$A$1:$I$89,5,0)</f>
        <v>58.393999999999991</v>
      </c>
      <c r="CV29" s="14">
        <f t="shared" si="41"/>
        <v>16.761582884414576</v>
      </c>
      <c r="CW29" s="22">
        <f t="shared" si="13"/>
        <v>130.8959735236887</v>
      </c>
      <c r="CX29" s="60">
        <f t="shared" si="14"/>
        <v>419.34041796813312</v>
      </c>
      <c r="CY29" s="60">
        <f ca="1">AVERAGE(OFFSET($CX$3,0,0,'Données projet'!$E$13+1,1))-AVERAGE(OFFSET($H$3,0,0,'Données projet'!$E$13+1,1))</f>
        <v>226.5873967387837</v>
      </c>
      <c r="CZ29" s="60">
        <f t="shared" si="42"/>
        <v>188.57459946241204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3.4358974358974361</v>
      </c>
      <c r="DO29" s="13">
        <f>IF('Données projet'!$A$166&gt;35,DO28+DN29-DW28,IF(A29&lt;'Données projet'!$A$166,$DL$205^A29,IF(A29='Données projet'!$A$166,'Données projet'!$B$166,DO28+DN29-DW28)))</f>
        <v>55.557145004199242</v>
      </c>
      <c r="DP29" s="18">
        <f>DO29*VLOOKUP('Données projet'!$B$14,Paramètres!$A$1:$I$89,3,0)*VLOOKUP('Données projet'!$B$14,Paramètres!$A$1:$I$89,5,0)</f>
        <v>26.000743861965244</v>
      </c>
      <c r="DQ29" s="14">
        <f t="shared" si="43"/>
        <v>8.2003708634455794</v>
      </c>
      <c r="DR29" s="22">
        <f t="shared" si="16"/>
        <v>59.56694148009052</v>
      </c>
      <c r="DS29" s="60">
        <f t="shared" si="17"/>
        <v>348.01138592453498</v>
      </c>
      <c r="DT29" s="60">
        <f ca="1">AVERAGE(OFFSET($DS$3,0,0,'Données projet'!$E$14+1,1))-AVERAGE(OFFSET($H$3,0,0,'Données projet'!$E$14+1,1))</f>
        <v>212.19771249416107</v>
      </c>
      <c r="DU29" s="60">
        <f t="shared" si="44"/>
        <v>125.93313963856127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7.3709999999999978</v>
      </c>
      <c r="D30" s="12">
        <f t="shared" si="32"/>
        <v>2.6921447170223822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77.680415359471013</v>
      </c>
      <c r="H30" s="68">
        <f t="shared" si="1"/>
        <v>274.19331038214733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90.417599999999993</v>
      </c>
      <c r="P30" s="14">
        <f t="shared" si="33"/>
        <v>24.665912907068826</v>
      </c>
      <c r="Q30" s="22">
        <f t="shared" si="2"/>
        <v>200.43711831314488</v>
      </c>
      <c r="R30" s="60">
        <f t="shared" si="0"/>
        <v>490.10378497981156</v>
      </c>
      <c r="S30" s="60">
        <f ca="1">AVERAGE(OFFSET($R$3,0,0,'Données projet'!$E$9+1,1))-AVERAGE(OFFSET($H$3,0,0,'Données projet'!$E$9+1,1))</f>
        <v>455.09463986470064</v>
      </c>
      <c r="T30" s="60">
        <f t="shared" si="34"/>
        <v>266.42568447709669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4.3264000000000005</v>
      </c>
      <c r="AI30" s="14">
        <f>IF('Données projet'!$A$62&gt;35,AI29+AH30-AQ29,IF(A30&lt;'Données projet'!$A$62,$AF$205^A30,IF(A30='Données projet'!$A$62,'Données projet'!$B$62,AI29+AH30-AQ29)))</f>
        <v>125.5424000000001</v>
      </c>
      <c r="AJ30" s="14">
        <f>AI30*VLOOKUP('Données projet'!$B$10,Paramètres!$A$1:$I$89,3,0)*VLOOKUP('Données projet'!$B$10,Paramètres!$A$1:$I$89,5,0)</f>
        <v>107.7153792000001</v>
      </c>
      <c r="AK30" s="14">
        <f t="shared" si="35"/>
        <v>28.792054356691072</v>
      </c>
      <c r="AL30" s="22">
        <f t="shared" si="4"/>
        <v>237.75044677790379</v>
      </c>
      <c r="AM30" s="60">
        <f t="shared" si="5"/>
        <v>527.41711344457053</v>
      </c>
      <c r="AN30" s="60">
        <f ca="1">AVERAGE(OFFSET($AM$3,0,0,'Données projet'!$E$10+1,1))-AVERAGE(OFFSET($H$3,0,0,'Données projet'!$E$10+1,1))</f>
        <v>201.39673092164992</v>
      </c>
      <c r="AO30" s="60">
        <f t="shared" si="36"/>
        <v>278.95637851890405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1.3039557036344289</v>
      </c>
      <c r="BD30" s="13">
        <f>IF('Données projet'!$A$88&gt;35,BD29+BC30-BL29,IF(A30&lt;'Données projet'!$A$88,$BA$205^A30,IF(A30='Données projet'!$A$88,'Données projet'!$B$88,BD29+BC30-BL29)))</f>
        <v>34.202848294495155</v>
      </c>
      <c r="BE30" s="14">
        <f>BD30*VLOOKUP('Données projet'!$B$11,Paramètres!$A$1:$I$89,3,0)*VLOOKUP('Données projet'!$B$11,Paramètres!$A$1:$I$89,5,0)</f>
        <v>34.148123737223962</v>
      </c>
      <c r="BF30" s="14">
        <f t="shared" si="37"/>
        <v>10.433619880529845</v>
      </c>
      <c r="BG30" s="22">
        <f t="shared" si="7"/>
        <v>77.646536800921197</v>
      </c>
      <c r="BH30" s="60">
        <f t="shared" si="8"/>
        <v>367.31320346758787</v>
      </c>
      <c r="BI30" s="60">
        <f ca="1">AVERAGE(OFFSET($BH$3,0,0,'Données projet'!$E$11+1,1))-AVERAGE(OFFSET($H$3,0,0,'Données projet'!$E$11+1,1))</f>
        <v>123.29894837876157</v>
      </c>
      <c r="BJ30" s="60">
        <f t="shared" si="38"/>
        <v>103.52963511757127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85.176000000000002</v>
      </c>
      <c r="CA30" s="14">
        <f t="shared" si="39"/>
        <v>23.398088487656441</v>
      </c>
      <c r="CB30" s="22">
        <f t="shared" si="10"/>
        <v>189.09987078266829</v>
      </c>
      <c r="CC30" s="60">
        <f t="shared" si="11"/>
        <v>478.76653744933498</v>
      </c>
      <c r="CD30" s="60">
        <f ca="1">AVERAGE(OFFSET($CC$3,0,0,'Données projet'!$E$12+1,1))-AVERAGE(OFFSET($H$3,0,0,'Données projet'!$E$12+1,1))</f>
        <v>428.49602929661046</v>
      </c>
      <c r="CE30" s="60">
        <f t="shared" si="40"/>
        <v>252.32489414103878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6.9230769230769225</v>
      </c>
      <c r="CT30" s="13">
        <f>IF('Données projet'!$A$140&gt;35,CT29+CS30-DB29,IF(A30&lt;'Données projet'!$A$140,$CQ$205^A30,IF(A30='Données projet'!$A$140,'Données projet'!$B$140,CT29+CS30-DB29)))</f>
        <v>93.974358974358964</v>
      </c>
      <c r="CU30" s="18">
        <f>CT30*VLOOKUP('Données projet'!$B$13,Paramètres!$A$1:$I$89,3,0)*VLOOKUP('Données projet'!$B$13,Paramètres!$A$1:$I$89,5,0)</f>
        <v>63.037999999999997</v>
      </c>
      <c r="CV30" s="14">
        <f t="shared" si="41"/>
        <v>17.93414878320046</v>
      </c>
      <c r="CW30" s="22">
        <f t="shared" si="13"/>
        <v>141.02649246407412</v>
      </c>
      <c r="CX30" s="60">
        <f t="shared" si="14"/>
        <v>430.69315913074081</v>
      </c>
      <c r="CY30" s="60">
        <f ca="1">AVERAGE(OFFSET($CX$3,0,0,'Données projet'!$E$13+1,1))-AVERAGE(OFFSET($H$3,0,0,'Données projet'!$E$13+1,1))</f>
        <v>226.5873967387837</v>
      </c>
      <c r="CZ30" s="60">
        <f t="shared" si="42"/>
        <v>188.57459946241204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3.4358974358974361</v>
      </c>
      <c r="DO30" s="13">
        <f>IF('Données projet'!$A$166&gt;35,DO29+DN30-DW29,IF(A30&lt;'Données projet'!$A$166,$DL$205^A30,IF(A30='Données projet'!$A$166,'Données projet'!$B$166,DO29+DN30-DW29)))</f>
        <v>64.840342684688977</v>
      </c>
      <c r="DP30" s="18">
        <f>DO30*VLOOKUP('Données projet'!$B$14,Paramètres!$A$1:$I$89,3,0)*VLOOKUP('Données projet'!$B$14,Paramètres!$A$1:$I$89,5,0)</f>
        <v>30.345280376434442</v>
      </c>
      <c r="DQ30" s="14">
        <f t="shared" si="43"/>
        <v>9.3999990348653313</v>
      </c>
      <c r="DR30" s="22">
        <f t="shared" si="16"/>
        <v>69.223028308013781</v>
      </c>
      <c r="DS30" s="60">
        <f t="shared" si="17"/>
        <v>358.88969497468048</v>
      </c>
      <c r="DT30" s="60">
        <f ca="1">AVERAGE(OFFSET($DS$3,0,0,'Données projet'!$E$14+1,1))-AVERAGE(OFFSET($H$3,0,0,'Données projet'!$E$14+1,1))</f>
        <v>212.19771249416107</v>
      </c>
      <c r="DU30" s="60">
        <f t="shared" si="44"/>
        <v>125.93313963856127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7.6439999999999975</v>
      </c>
      <c r="D31" s="12">
        <f t="shared" si="32"/>
        <v>2.7800603022041299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80.466430402979242</v>
      </c>
      <c r="H31" s="68">
        <f t="shared" si="1"/>
        <v>274.82190502633887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97.952399999999997</v>
      </c>
      <c r="P31" s="14">
        <f t="shared" si="33"/>
        <v>26.473599278177087</v>
      </c>
      <c r="Q31" s="22">
        <f t="shared" si="2"/>
        <v>216.70861540949173</v>
      </c>
      <c r="R31" s="60">
        <f t="shared" si="0"/>
        <v>507.59750429838061</v>
      </c>
      <c r="S31" s="60">
        <f ca="1">AVERAGE(OFFSET($R$3,0,0,'Données projet'!$E$9+1,1))-AVERAGE(OFFSET($H$3,0,0,'Données projet'!$E$9+1,1))</f>
        <v>455.09463986470064</v>
      </c>
      <c r="T31" s="60">
        <f t="shared" si="34"/>
        <v>266.42568447709669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4.3264000000000005</v>
      </c>
      <c r="AI31" s="14">
        <f>IF('Données projet'!$A$62&gt;35,AI30+AH31-AQ30,IF(A31&lt;'Données projet'!$A$62,$AF$205^A31,IF(A31='Données projet'!$A$62,'Données projet'!$B$62,AI30+AH31-AQ30)))</f>
        <v>129.86880000000011</v>
      </c>
      <c r="AJ31" s="14">
        <f>AI31*VLOOKUP('Données projet'!$B$10,Paramètres!$A$1:$I$89,3,0)*VLOOKUP('Données projet'!$B$10,Paramètres!$A$1:$I$89,5,0)</f>
        <v>111.42743040000009</v>
      </c>
      <c r="AK31" s="14">
        <f t="shared" si="35"/>
        <v>29.667045528819806</v>
      </c>
      <c r="AL31" s="22">
        <f t="shared" si="4"/>
        <v>245.73954557602795</v>
      </c>
      <c r="AM31" s="60">
        <f t="shared" si="5"/>
        <v>536.62843446491684</v>
      </c>
      <c r="AN31" s="60">
        <f ca="1">AVERAGE(OFFSET($AM$3,0,0,'Données projet'!$E$10+1,1))-AVERAGE(OFFSET($H$3,0,0,'Données projet'!$E$10+1,1))</f>
        <v>201.39673092164992</v>
      </c>
      <c r="AO31" s="60">
        <f t="shared" si="36"/>
        <v>278.95637851890405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1.3039557036344289</v>
      </c>
      <c r="BD31" s="13">
        <f>IF('Données projet'!$A$88&gt;35,BD30+BC31-BL30,IF(A31&lt;'Données projet'!$A$88,$BA$205^A31,IF(A31='Données projet'!$A$88,'Données projet'!$B$88,BD30+BC31-BL30)))</f>
        <v>35.506803998129584</v>
      </c>
      <c r="BE31" s="14">
        <f>BD31*VLOOKUP('Données projet'!$B$11,Paramètres!$A$1:$I$89,3,0)*VLOOKUP('Données projet'!$B$11,Paramètres!$A$1:$I$89,5,0)</f>
        <v>35.449993111732574</v>
      </c>
      <c r="BF31" s="14">
        <f t="shared" si="37"/>
        <v>10.784323314232292</v>
      </c>
      <c r="BG31" s="22">
        <f t="shared" si="7"/>
        <v>80.524767775222145</v>
      </c>
      <c r="BH31" s="60">
        <f t="shared" si="8"/>
        <v>371.41365666411099</v>
      </c>
      <c r="BI31" s="60">
        <f ca="1">AVERAGE(OFFSET($BH$3,0,0,'Données projet'!$E$11+1,1))-AVERAGE(OFFSET($H$3,0,0,'Données projet'!$E$11+1,1))</f>
        <v>123.29894837876157</v>
      </c>
      <c r="BJ31" s="60">
        <f t="shared" si="38"/>
        <v>103.52963511757127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92.274000000000001</v>
      </c>
      <c r="CA31" s="14">
        <f t="shared" si="39"/>
        <v>25.112860036087575</v>
      </c>
      <c r="CB31" s="22">
        <f t="shared" si="10"/>
        <v>204.4487812295192</v>
      </c>
      <c r="CC31" s="60">
        <f t="shared" si="11"/>
        <v>495.33767011840803</v>
      </c>
      <c r="CD31" s="60">
        <f ca="1">AVERAGE(OFFSET($CC$3,0,0,'Données projet'!$E$12+1,1))-AVERAGE(OFFSET($H$3,0,0,'Données projet'!$E$12+1,1))</f>
        <v>428.49602929661046</v>
      </c>
      <c r="CE31" s="60">
        <f t="shared" si="40"/>
        <v>252.32489414103878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6.9230769230769225</v>
      </c>
      <c r="CT31" s="13">
        <f>IF('Données projet'!$A$140&gt;35,CT30+CS31-DB30,IF(A31&lt;'Données projet'!$A$140,$CQ$205^A31,IF(A31='Données projet'!$A$140,'Données projet'!$B$140,CT30+CS31-DB30)))</f>
        <v>100.89743589743588</v>
      </c>
      <c r="CU31" s="18">
        <f>CT31*VLOOKUP('Données projet'!$B$13,Paramètres!$A$1:$I$89,3,0)*VLOOKUP('Données projet'!$B$13,Paramètres!$A$1:$I$89,5,0)</f>
        <v>67.681999999999988</v>
      </c>
      <c r="CV31" s="14">
        <f t="shared" si="41"/>
        <v>19.096693153956942</v>
      </c>
      <c r="CW31" s="22">
        <f t="shared" si="13"/>
        <v>151.13955724314167</v>
      </c>
      <c r="CX31" s="60">
        <f t="shared" si="14"/>
        <v>442.02844613203052</v>
      </c>
      <c r="CY31" s="60">
        <f ca="1">AVERAGE(OFFSET($CX$3,0,0,'Données projet'!$E$13+1,1))-AVERAGE(OFFSET($H$3,0,0,'Données projet'!$E$13+1,1))</f>
        <v>226.5873967387837</v>
      </c>
      <c r="CZ31" s="60">
        <f t="shared" si="42"/>
        <v>188.57459946241204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3.4358974358974361</v>
      </c>
      <c r="DO31" s="13">
        <f>IF('Données projet'!$A$166&gt;35,DO30+DN31-DW30,IF(A31&lt;'Données projet'!$A$166,$DL$205^A31,IF(A31='Données projet'!$A$166,'Données projet'!$B$166,DO30+DN31-DW30)))</f>
        <v>75.674695651659619</v>
      </c>
      <c r="DP31" s="18">
        <f>DO31*VLOOKUP('Données projet'!$B$14,Paramètres!$A$1:$I$89,3,0)*VLOOKUP('Données projet'!$B$14,Paramètres!$A$1:$I$89,5,0)</f>
        <v>35.415757564976701</v>
      </c>
      <c r="DQ31" s="14">
        <f t="shared" si="43"/>
        <v>10.775120214299996</v>
      </c>
      <c r="DR31" s="22">
        <f t="shared" si="16"/>
        <v>80.449112132240245</v>
      </c>
      <c r="DS31" s="60">
        <f t="shared" si="17"/>
        <v>371.33800102112912</v>
      </c>
      <c r="DT31" s="60">
        <f ca="1">AVERAGE(OFFSET($DS$3,0,0,'Données projet'!$E$14+1,1))-AVERAGE(OFFSET($H$3,0,0,'Données projet'!$E$14+1,1))</f>
        <v>212.19771249416107</v>
      </c>
      <c r="DU31" s="60">
        <f t="shared" si="44"/>
        <v>125.93313963856127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7.9169999999999972</v>
      </c>
      <c r="D32" s="12">
        <f t="shared" si="32"/>
        <v>2.8676110864391293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83.24962943917923</v>
      </c>
      <c r="H32" s="68">
        <f t="shared" si="1"/>
        <v>275.4498643088815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105.48719999999999</v>
      </c>
      <c r="P32" s="14">
        <f t="shared" si="33"/>
        <v>28.265155367923839</v>
      </c>
      <c r="Q32" s="22">
        <f t="shared" si="2"/>
        <v>232.95201893246733</v>
      </c>
      <c r="R32" s="60">
        <f t="shared" si="0"/>
        <v>525.06313004357844</v>
      </c>
      <c r="S32" s="60">
        <f ca="1">AVERAGE(OFFSET($R$3,0,0,'Données projet'!$E$9+1,1))-AVERAGE(OFFSET($H$3,0,0,'Données projet'!$E$9+1,1))</f>
        <v>455.09463986470064</v>
      </c>
      <c r="T32" s="60">
        <f t="shared" si="34"/>
        <v>266.42568447709669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4.3264000000000005</v>
      </c>
      <c r="AI32" s="14">
        <f>IF('Données projet'!$A$62&gt;35,AI31+AH32-AQ31,IF(A32&lt;'Données projet'!$A$62,$AF$205^A32,IF(A32='Données projet'!$A$62,'Données projet'!$B$62,AI31+AH32-AQ31)))</f>
        <v>134.19520000000011</v>
      </c>
      <c r="AJ32" s="14">
        <f>AI32*VLOOKUP('Données projet'!$B$10,Paramètres!$A$1:$I$89,3,0)*VLOOKUP('Données projet'!$B$10,Paramètres!$A$1:$I$89,5,0)</f>
        <v>115.13948160000012</v>
      </c>
      <c r="AK32" s="14">
        <f t="shared" si="35"/>
        <v>30.538649650974321</v>
      </c>
      <c r="AL32" s="22">
        <f t="shared" si="4"/>
        <v>253.72274526211379</v>
      </c>
      <c r="AM32" s="60">
        <f t="shared" si="5"/>
        <v>545.83385637322499</v>
      </c>
      <c r="AN32" s="60">
        <f ca="1">AVERAGE(OFFSET($AM$3,0,0,'Données projet'!$E$10+1,1))-AVERAGE(OFFSET($H$3,0,0,'Données projet'!$E$10+1,1))</f>
        <v>201.39673092164992</v>
      </c>
      <c r="AO32" s="60">
        <f t="shared" si="36"/>
        <v>278.95637851890405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1.3039557036344289</v>
      </c>
      <c r="BD32" s="13">
        <f>IF('Données projet'!$A$88&gt;35,BD31+BC32-BL31,IF(A32&lt;'Données projet'!$A$88,$BA$205^A32,IF(A32='Données projet'!$A$88,'Données projet'!$B$88,BD31+BC32-BL31)))</f>
        <v>36.810759701764013</v>
      </c>
      <c r="BE32" s="14">
        <f>BD32*VLOOKUP('Données projet'!$B$11,Paramètres!$A$1:$I$89,3,0)*VLOOKUP('Données projet'!$B$11,Paramètres!$A$1:$I$89,5,0)</f>
        <v>36.751862486241194</v>
      </c>
      <c r="BF32" s="14">
        <f t="shared" si="37"/>
        <v>11.133530445184137</v>
      </c>
      <c r="BG32" s="22">
        <f t="shared" si="7"/>
        <v>83.400392688899117</v>
      </c>
      <c r="BH32" s="60">
        <f t="shared" si="8"/>
        <v>375.51150380001025</v>
      </c>
      <c r="BI32" s="60">
        <f ca="1">AVERAGE(OFFSET($BH$3,0,0,'Données projet'!$E$11+1,1))-AVERAGE(OFFSET($H$3,0,0,'Données projet'!$E$11+1,1))</f>
        <v>123.29894837876157</v>
      </c>
      <c r="BJ32" s="60">
        <f t="shared" si="38"/>
        <v>103.52963511757127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99.372000000000014</v>
      </c>
      <c r="CA32" s="14">
        <f t="shared" si="39"/>
        <v>26.812330397327713</v>
      </c>
      <c r="CB32" s="22">
        <f t="shared" si="10"/>
        <v>219.7710421086791</v>
      </c>
      <c r="CC32" s="60">
        <f t="shared" si="11"/>
        <v>511.88215321979021</v>
      </c>
      <c r="CD32" s="60">
        <f ca="1">AVERAGE(OFFSET($CC$3,0,0,'Données projet'!$E$12+1,1))-AVERAGE(OFFSET($H$3,0,0,'Données projet'!$E$12+1,1))</f>
        <v>428.49602929661046</v>
      </c>
      <c r="CE32" s="60">
        <f t="shared" si="40"/>
        <v>252.32489414103878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6.9230769230769225</v>
      </c>
      <c r="CT32" s="13">
        <f>IF('Données projet'!$A$140&gt;35,CT31+CS32-DB31,IF(A32&lt;'Données projet'!$A$140,$CQ$205^A32,IF(A32='Données projet'!$A$140,'Données projet'!$B$140,CT31+CS32-DB31)))</f>
        <v>107.8205128205128</v>
      </c>
      <c r="CU32" s="18">
        <f>CT32*VLOOKUP('Données projet'!$B$13,Paramètres!$A$1:$I$89,3,0)*VLOOKUP('Données projet'!$B$13,Paramètres!$A$1:$I$89,5,0)</f>
        <v>72.325999999999993</v>
      </c>
      <c r="CV32" s="14">
        <f t="shared" si="41"/>
        <v>20.249981849133913</v>
      </c>
      <c r="CW32" s="22">
        <f t="shared" si="13"/>
        <v>161.23650172057486</v>
      </c>
      <c r="CX32" s="60">
        <f t="shared" si="14"/>
        <v>453.34761283168598</v>
      </c>
      <c r="CY32" s="60">
        <f ca="1">AVERAGE(OFFSET($CX$3,0,0,'Données projet'!$E$13+1,1))-AVERAGE(OFFSET($H$3,0,0,'Données projet'!$E$13+1,1))</f>
        <v>226.5873967387837</v>
      </c>
      <c r="CZ32" s="60">
        <f t="shared" si="42"/>
        <v>188.57459946241204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3.4358974358974361</v>
      </c>
      <c r="DO32" s="13">
        <f>IF('Données projet'!$A$166&gt;35,DO31+DN32-DW31,IF(A32&lt;'Données projet'!$A$166,$DL$205^A32,IF(A32='Données projet'!$A$166,'Données projet'!$B$166,DO31+DN32-DW31)))</f>
        <v>88.319390750591623</v>
      </c>
      <c r="DP32" s="18">
        <f>DO32*VLOOKUP('Données projet'!$B$14,Paramètres!$A$1:$I$89,3,0)*VLOOKUP('Données projet'!$B$14,Paramètres!$A$1:$I$89,5,0)</f>
        <v>41.333474871276877</v>
      </c>
      <c r="DQ32" s="14">
        <f t="shared" si="43"/>
        <v>12.351407186530604</v>
      </c>
      <c r="DR32" s="22">
        <f t="shared" si="16"/>
        <v>93.501169584014704</v>
      </c>
      <c r="DS32" s="60">
        <f t="shared" si="17"/>
        <v>385.61228069512583</v>
      </c>
      <c r="DT32" s="60">
        <f ca="1">AVERAGE(OFFSET($DS$3,0,0,'Données projet'!$E$14+1,1))-AVERAGE(OFFSET($H$3,0,0,'Données projet'!$E$14+1,1))</f>
        <v>212.19771249416107</v>
      </c>
      <c r="DU32" s="60">
        <f t="shared" si="44"/>
        <v>125.93313963856127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8.1899999999999977</v>
      </c>
      <c r="D33" s="12">
        <f t="shared" si="32"/>
        <v>2.9548110908066181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86.030120700963366</v>
      </c>
      <c r="H33" s="68">
        <f t="shared" si="1"/>
        <v>276.07721264982155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113.02199999999999</v>
      </c>
      <c r="P33" s="14">
        <f t="shared" si="33"/>
        <v>30.041864379091852</v>
      </c>
      <c r="Q33" s="22">
        <f t="shared" si="2"/>
        <v>249.16956379358496</v>
      </c>
      <c r="R33" s="60">
        <f t="shared" si="0"/>
        <v>542.50289712691824</v>
      </c>
      <c r="S33" s="60">
        <f ca="1">AVERAGE(OFFSET($R$3,0,0,'Données projet'!$E$9+1,1))-AVERAGE(OFFSET($H$3,0,0,'Données projet'!$E$9+1,1))</f>
        <v>455.09463986470064</v>
      </c>
      <c r="T33" s="60">
        <f t="shared" si="34"/>
        <v>266.42568447709669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4.3264000000000005</v>
      </c>
      <c r="AI33" s="14">
        <f>IF('Données projet'!$A$62&gt;35,AI32+AH33-AQ32,IF(A33&lt;'Données projet'!$A$62,$AF$205^A33,IF(A33='Données projet'!$A$62,'Données projet'!$B$62,AI32+AH33-AQ32)))</f>
        <v>138.52160000000012</v>
      </c>
      <c r="AJ33" s="14">
        <f>AI33*VLOOKUP('Données projet'!$B$10,Paramètres!$A$1:$I$89,3,0)*VLOOKUP('Données projet'!$B$10,Paramètres!$A$1:$I$89,5,0)</f>
        <v>118.85153280000011</v>
      </c>
      <c r="AK33" s="14">
        <f t="shared" si="35"/>
        <v>31.406988445201229</v>
      </c>
      <c r="AL33" s="22">
        <f t="shared" si="4"/>
        <v>261.70025783539228</v>
      </c>
      <c r="AM33" s="60">
        <f t="shared" si="5"/>
        <v>555.03359116872559</v>
      </c>
      <c r="AN33" s="60">
        <f ca="1">AVERAGE(OFFSET($AM$3,0,0,'Données projet'!$E$10+1,1))-AVERAGE(OFFSET($H$3,0,0,'Données projet'!$E$10+1,1))</f>
        <v>201.39673092164992</v>
      </c>
      <c r="AO33" s="60">
        <f t="shared" si="36"/>
        <v>278.95637851890405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38.114715405398435</v>
      </c>
      <c r="BB33" s="13">
        <f>VLOOKUP(A33,'Données projet'!$A$87:$I$107,9,0)</f>
        <v>1.3039557036344289</v>
      </c>
      <c r="BC33" s="13">
        <f t="array" ref="BC33">INDEX(BB:BB,MIN(IF(ISNUMBER(BB33:BB229),ROW(BB33:BB229),"")))</f>
        <v>1.3039557036344289</v>
      </c>
      <c r="BD33" s="13">
        <f>IF('Données projet'!$A$88&gt;35,BD32+BC33-BL32,IF(A33&lt;'Données projet'!$A$88,$BA$205^A33,IF(A33='Données projet'!$A$88,'Données projet'!$B$88,BD32+BC33-BL32)))</f>
        <v>38.114715405398442</v>
      </c>
      <c r="BE33" s="14">
        <f>BD33*VLOOKUP('Données projet'!$B$11,Paramètres!$A$1:$I$89,3,0)*VLOOKUP('Données projet'!$B$11,Paramètres!$A$1:$I$89,5,0)</f>
        <v>38.053731860749807</v>
      </c>
      <c r="BF33" s="14">
        <f t="shared" si="37"/>
        <v>11.481300350193434</v>
      </c>
      <c r="BG33" s="22">
        <f t="shared" si="7"/>
        <v>86.273514434059493</v>
      </c>
      <c r="BH33" s="60">
        <f t="shared" si="8"/>
        <v>379.60684776739282</v>
      </c>
      <c r="BI33" s="60">
        <f ca="1">AVERAGE(OFFSET($BH$3,0,0,'Données projet'!$E$11+1,1))-AVERAGE(OFFSET($H$3,0,0,'Données projet'!$E$11+1,1))</f>
        <v>123.29894837876157</v>
      </c>
      <c r="BJ33" s="60">
        <f t="shared" si="38"/>
        <v>103.52963511757127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3.658322147753112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106.47</v>
      </c>
      <c r="CA33" s="14">
        <f t="shared" si="39"/>
        <v>28.49771681771891</v>
      </c>
      <c r="CB33" s="22">
        <f t="shared" si="10"/>
        <v>235.06877345752704</v>
      </c>
      <c r="CC33" s="60">
        <f t="shared" si="11"/>
        <v>528.40210679086033</v>
      </c>
      <c r="CD33" s="60">
        <f ca="1">AVERAGE(OFFSET($CC$3,0,0,'Données projet'!$E$12+1,1))-AVERAGE(OFFSET($H$3,0,0,'Données projet'!$E$12+1,1))</f>
        <v>428.49602929661046</v>
      </c>
      <c r="CE33" s="60">
        <f t="shared" si="40"/>
        <v>252.32489414103878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114.74358974358974</v>
      </c>
      <c r="CR33" s="13">
        <f>VLOOKUP(A33,'Données projet'!$A$139:$I$159,9,0)</f>
        <v>6.9230769230769225</v>
      </c>
      <c r="CS33" s="13">
        <f t="array" ref="CS33">INDEX(CR:CR,MIN(IF(ISNUMBER(CR33:CR229),ROW(CR33:CR229),"")))</f>
        <v>6.9230769230769225</v>
      </c>
      <c r="CT33" s="13">
        <f>IF('Données projet'!$A$140&gt;35,CT32+CS33-DB32,IF(A33&lt;'Données projet'!$A$140,$CQ$205^A33,IF(A33='Données projet'!$A$140,'Données projet'!$B$140,CT32+CS33-DB32)))</f>
        <v>114.74358974358972</v>
      </c>
      <c r="CU33" s="18">
        <f>CT33*VLOOKUP('Données projet'!$B$13,Paramètres!$A$1:$I$89,3,0)*VLOOKUP('Données projet'!$B$13,Paramètres!$A$1:$I$89,5,0)</f>
        <v>76.969999999999985</v>
      </c>
      <c r="CV33" s="14">
        <f t="shared" si="41"/>
        <v>21.394676810851863</v>
      </c>
      <c r="CW33" s="22">
        <f t="shared" si="13"/>
        <v>171.31847877890027</v>
      </c>
      <c r="CX33" s="60">
        <f t="shared" si="14"/>
        <v>464.65181211223359</v>
      </c>
      <c r="CY33" s="60">
        <f ca="1">AVERAGE(OFFSET($CX$3,0,0,'Données projet'!$E$13+1,1))-AVERAGE(OFFSET($H$3,0,0,'Données projet'!$E$13+1,1))</f>
        <v>226.5873967387837</v>
      </c>
      <c r="CZ33" s="60">
        <f t="shared" si="42"/>
        <v>188.57459946241204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26.282051282051281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103.07692307692308</v>
      </c>
      <c r="DM33" s="13">
        <f>VLOOKUP(A33,'Données projet'!$A$165:$I$185,9,0)</f>
        <v>3.4358974358974361</v>
      </c>
      <c r="DN33" s="13">
        <f t="array" ref="DN33">INDEX(DM:DM,MIN(IF(ISNUMBER(DM33:DM229),ROW(DM33:DM229),"")))</f>
        <v>3.4358974358974361</v>
      </c>
      <c r="DO33" s="13">
        <f>IF('Données projet'!$A$166&gt;35,DO32+DN33-DW32,IF(A33&lt;'Données projet'!$A$166,$DL$205^A33,IF(A33='Données projet'!$A$166,'Données projet'!$B$166,DO32+DN33-DW32)))</f>
        <v>103.07692307692308</v>
      </c>
      <c r="DP33" s="18">
        <f>DO33*VLOOKUP('Données projet'!$B$14,Paramètres!$A$1:$I$89,3,0)*VLOOKUP('Données projet'!$B$14,Paramètres!$A$1:$I$89,5,0)</f>
        <v>48.240000000000009</v>
      </c>
      <c r="DQ33" s="14">
        <f t="shared" si="43"/>
        <v>14.15828839524373</v>
      </c>
      <c r="DR33" s="22">
        <f t="shared" si="16"/>
        <v>108.6770189550495</v>
      </c>
      <c r="DS33" s="60">
        <f t="shared" si="17"/>
        <v>402.01035228838282</v>
      </c>
      <c r="DT33" s="60">
        <f ca="1">AVERAGE(OFFSET($DS$3,0,0,'Données projet'!$E$14+1,1))-AVERAGE(OFFSET($H$3,0,0,'Données projet'!$E$14+1,1))</f>
        <v>212.19771249416107</v>
      </c>
      <c r="DU33" s="60">
        <f t="shared" si="44"/>
        <v>125.93313963856127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8.4629999999999974</v>
      </c>
      <c r="D34" s="12">
        <f t="shared" si="32"/>
        <v>3.0416733486056478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88.808004796254124</v>
      </c>
      <c r="H34" s="68">
        <f t="shared" si="1"/>
        <v>276.70397274882151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90.417599999999993</v>
      </c>
      <c r="P34" s="14">
        <f t="shared" si="33"/>
        <v>24.665912907068826</v>
      </c>
      <c r="Q34" s="22">
        <f t="shared" si="2"/>
        <v>200.43711831314488</v>
      </c>
      <c r="R34" s="60">
        <f t="shared" si="0"/>
        <v>493.77045164647819</v>
      </c>
      <c r="S34" s="60">
        <f ca="1">AVERAGE(OFFSET($R$3,0,0,'Données projet'!$E$9+1,1))-AVERAGE(OFFSET($H$3,0,0,'Données projet'!$E$9+1,1))</f>
        <v>455.09463986470064</v>
      </c>
      <c r="T34" s="60">
        <f t="shared" si="34"/>
        <v>266.42568447709669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>
        <f>VLOOKUP(A34,'Données projet'!$A$61:$I$81,2,0)</f>
        <v>142.84800000000001</v>
      </c>
      <c r="AG34" s="13">
        <f>VLOOKUP(A34,'Données projet'!$A$61:$I$81,9,0)</f>
        <v>4.3264000000000005</v>
      </c>
      <c r="AH34" s="13">
        <f t="array" ref="AH34">INDEX(AG:AG,MIN(IF(ISNUMBER(AG34:AG230),ROW(AG34:AG230),"")))</f>
        <v>4.3264000000000005</v>
      </c>
      <c r="AI34" s="14">
        <f>IF('Données projet'!$A$62&gt;35,AI33+AH34-AQ33,IF(A34&lt;'Données projet'!$A$62,$AF$205^A34,IF(A34='Données projet'!$A$62,'Données projet'!$B$62,AI33+AH34-AQ33)))</f>
        <v>142.84800000000013</v>
      </c>
      <c r="AJ34" s="14">
        <f>AI34*VLOOKUP('Données projet'!$B$10,Paramètres!$A$1:$I$89,3,0)*VLOOKUP('Données projet'!$B$10,Paramètres!$A$1:$I$89,5,0)</f>
        <v>122.56358400000012</v>
      </c>
      <c r="AK34" s="14">
        <f t="shared" si="35"/>
        <v>32.272175598262685</v>
      </c>
      <c r="AL34" s="22">
        <f t="shared" si="4"/>
        <v>269.6722813003077</v>
      </c>
      <c r="AM34" s="60">
        <f t="shared" si="5"/>
        <v>563.00561463364102</v>
      </c>
      <c r="AN34" s="60">
        <f ca="1">AVERAGE(OFFSET($AM$3,0,0,'Données projet'!$E$10+1,1))-AVERAGE(OFFSET($H$3,0,0,'Données projet'!$E$10+1,1))</f>
        <v>201.39673092164992</v>
      </c>
      <c r="AO34" s="60">
        <f t="shared" si="36"/>
        <v>278.95637851890405</v>
      </c>
      <c r="AP34" s="16">
        <f>IF(ISNA(VLOOKUP(A34,'Données projet'!$A$61:$I$81,3,0)),0,VLOOKUP(A34,'Données projet'!$A$61:$I$81,3,0))</f>
        <v>2</v>
      </c>
      <c r="AQ34" s="16">
        <f>IF(ISNA(VLOOKUP(A34,'Données projet'!$A$61:$I$81,4,0)),0,VLOOKUP(A34,'Données projet'!$A$61:$I$81,4,0))</f>
        <v>35.712000000000018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1.6557630867732014</v>
      </c>
      <c r="BD34" s="13">
        <f>IF('Données projet'!$A$88&gt;35,BD33+BC34-BL33,IF(A34&lt;'Données projet'!$A$88,$BA$205^A34,IF(A34='Données projet'!$A$88,'Données projet'!$B$88,BD33+BC34-BL33)))</f>
        <v>36.11215634441853</v>
      </c>
      <c r="BE34" s="14">
        <f>BD34*VLOOKUP('Données projet'!$B$11,Paramètres!$A$1:$I$89,3,0)*VLOOKUP('Données projet'!$B$11,Paramètres!$A$1:$I$89,5,0)</f>
        <v>36.054376894267456</v>
      </c>
      <c r="BF34" s="14">
        <f t="shared" si="37"/>
        <v>10.946622680897972</v>
      </c>
      <c r="BG34" s="22">
        <f t="shared" si="7"/>
        <v>81.860074260079799</v>
      </c>
      <c r="BH34" s="60">
        <f t="shared" si="8"/>
        <v>375.1934075934131</v>
      </c>
      <c r="BI34" s="60">
        <f ca="1">AVERAGE(OFFSET($BH$3,0,0,'Données projet'!$E$11+1,1))-AVERAGE(OFFSET($H$3,0,0,'Données projet'!$E$11+1,1))</f>
        <v>123.29894837876157</v>
      </c>
      <c r="BJ34" s="60">
        <f t="shared" si="38"/>
        <v>103.52963511757127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85.176000000000002</v>
      </c>
      <c r="CA34" s="14">
        <f t="shared" si="39"/>
        <v>23.398088487656441</v>
      </c>
      <c r="CB34" s="22">
        <f t="shared" si="10"/>
        <v>189.09987078266829</v>
      </c>
      <c r="CC34" s="60">
        <f t="shared" si="11"/>
        <v>482.4332041160016</v>
      </c>
      <c r="CD34" s="60">
        <f ca="1">AVERAGE(OFFSET($CC$3,0,0,'Données projet'!$E$12+1,1))-AVERAGE(OFFSET($H$3,0,0,'Données projet'!$E$12+1,1))</f>
        <v>428.49602929661046</v>
      </c>
      <c r="CE34" s="60">
        <f t="shared" si="40"/>
        <v>252.32489414103878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6.5384615384615383</v>
      </c>
      <c r="CT34" s="13">
        <f>IF('Données projet'!$A$140&gt;35,CT33+CS34-DB33,IF(A34&lt;'Données projet'!$A$140,$CQ$205^A34,IF(A34='Données projet'!$A$140,'Données projet'!$B$140,CT33+CS34-DB33)))</f>
        <v>94.999999999999972</v>
      </c>
      <c r="CU34" s="18">
        <f>CT34*VLOOKUP('Données projet'!$B$13,Paramètres!$A$1:$I$89,3,0)*VLOOKUP('Données projet'!$B$13,Paramètres!$A$1:$I$89,5,0)</f>
        <v>63.725999999999985</v>
      </c>
      <c r="CV34" s="14">
        <f t="shared" si="41"/>
        <v>18.106990134115833</v>
      </c>
      <c r="CW34" s="22">
        <f t="shared" si="13"/>
        <v>142.52579115025171</v>
      </c>
      <c r="CX34" s="60">
        <f t="shared" si="14"/>
        <v>435.85912448358499</v>
      </c>
      <c r="CY34" s="60">
        <f ca="1">AVERAGE(OFFSET($CX$3,0,0,'Données projet'!$E$13+1,1))-AVERAGE(OFFSET($H$3,0,0,'Données projet'!$E$13+1,1))</f>
        <v>226.5873967387837</v>
      </c>
      <c r="CZ34" s="60">
        <f t="shared" si="42"/>
        <v>188.57459946241204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10.402930402930403</v>
      </c>
      <c r="DO34" s="13">
        <f>IF('Données projet'!$A$166&gt;35,DO33+DN34-DW33,IF(A34&lt;'Données projet'!$A$166,$DL$205^A34,IF(A34='Données projet'!$A$166,'Données projet'!$B$166,DO33+DN34-DW33)))</f>
        <v>113.47985347985349</v>
      </c>
      <c r="DP34" s="18">
        <f>DO34*VLOOKUP('Données projet'!$B$14,Paramètres!$A$1:$I$89,3,0)*VLOOKUP('Données projet'!$B$14,Paramètres!$A$1:$I$89,5,0)</f>
        <v>53.108571428571437</v>
      </c>
      <c r="DQ34" s="14">
        <f t="shared" si="43"/>
        <v>15.413722027781299</v>
      </c>
      <c r="DR34" s="22">
        <f t="shared" si="16"/>
        <v>119.34299443648099</v>
      </c>
      <c r="DS34" s="60">
        <f t="shared" si="17"/>
        <v>412.67632776981429</v>
      </c>
      <c r="DT34" s="60">
        <f ca="1">AVERAGE(OFFSET($DS$3,0,0,'Données projet'!$E$14+1,1))-AVERAGE(OFFSET($H$3,0,0,'Données projet'!$E$14+1,1))</f>
        <v>212.19771249416107</v>
      </c>
      <c r="DU34" s="60">
        <f t="shared" si="44"/>
        <v>125.93313963856127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8.7359999999999971</v>
      </c>
      <c r="D35" s="12">
        <f t="shared" si="32"/>
        <v>3.1282100045396772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91.583375473639606</v>
      </c>
      <c r="H35" s="68">
        <f t="shared" si="1"/>
        <v>277.33016575790663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99.028800000000004</v>
      </c>
      <c r="P35" s="14">
        <f t="shared" si="33"/>
        <v>26.730491283721712</v>
      </c>
      <c r="Q35" s="22">
        <f t="shared" ref="Q35:Q66" si="53">(O35+P35)*0.475*44/12</f>
        <v>219.03076565248196</v>
      </c>
      <c r="R35" s="60">
        <f t="shared" si="0"/>
        <v>512.3640989858153</v>
      </c>
      <c r="S35" s="60">
        <f ca="1">AVERAGE(OFFSET($R$3,0,0,'Données projet'!$E$9+1,1))-AVERAGE(OFFSET($H$3,0,0,'Données projet'!$E$9+1,1))</f>
        <v>455.09463986470064</v>
      </c>
      <c r="T35" s="60">
        <f t="shared" si="34"/>
        <v>266.42568447709669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4.400640000000001</v>
      </c>
      <c r="AI35" s="14">
        <f>IF('Données projet'!$A$62&gt;35,AI34+AH35-AQ34,IF(A35&lt;'Données projet'!$A$62,$AF$205^A35,IF(A35='Données projet'!$A$62,'Données projet'!$B$62,AI34+AH35-AQ34)))</f>
        <v>111.53664000000012</v>
      </c>
      <c r="AJ35" s="14">
        <f>AI35*VLOOKUP('Données projet'!$B$10,Paramètres!$A$1:$I$89,3,0)*VLOOKUP('Données projet'!$B$10,Paramètres!$A$1:$I$89,5,0)</f>
        <v>95.698437120000108</v>
      </c>
      <c r="AK35" s="14">
        <f t="shared" si="35"/>
        <v>25.934601913643824</v>
      </c>
      <c r="AL35" s="22">
        <f t="shared" si="4"/>
        <v>211.8442096502632</v>
      </c>
      <c r="AM35" s="60">
        <f t="shared" si="5"/>
        <v>505.17754298359648</v>
      </c>
      <c r="AN35" s="60">
        <f ca="1">AVERAGE(OFFSET($AM$3,0,0,'Données projet'!$E$10+1,1))-AVERAGE(OFFSET($H$3,0,0,'Données projet'!$E$10+1,1))</f>
        <v>201.39673092164992</v>
      </c>
      <c r="AO35" s="60">
        <f t="shared" si="36"/>
        <v>278.95637851890405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1.6557630867732014</v>
      </c>
      <c r="BD35" s="13">
        <f>IF('Données projet'!$A$88&gt;35,BD34+BC35-BL34,IF(A35&lt;'Données projet'!$A$88,$BA$205^A35,IF(A35='Données projet'!$A$88,'Données projet'!$B$88,BD34+BC35-BL34)))</f>
        <v>37.767919431191729</v>
      </c>
      <c r="BE35" s="14">
        <f>BD35*VLOOKUP('Données projet'!$B$11,Paramètres!$A$1:$I$89,3,0)*VLOOKUP('Données projet'!$B$11,Paramètres!$A$1:$I$89,5,0)</f>
        <v>37.707490760101827</v>
      </c>
      <c r="BF35" s="14">
        <f t="shared" si="37"/>
        <v>11.388945682109469</v>
      </c>
      <c r="BG35" s="22">
        <f t="shared" si="7"/>
        <v>85.509626803518017</v>
      </c>
      <c r="BH35" s="60">
        <f t="shared" si="8"/>
        <v>378.84296013685133</v>
      </c>
      <c r="BI35" s="60">
        <f ca="1">AVERAGE(OFFSET($BH$3,0,0,'Données projet'!$E$11+1,1))-AVERAGE(OFFSET($H$3,0,0,'Données projet'!$E$11+1,1))</f>
        <v>123.29894837876157</v>
      </c>
      <c r="BJ35" s="60">
        <f t="shared" si="38"/>
        <v>103.52963511757127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93.288000000000011</v>
      </c>
      <c r="CA35" s="14">
        <f t="shared" si="39"/>
        <v>25.356547829040977</v>
      </c>
      <c r="CB35" s="22">
        <f t="shared" si="10"/>
        <v>206.63925413557971</v>
      </c>
      <c r="CC35" s="60">
        <f t="shared" si="11"/>
        <v>499.97258746891305</v>
      </c>
      <c r="CD35" s="60">
        <f ca="1">AVERAGE(OFFSET($CC$3,0,0,'Données projet'!$E$12+1,1))-AVERAGE(OFFSET($H$3,0,0,'Données projet'!$E$12+1,1))</f>
        <v>428.49602929661046</v>
      </c>
      <c r="CE35" s="60">
        <f t="shared" si="40"/>
        <v>252.32489414103878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6.5384615384615383</v>
      </c>
      <c r="CT35" s="13">
        <f>IF('Données projet'!$A$140&gt;35,CT34+CS35-DB34,IF(A35&lt;'Données projet'!$A$140,$CQ$205^A35,IF(A35='Données projet'!$A$140,'Données projet'!$B$140,CT34+CS35-DB34)))</f>
        <v>101.5384615384615</v>
      </c>
      <c r="CU35" s="18">
        <f>CT35*VLOOKUP('Données projet'!$B$13,Paramètres!$A$1:$I$89,3,0)*VLOOKUP('Données projet'!$B$13,Paramètres!$A$1:$I$89,5,0)</f>
        <v>68.111999999999981</v>
      </c>
      <c r="CV35" s="14">
        <f t="shared" si="41"/>
        <v>19.203857153488375</v>
      </c>
      <c r="CW35" s="22">
        <f t="shared" si="13"/>
        <v>152.07511787565889</v>
      </c>
      <c r="CX35" s="60">
        <f t="shared" si="14"/>
        <v>445.40845120899223</v>
      </c>
      <c r="CY35" s="60">
        <f ca="1">AVERAGE(OFFSET($CX$3,0,0,'Données projet'!$E$13+1,1))-AVERAGE(OFFSET($H$3,0,0,'Données projet'!$E$13+1,1))</f>
        <v>226.5873967387837</v>
      </c>
      <c r="CZ35" s="60">
        <f t="shared" si="42"/>
        <v>188.57459946241204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10.402930402930403</v>
      </c>
      <c r="DO35" s="13">
        <f>IF('Données projet'!$A$166&gt;35,DO34+DN35-DW34,IF(A35&lt;'Données projet'!$A$166,$DL$205^A35,IF(A35='Données projet'!$A$166,'Données projet'!$B$166,DO34+DN35-DW34)))</f>
        <v>123.8827838827839</v>
      </c>
      <c r="DP35" s="18">
        <f>DO35*VLOOKUP('Données projet'!$B$14,Paramètres!$A$1:$I$89,3,0)*VLOOKUP('Données projet'!$B$14,Paramètres!$A$1:$I$89,5,0)</f>
        <v>57.977142857142866</v>
      </c>
      <c r="DQ35" s="14">
        <f t="shared" si="43"/>
        <v>16.655810903261287</v>
      </c>
      <c r="DR35" s="22">
        <f t="shared" si="16"/>
        <v>129.98572779937055</v>
      </c>
      <c r="DS35" s="60">
        <f t="shared" si="17"/>
        <v>423.31906113270384</v>
      </c>
      <c r="DT35" s="60">
        <f ca="1">AVERAGE(OFFSET($DS$3,0,0,'Données projet'!$E$14+1,1))-AVERAGE(OFFSET($H$3,0,0,'Données projet'!$E$14+1,1))</f>
        <v>212.19771249416107</v>
      </c>
      <c r="DU35" s="60">
        <f t="shared" si="44"/>
        <v>125.93313963856127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9.0089999999999968</v>
      </c>
      <c r="D36" s="12">
        <f t="shared" si="32"/>
        <v>3.214432401154784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94.356320289615851</v>
      </c>
      <c r="H36" s="68">
        <f t="shared" si="1"/>
        <v>277.95581143201127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107.64</v>
      </c>
      <c r="P36" s="14">
        <f t="shared" si="33"/>
        <v>28.774250263353583</v>
      </c>
      <c r="Q36" s="22">
        <f t="shared" si="53"/>
        <v>237.58815254200749</v>
      </c>
      <c r="R36" s="60">
        <f t="shared" si="0"/>
        <v>530.92148587534075</v>
      </c>
      <c r="S36" s="60">
        <f ca="1">AVERAGE(OFFSET($R$3,0,0,'Données projet'!$E$9+1,1))-AVERAGE(OFFSET($H$3,0,0,'Données projet'!$E$9+1,1))</f>
        <v>455.09463986470064</v>
      </c>
      <c r="T36" s="60">
        <f t="shared" si="34"/>
        <v>266.42568447709669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4.400640000000001</v>
      </c>
      <c r="AI36" s="14">
        <f>IF('Données projet'!$A$62&gt;35,AI35+AH36-AQ35,IF(A36&lt;'Données projet'!$A$62,$AF$205^A36,IF(A36='Données projet'!$A$62,'Données projet'!$B$62,AI35+AH36-AQ35)))</f>
        <v>115.93728000000011</v>
      </c>
      <c r="AJ36" s="14">
        <f>AI36*VLOOKUP('Données projet'!$B$10,Paramètres!$A$1:$I$89,3,0)*VLOOKUP('Données projet'!$B$10,Paramètres!$A$1:$I$89,5,0)</f>
        <v>99.474186240000108</v>
      </c>
      <c r="AK36" s="14">
        <f t="shared" si="35"/>
        <v>26.836691260677139</v>
      </c>
      <c r="AL36" s="22">
        <f t="shared" si="4"/>
        <v>219.99144498034619</v>
      </c>
      <c r="AM36" s="60">
        <f t="shared" si="5"/>
        <v>513.32477831367953</v>
      </c>
      <c r="AN36" s="60">
        <f ca="1">AVERAGE(OFFSET($AM$3,0,0,'Données projet'!$E$10+1,1))-AVERAGE(OFFSET($H$3,0,0,'Données projet'!$E$10+1,1))</f>
        <v>201.39673092164992</v>
      </c>
      <c r="AO36" s="60">
        <f t="shared" si="36"/>
        <v>278.95637851890405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1.6557630867732014</v>
      </c>
      <c r="BD36" s="13">
        <f>IF('Données projet'!$A$88&gt;35,BD35+BC36-BL35,IF(A36&lt;'Données projet'!$A$88,$BA$205^A36,IF(A36='Données projet'!$A$88,'Données projet'!$B$88,BD35+BC36-BL35)))</f>
        <v>39.423682517964927</v>
      </c>
      <c r="BE36" s="14">
        <f>BD36*VLOOKUP('Données projet'!$B$11,Paramètres!$A$1:$I$89,3,0)*VLOOKUP('Données projet'!$B$11,Paramètres!$A$1:$I$89,5,0)</f>
        <v>39.36060462593619</v>
      </c>
      <c r="BF36" s="14">
        <f t="shared" si="37"/>
        <v>11.829016483423457</v>
      </c>
      <c r="BG36" s="22">
        <f t="shared" si="7"/>
        <v>89.155256765468053</v>
      </c>
      <c r="BH36" s="60">
        <f t="shared" si="8"/>
        <v>382.48859009880135</v>
      </c>
      <c r="BI36" s="60">
        <f ca="1">AVERAGE(OFFSET($BH$3,0,0,'Données projet'!$E$11+1,1))-AVERAGE(OFFSET($H$3,0,0,'Données projet'!$E$11+1,1))</f>
        <v>123.29894837876157</v>
      </c>
      <c r="BJ36" s="60">
        <f t="shared" si="38"/>
        <v>103.52963511757127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101.4</v>
      </c>
      <c r="CA36" s="14">
        <f t="shared" si="39"/>
        <v>27.295257887453797</v>
      </c>
      <c r="CB36" s="22">
        <f t="shared" si="10"/>
        <v>224.14424082064872</v>
      </c>
      <c r="CC36" s="60">
        <f t="shared" si="11"/>
        <v>517.477574153982</v>
      </c>
      <c r="CD36" s="60">
        <f ca="1">AVERAGE(OFFSET($CC$3,0,0,'Données projet'!$E$12+1,1))-AVERAGE(OFFSET($H$3,0,0,'Données projet'!$E$12+1,1))</f>
        <v>428.49602929661046</v>
      </c>
      <c r="CE36" s="60">
        <f t="shared" si="40"/>
        <v>252.32489414103878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6.5384615384615383</v>
      </c>
      <c r="CT36" s="13">
        <f>IF('Données projet'!$A$140&gt;35,CT35+CS36-DB35,IF(A36&lt;'Données projet'!$A$140,$CQ$205^A36,IF(A36='Données projet'!$A$140,'Données projet'!$B$140,CT35+CS36-DB35)))</f>
        <v>108.07692307692304</v>
      </c>
      <c r="CU36" s="18">
        <f>CT36*VLOOKUP('Données projet'!$B$13,Paramètres!$A$1:$I$89,3,0)*VLOOKUP('Données projet'!$B$13,Paramètres!$A$1:$I$89,5,0)</f>
        <v>72.497999999999976</v>
      </c>
      <c r="CV36" s="14">
        <f t="shared" si="41"/>
        <v>20.292527413120823</v>
      </c>
      <c r="CW36" s="22">
        <f t="shared" si="13"/>
        <v>161.61016857785205</v>
      </c>
      <c r="CX36" s="60">
        <f t="shared" si="14"/>
        <v>454.94350191118536</v>
      </c>
      <c r="CY36" s="60">
        <f ca="1">AVERAGE(OFFSET($CX$3,0,0,'Données projet'!$E$13+1,1))-AVERAGE(OFFSET($H$3,0,0,'Données projet'!$E$13+1,1))</f>
        <v>226.5873967387837</v>
      </c>
      <c r="CZ36" s="60">
        <f t="shared" si="42"/>
        <v>188.57459946241204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10.402930402930403</v>
      </c>
      <c r="DO36" s="13">
        <f>IF('Données projet'!$A$166&gt;35,DO35+DN36-DW35,IF(A36&lt;'Données projet'!$A$166,$DL$205^A36,IF(A36='Données projet'!$A$166,'Données projet'!$B$166,DO35+DN36-DW35)))</f>
        <v>134.28571428571431</v>
      </c>
      <c r="DP36" s="18">
        <f>DO36*VLOOKUP('Données projet'!$B$14,Paramètres!$A$1:$I$89,3,0)*VLOOKUP('Données projet'!$B$14,Paramètres!$A$1:$I$89,5,0)</f>
        <v>62.845714285714294</v>
      </c>
      <c r="DQ36" s="14">
        <f t="shared" si="43"/>
        <v>17.885803038990584</v>
      </c>
      <c r="DR36" s="22">
        <f t="shared" si="16"/>
        <v>140.60739267386097</v>
      </c>
      <c r="DS36" s="60">
        <f t="shared" si="17"/>
        <v>433.94072600719426</v>
      </c>
      <c r="DT36" s="60">
        <f ca="1">AVERAGE(OFFSET($DS$3,0,0,'Données projet'!$E$14+1,1))-AVERAGE(OFFSET($H$3,0,0,'Données projet'!$E$14+1,1))</f>
        <v>212.19771249416107</v>
      </c>
      <c r="DU36" s="60">
        <f t="shared" si="44"/>
        <v>125.93313963856127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9.2819999999999965</v>
      </c>
      <c r="D37" s="12">
        <f t="shared" si="32"/>
        <v>3.3003511545061546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97.126921192679063</v>
      </c>
      <c r="H37" s="68">
        <f t="shared" si="1"/>
        <v>278.58092826076489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116.2512</v>
      </c>
      <c r="P37" s="14">
        <f t="shared" si="33"/>
        <v>30.799044755804328</v>
      </c>
      <c r="Q37" s="22">
        <f t="shared" si="53"/>
        <v>256.1125096163592</v>
      </c>
      <c r="R37" s="60">
        <f t="shared" si="0"/>
        <v>549.44584294969252</v>
      </c>
      <c r="S37" s="60">
        <f ca="1">AVERAGE(OFFSET($R$3,0,0,'Données projet'!$E$9+1,1))-AVERAGE(OFFSET($H$3,0,0,'Données projet'!$E$9+1,1))</f>
        <v>455.09463986470064</v>
      </c>
      <c r="T37" s="60">
        <f t="shared" si="34"/>
        <v>266.42568447709669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4.400640000000001</v>
      </c>
      <c r="AI37" s="14">
        <f>IF('Données projet'!$A$62&gt;35,AI36+AH37-AQ36,IF(A37&lt;'Données projet'!$A$62,$AF$205^A37,IF(A37='Données projet'!$A$62,'Données projet'!$B$62,AI36+AH37-AQ36)))</f>
        <v>120.33792000000011</v>
      </c>
      <c r="AJ37" s="14">
        <f>AI37*VLOOKUP('Données projet'!$B$10,Paramètres!$A$1:$I$89,3,0)*VLOOKUP('Données projet'!$B$10,Paramètres!$A$1:$I$89,5,0)</f>
        <v>103.24993536000012</v>
      </c>
      <c r="AK37" s="14">
        <f t="shared" si="35"/>
        <v>27.734802776195288</v>
      </c>
      <c r="AL37" s="22">
        <f t="shared" si="4"/>
        <v>228.13175225387363</v>
      </c>
      <c r="AM37" s="60">
        <f t="shared" si="5"/>
        <v>521.46508558720689</v>
      </c>
      <c r="AN37" s="60">
        <f ca="1">AVERAGE(OFFSET($AM$3,0,0,'Données projet'!$E$10+1,1))-AVERAGE(OFFSET($H$3,0,0,'Données projet'!$E$10+1,1))</f>
        <v>201.39673092164992</v>
      </c>
      <c r="AO37" s="60">
        <f t="shared" si="36"/>
        <v>278.95637851890405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1.6557630867732014</v>
      </c>
      <c r="BD37" s="13">
        <f>IF('Données projet'!$A$88&gt;35,BD36+BC37-BL36,IF(A37&lt;'Données projet'!$A$88,$BA$205^A37,IF(A37='Données projet'!$A$88,'Données projet'!$B$88,BD36+BC37-BL36)))</f>
        <v>41.079445604738126</v>
      </c>
      <c r="BE37" s="14">
        <f>BD37*VLOOKUP('Données projet'!$B$11,Paramètres!$A$1:$I$89,3,0)*VLOOKUP('Données projet'!$B$11,Paramètres!$A$1:$I$89,5,0)</f>
        <v>41.013718491770547</v>
      </c>
      <c r="BF37" s="14">
        <f t="shared" si="37"/>
        <v>12.266940491283227</v>
      </c>
      <c r="BG37" s="22">
        <f t="shared" si="7"/>
        <v>92.797147728818643</v>
      </c>
      <c r="BH37" s="60">
        <f t="shared" si="8"/>
        <v>386.13048106215194</v>
      </c>
      <c r="BI37" s="60">
        <f ca="1">AVERAGE(OFFSET($BH$3,0,0,'Données projet'!$E$11+1,1))-AVERAGE(OFFSET($H$3,0,0,'Données projet'!$E$11+1,1))</f>
        <v>123.29894837876157</v>
      </c>
      <c r="BJ37" s="60">
        <f t="shared" si="38"/>
        <v>103.52963511757127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109.51200000000001</v>
      </c>
      <c r="CA37" s="14">
        <f t="shared" si="39"/>
        <v>29.215978230632555</v>
      </c>
      <c r="CB37" s="22">
        <f t="shared" si="10"/>
        <v>241.61789541835174</v>
      </c>
      <c r="CC37" s="60">
        <f t="shared" si="11"/>
        <v>534.95122875168499</v>
      </c>
      <c r="CD37" s="60">
        <f ca="1">AVERAGE(OFFSET($CC$3,0,0,'Données projet'!$E$12+1,1))-AVERAGE(OFFSET($H$3,0,0,'Données projet'!$E$12+1,1))</f>
        <v>428.49602929661046</v>
      </c>
      <c r="CE37" s="60">
        <f t="shared" si="40"/>
        <v>252.32489414103878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6.5384615384615383</v>
      </c>
      <c r="CT37" s="13">
        <f>IF('Données projet'!$A$140&gt;35,CT36+CS37-DB36,IF(A37&lt;'Données projet'!$A$140,$CQ$205^A37,IF(A37='Données projet'!$A$140,'Données projet'!$B$140,CT36+CS37-DB36)))</f>
        <v>114.61538461538457</v>
      </c>
      <c r="CU37" s="18">
        <f>CT37*VLOOKUP('Données projet'!$B$13,Paramètres!$A$1:$I$89,3,0)*VLOOKUP('Données projet'!$B$13,Paramètres!$A$1:$I$89,5,0)</f>
        <v>76.883999999999972</v>
      </c>
      <c r="CV37" s="14">
        <f t="shared" si="41"/>
        <v>21.373553273140757</v>
      </c>
      <c r="CW37" s="22">
        <f t="shared" si="13"/>
        <v>171.13190528405343</v>
      </c>
      <c r="CX37" s="60">
        <f t="shared" si="14"/>
        <v>464.46523861738672</v>
      </c>
      <c r="CY37" s="60">
        <f ca="1">AVERAGE(OFFSET($CX$3,0,0,'Données projet'!$E$13+1,1))-AVERAGE(OFFSET($H$3,0,0,'Données projet'!$E$13+1,1))</f>
        <v>226.5873967387837</v>
      </c>
      <c r="CZ37" s="60">
        <f t="shared" si="42"/>
        <v>188.57459946241204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10.402930402930403</v>
      </c>
      <c r="DO37" s="13">
        <f>IF('Données projet'!$A$166&gt;35,DO36+DN37-DW36,IF(A37&lt;'Données projet'!$A$166,$DL$205^A37,IF(A37='Données projet'!$A$166,'Données projet'!$B$166,DO36+DN37-DW36)))</f>
        <v>144.6886446886447</v>
      </c>
      <c r="DP37" s="18">
        <f>DO37*VLOOKUP('Données projet'!$B$14,Paramètres!$A$1:$I$89,3,0)*VLOOKUP('Données projet'!$B$14,Paramètres!$A$1:$I$89,5,0)</f>
        <v>67.714285714285722</v>
      </c>
      <c r="DQ37" s="14">
        <f t="shared" si="43"/>
        <v>19.104742100396511</v>
      </c>
      <c r="DR37" s="22">
        <f t="shared" si="16"/>
        <v>151.20980677723819</v>
      </c>
      <c r="DS37" s="60">
        <f t="shared" si="17"/>
        <v>444.54314011057147</v>
      </c>
      <c r="DT37" s="60">
        <f ca="1">AVERAGE(OFFSET($DS$3,0,0,'Données projet'!$E$14+1,1))-AVERAGE(OFFSET($H$3,0,0,'Données projet'!$E$14+1,1))</f>
        <v>212.19771249416107</v>
      </c>
      <c r="DU37" s="60">
        <f t="shared" si="44"/>
        <v>125.93313963856127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9.5549999999999962</v>
      </c>
      <c r="D38" s="12">
        <f t="shared" si="32"/>
        <v>3.3859762206724846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99.895255036770024</v>
      </c>
      <c r="H38" s="68">
        <f t="shared" si="1"/>
        <v>279.2055335843379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124.86239999999999</v>
      </c>
      <c r="P38" s="14">
        <f t="shared" si="33"/>
        <v>32.806439280561598</v>
      </c>
      <c r="Q38" s="22">
        <f t="shared" si="53"/>
        <v>274.60656174697812</v>
      </c>
      <c r="R38" s="60">
        <f t="shared" si="0"/>
        <v>567.93989508031143</v>
      </c>
      <c r="S38" s="60">
        <f ca="1">AVERAGE(OFFSET($R$3,0,0,'Données projet'!$E$9+1,1))-AVERAGE(OFFSET($H$3,0,0,'Données projet'!$E$9+1,1))</f>
        <v>455.09463986470064</v>
      </c>
      <c r="T38" s="60">
        <f t="shared" si="34"/>
        <v>266.42568447709669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4.400640000000001</v>
      </c>
      <c r="AI38" s="14">
        <f>IF('Données projet'!$A$62&gt;35,AI37+AH38-AQ37,IF(A38&lt;'Données projet'!$A$62,$AF$205^A38,IF(A38='Données projet'!$A$62,'Données projet'!$B$62,AI37+AH38-AQ37)))</f>
        <v>124.73856000000011</v>
      </c>
      <c r="AJ38" s="14">
        <f>AI38*VLOOKUP('Données projet'!$B$10,Paramètres!$A$1:$I$89,3,0)*VLOOKUP('Données projet'!$B$10,Paramètres!$A$1:$I$89,5,0)</f>
        <v>107.02568448000011</v>
      </c>
      <c r="AK38" s="14">
        <f t="shared" si="35"/>
        <v>28.629098586147226</v>
      </c>
      <c r="AL38" s="22">
        <f t="shared" si="4"/>
        <v>236.26541384020661</v>
      </c>
      <c r="AM38" s="60">
        <f t="shared" si="5"/>
        <v>529.59874717353989</v>
      </c>
      <c r="AN38" s="60">
        <f ca="1">AVERAGE(OFFSET($AM$3,0,0,'Données projet'!$E$10+1,1))-AVERAGE(OFFSET($H$3,0,0,'Données projet'!$E$10+1,1))</f>
        <v>201.39673092164992</v>
      </c>
      <c r="AO38" s="60">
        <f t="shared" si="36"/>
        <v>278.95637851890405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1.6557630867732014</v>
      </c>
      <c r="BD38" s="13">
        <f>IF('Données projet'!$A$88&gt;35,BD37+BC38-BL37,IF(A38&lt;'Données projet'!$A$88,$BA$205^A38,IF(A38='Données projet'!$A$88,'Données projet'!$B$88,BD37+BC38-BL37)))</f>
        <v>42.735208691511325</v>
      </c>
      <c r="BE38" s="14">
        <f>BD38*VLOOKUP('Données projet'!$B$11,Paramètres!$A$1:$I$89,3,0)*VLOOKUP('Données projet'!$B$11,Paramètres!$A$1:$I$89,5,0)</f>
        <v>42.66683235760491</v>
      </c>
      <c r="BF38" s="14">
        <f t="shared" si="37"/>
        <v>12.702814134112748</v>
      </c>
      <c r="BG38" s="22">
        <f t="shared" si="7"/>
        <v>96.435467639741589</v>
      </c>
      <c r="BH38" s="60">
        <f t="shared" si="8"/>
        <v>389.76880097307492</v>
      </c>
      <c r="BI38" s="60">
        <f ca="1">AVERAGE(OFFSET($BH$3,0,0,'Données projet'!$E$11+1,1))-AVERAGE(OFFSET($H$3,0,0,'Données projet'!$E$11+1,1))</f>
        <v>123.29894837876157</v>
      </c>
      <c r="BJ38" s="60">
        <f t="shared" si="38"/>
        <v>103.52963511757127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117.62400000000001</v>
      </c>
      <c r="CA38" s="14">
        <f t="shared" si="39"/>
        <v>31.120192961985413</v>
      </c>
      <c r="CB38" s="22">
        <f t="shared" si="10"/>
        <v>259.06280274212457</v>
      </c>
      <c r="CC38" s="60">
        <f t="shared" si="11"/>
        <v>552.39613607545789</v>
      </c>
      <c r="CD38" s="60">
        <f ca="1">AVERAGE(OFFSET($CC$3,0,0,'Données projet'!$E$12+1,1))-AVERAGE(OFFSET($H$3,0,0,'Données projet'!$E$12+1,1))</f>
        <v>428.49602929661046</v>
      </c>
      <c r="CE38" s="60">
        <f t="shared" si="40"/>
        <v>252.32489414103878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121.15384615384615</v>
      </c>
      <c r="CR38" s="13">
        <f>VLOOKUP(A38,'Données projet'!$A$139:$I$159,9,0)</f>
        <v>6.5384615384615383</v>
      </c>
      <c r="CS38" s="13">
        <f t="array" ref="CS38">INDEX(CR:CR,MIN(IF(ISNUMBER(CR38:CR234),ROW(CR38:CR234),"")))</f>
        <v>6.5384615384615383</v>
      </c>
      <c r="CT38" s="13">
        <f>IF('Données projet'!$A$140&gt;35,CT37+CS38-DB37,IF(A38&lt;'Données projet'!$A$140,$CQ$205^A38,IF(A38='Données projet'!$A$140,'Données projet'!$B$140,CT37+CS38-DB37)))</f>
        <v>121.1538461538461</v>
      </c>
      <c r="CU38" s="18">
        <f>CT38*VLOOKUP('Données projet'!$B$13,Paramètres!$A$1:$I$89,3,0)*VLOOKUP('Données projet'!$B$13,Paramètres!$A$1:$I$89,5,0)</f>
        <v>81.269999999999968</v>
      </c>
      <c r="CV38" s="14">
        <f t="shared" si="41"/>
        <v>22.447420513130801</v>
      </c>
      <c r="CW38" s="22">
        <f t="shared" si="13"/>
        <v>180.64117406036942</v>
      </c>
      <c r="CX38" s="60">
        <f t="shared" si="14"/>
        <v>473.97450739370277</v>
      </c>
      <c r="CY38" s="60">
        <f ca="1">AVERAGE(OFFSET($CX$3,0,0,'Données projet'!$E$13+1,1))-AVERAGE(OFFSET($H$3,0,0,'Données projet'!$E$13+1,1))</f>
        <v>226.5873967387837</v>
      </c>
      <c r="CZ38" s="60">
        <f t="shared" si="42"/>
        <v>188.57459946241204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10.402930402930403</v>
      </c>
      <c r="DO38" s="13">
        <f>IF('Données projet'!$A$166&gt;35,DO37+DN38-DW37,IF(A38&lt;'Données projet'!$A$166,$DL$205^A38,IF(A38='Données projet'!$A$166,'Données projet'!$B$166,DO37+DN38-DW37)))</f>
        <v>155.09157509157509</v>
      </c>
      <c r="DP38" s="18">
        <f>DO38*VLOOKUP('Données projet'!$B$14,Paramètres!$A$1:$I$89,3,0)*VLOOKUP('Données projet'!$B$14,Paramètres!$A$1:$I$89,5,0)</f>
        <v>72.582857142857151</v>
      </c>
      <c r="DQ38" s="14">
        <f t="shared" si="43"/>
        <v>20.31351317084026</v>
      </c>
      <c r="DR38" s="22">
        <f t="shared" si="16"/>
        <v>161.79451162968965</v>
      </c>
      <c r="DS38" s="60">
        <f t="shared" si="17"/>
        <v>455.12784496302299</v>
      </c>
      <c r="DT38" s="60">
        <f ca="1">AVERAGE(OFFSET($DS$3,0,0,'Données projet'!$E$14+1,1))-AVERAGE(OFFSET($H$3,0,0,'Données projet'!$E$14+1,1))</f>
        <v>212.19771249416107</v>
      </c>
      <c r="DU38" s="60">
        <f t="shared" si="44"/>
        <v>125.93313963856127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9.8279999999999959</v>
      </c>
      <c r="D39" s="12">
        <f t="shared" si="32"/>
        <v>3.4713169544550615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102.66139403438994</v>
      </c>
      <c r="H39" s="68">
        <f t="shared" si="1"/>
        <v>279.82964369567594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133.90415999999999</v>
      </c>
      <c r="P39" s="14">
        <f t="shared" si="33"/>
        <v>34.896936615903982</v>
      </c>
      <c r="Q39" s="22">
        <f t="shared" si="53"/>
        <v>293.99524327269938</v>
      </c>
      <c r="R39" s="60">
        <f t="shared" si="0"/>
        <v>587.3285766060327</v>
      </c>
      <c r="S39" s="60">
        <f ca="1">AVERAGE(OFFSET($R$3,0,0,'Données projet'!$E$9+1,1))-AVERAGE(OFFSET($H$3,0,0,'Données projet'!$E$9+1,1))</f>
        <v>455.09463986470064</v>
      </c>
      <c r="T39" s="60">
        <f t="shared" si="34"/>
        <v>266.42568447709669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4.400640000000001</v>
      </c>
      <c r="AI39" s="14">
        <f>IF('Données projet'!$A$62&gt;35,AI38+AH39-AQ38,IF(A39&lt;'Données projet'!$A$62,$AF$205^A39,IF(A39='Données projet'!$A$62,'Données projet'!$B$62,AI38+AH39-AQ38)))</f>
        <v>129.1392000000001</v>
      </c>
      <c r="AJ39" s="14">
        <f>AI39*VLOOKUP('Données projet'!$B$10,Paramètres!$A$1:$I$89,3,0)*VLOOKUP('Données projet'!$B$10,Paramètres!$A$1:$I$89,5,0)</f>
        <v>110.8014336000001</v>
      </c>
      <c r="AK39" s="14">
        <f t="shared" si="35"/>
        <v>29.519728728645177</v>
      </c>
      <c r="AL39" s="22">
        <f t="shared" si="4"/>
        <v>244.39269105572384</v>
      </c>
      <c r="AM39" s="60">
        <f t="shared" si="5"/>
        <v>537.7260243890571</v>
      </c>
      <c r="AN39" s="60">
        <f ca="1">AVERAGE(OFFSET($AM$3,0,0,'Données projet'!$E$10+1,1))-AVERAGE(OFFSET($H$3,0,0,'Données projet'!$E$10+1,1))</f>
        <v>201.39673092164992</v>
      </c>
      <c r="AO39" s="60">
        <f t="shared" si="36"/>
        <v>278.95637851890405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1.6557630867732014</v>
      </c>
      <c r="BD39" s="13">
        <f>IF('Données projet'!$A$88&gt;35,BD38+BC39-BL38,IF(A39&lt;'Données projet'!$A$88,$BA$205^A39,IF(A39='Données projet'!$A$88,'Données projet'!$B$88,BD38+BC39-BL38)))</f>
        <v>44.390971778284523</v>
      </c>
      <c r="BE39" s="14">
        <f>BD39*VLOOKUP('Données projet'!$B$11,Paramètres!$A$1:$I$89,3,0)*VLOOKUP('Données projet'!$B$11,Paramètres!$A$1:$I$89,5,0)</f>
        <v>44.319946223439274</v>
      </c>
      <c r="BF39" s="14">
        <f t="shared" si="37"/>
        <v>13.136725945035238</v>
      </c>
      <c r="BG39" s="22">
        <f t="shared" si="7"/>
        <v>100.07037069342645</v>
      </c>
      <c r="BH39" s="60">
        <f t="shared" si="8"/>
        <v>393.40370402675978</v>
      </c>
      <c r="BI39" s="60">
        <f ca="1">AVERAGE(OFFSET($BH$3,0,0,'Données projet'!$E$11+1,1))-AVERAGE(OFFSET($H$3,0,0,'Données projet'!$E$11+1,1))</f>
        <v>123.29894837876157</v>
      </c>
      <c r="BJ39" s="60">
        <f t="shared" si="38"/>
        <v>103.52963511757127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126.1416</v>
      </c>
      <c r="CA39" s="14">
        <f t="shared" si="39"/>
        <v>33.10323903126482</v>
      </c>
      <c r="CB39" s="22">
        <f t="shared" si="10"/>
        <v>277.35142797945286</v>
      </c>
      <c r="CC39" s="60">
        <f t="shared" si="11"/>
        <v>570.68476131278612</v>
      </c>
      <c r="CD39" s="60">
        <f ca="1">AVERAGE(OFFSET($CC$3,0,0,'Données projet'!$E$12+1,1))-AVERAGE(OFFSET($H$3,0,0,'Données projet'!$E$12+1,1))</f>
        <v>428.49602929661046</v>
      </c>
      <c r="CE39" s="60">
        <f t="shared" si="40"/>
        <v>252.32489414103878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6.2820512820512846</v>
      </c>
      <c r="CT39" s="13">
        <f>IF('Données projet'!$A$140&gt;35,CT38+CS39-DB38,IF(A39&lt;'Données projet'!$A$140,$CQ$205^A39,IF(A39='Données projet'!$A$140,'Données projet'!$B$140,CT38+CS39-DB38)))</f>
        <v>127.43589743589739</v>
      </c>
      <c r="CU39" s="18">
        <f>CT39*VLOOKUP('Données projet'!$B$13,Paramètres!$A$1:$I$89,3,0)*VLOOKUP('Données projet'!$B$13,Paramètres!$A$1:$I$89,5,0)</f>
        <v>85.483999999999966</v>
      </c>
      <c r="CV39" s="14">
        <f t="shared" si="41"/>
        <v>23.472832821569867</v>
      </c>
      <c r="CW39" s="22">
        <f t="shared" si="13"/>
        <v>189.7664838309008</v>
      </c>
      <c r="CX39" s="60">
        <f t="shared" si="14"/>
        <v>483.09981716423408</v>
      </c>
      <c r="CY39" s="60">
        <f ca="1">AVERAGE(OFFSET($CX$3,0,0,'Données projet'!$E$13+1,1))-AVERAGE(OFFSET($H$3,0,0,'Données projet'!$E$13+1,1))</f>
        <v>226.5873967387837</v>
      </c>
      <c r="CZ39" s="60">
        <f t="shared" si="42"/>
        <v>188.57459946241204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10.402930402930403</v>
      </c>
      <c r="DO39" s="13">
        <f>IF('Données projet'!$A$166&gt;35,DO38+DN39-DW38,IF(A39&lt;'Données projet'!$A$166,$DL$205^A39,IF(A39='Données projet'!$A$166,'Données projet'!$B$166,DO38+DN39-DW38)))</f>
        <v>165.49450549450549</v>
      </c>
      <c r="DP39" s="18">
        <f>DO39*VLOOKUP('Données projet'!$B$14,Paramètres!$A$1:$I$89,3,0)*VLOOKUP('Données projet'!$B$14,Paramètres!$A$1:$I$89,5,0)</f>
        <v>77.451428571428565</v>
      </c>
      <c r="DQ39" s="14">
        <f t="shared" si="43"/>
        <v>21.512875879677669</v>
      </c>
      <c r="DR39" s="22">
        <f t="shared" si="16"/>
        <v>172.36283025234334</v>
      </c>
      <c r="DS39" s="60">
        <f t="shared" si="17"/>
        <v>465.69616358567669</v>
      </c>
      <c r="DT39" s="60">
        <f ca="1">AVERAGE(OFFSET($DS$3,0,0,'Données projet'!$E$14+1,1))-AVERAGE(OFFSET($H$3,0,0,'Données projet'!$E$14+1,1))</f>
        <v>212.19771249416107</v>
      </c>
      <c r="DU39" s="60">
        <f t="shared" si="44"/>
        <v>125.93313963856127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10.100999999999996</v>
      </c>
      <c r="D40" s="12">
        <f t="shared" si="32"/>
        <v>3.556382161371384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105.42540615795451</v>
      </c>
      <c r="H40" s="68">
        <f t="shared" si="1"/>
        <v>280.45327393105515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142.94592</v>
      </c>
      <c r="P40" s="14">
        <f t="shared" si="33"/>
        <v>36.971054314096854</v>
      </c>
      <c r="Q40" s="22">
        <f t="shared" si="53"/>
        <v>313.35539693038533</v>
      </c>
      <c r="R40" s="60">
        <f t="shared" si="0"/>
        <v>606.68873026371864</v>
      </c>
      <c r="S40" s="60">
        <f ca="1">AVERAGE(OFFSET($R$3,0,0,'Données projet'!$E$9+1,1))-AVERAGE(OFFSET($H$3,0,0,'Données projet'!$E$9+1,1))</f>
        <v>455.09463986470064</v>
      </c>
      <c r="T40" s="60">
        <f t="shared" si="34"/>
        <v>266.42568447709669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4.400640000000001</v>
      </c>
      <c r="AI40" s="14">
        <f>IF('Données projet'!$A$62&gt;35,AI39+AH40-AQ39,IF(A40&lt;'Données projet'!$A$62,$AF$205^A40,IF(A40='Données projet'!$A$62,'Données projet'!$B$62,AI39+AH40-AQ39)))</f>
        <v>133.53984000000011</v>
      </c>
      <c r="AJ40" s="14">
        <f>AI40*VLOOKUP('Données projet'!$B$10,Paramètres!$A$1:$I$89,3,0)*VLOOKUP('Données projet'!$B$10,Paramètres!$A$1:$I$89,5,0)</f>
        <v>114.57718272000011</v>
      </c>
      <c r="AK40" s="14">
        <f t="shared" si="35"/>
        <v>30.406832436126063</v>
      </c>
      <c r="AL40" s="22">
        <f t="shared" si="4"/>
        <v>252.51382639691974</v>
      </c>
      <c r="AM40" s="60">
        <f t="shared" si="5"/>
        <v>545.847159730253</v>
      </c>
      <c r="AN40" s="60">
        <f ca="1">AVERAGE(OFFSET($AM$3,0,0,'Données projet'!$E$10+1,1))-AVERAGE(OFFSET($H$3,0,0,'Données projet'!$E$10+1,1))</f>
        <v>201.39673092164992</v>
      </c>
      <c r="AO40" s="60">
        <f t="shared" si="36"/>
        <v>278.95637851890405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1.6557630867732014</v>
      </c>
      <c r="BD40" s="13">
        <f>IF('Données projet'!$A$88&gt;35,BD39+BC40-BL39,IF(A40&lt;'Données projet'!$A$88,$BA$205^A40,IF(A40='Données projet'!$A$88,'Données projet'!$B$88,BD39+BC40-BL39)))</f>
        <v>46.046734865057722</v>
      </c>
      <c r="BE40" s="14">
        <f>BD40*VLOOKUP('Données projet'!$B$11,Paramètres!$A$1:$I$89,3,0)*VLOOKUP('Données projet'!$B$11,Paramètres!$A$1:$I$89,5,0)</f>
        <v>45.973060089273638</v>
      </c>
      <c r="BF40" s="14">
        <f t="shared" si="37"/>
        <v>13.568757478510481</v>
      </c>
      <c r="BG40" s="22">
        <f t="shared" si="7"/>
        <v>103.70199893055735</v>
      </c>
      <c r="BH40" s="60">
        <f t="shared" si="8"/>
        <v>397.03533226389067</v>
      </c>
      <c r="BI40" s="60">
        <f ca="1">AVERAGE(OFFSET($BH$3,0,0,'Données projet'!$E$11+1,1))-AVERAGE(OFFSET($H$3,0,0,'Données projet'!$E$11+1,1))</f>
        <v>123.29894837876157</v>
      </c>
      <c r="BJ40" s="60">
        <f t="shared" si="38"/>
        <v>103.52963511757127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134.65920000000003</v>
      </c>
      <c r="CA40" s="14">
        <f t="shared" si="39"/>
        <v>35.07074737441733</v>
      </c>
      <c r="CB40" s="22">
        <f t="shared" si="10"/>
        <v>295.61299167711019</v>
      </c>
      <c r="CC40" s="60">
        <f t="shared" si="11"/>
        <v>588.9463250104435</v>
      </c>
      <c r="CD40" s="60">
        <f ca="1">AVERAGE(OFFSET($CC$3,0,0,'Données projet'!$E$12+1,1))-AVERAGE(OFFSET($H$3,0,0,'Données projet'!$E$12+1,1))</f>
        <v>428.49602929661046</v>
      </c>
      <c r="CE40" s="60">
        <f t="shared" si="40"/>
        <v>252.32489414103878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6.2820512820512846</v>
      </c>
      <c r="CT40" s="13">
        <f>IF('Données projet'!$A$140&gt;35,CT39+CS40-DB39,IF(A40&lt;'Données projet'!$A$140,$CQ$205^A40,IF(A40='Données projet'!$A$140,'Données projet'!$B$140,CT39+CS40-DB39)))</f>
        <v>133.71794871794867</v>
      </c>
      <c r="CU40" s="18">
        <f>CT40*VLOOKUP('Données projet'!$B$13,Paramètres!$A$1:$I$89,3,0)*VLOOKUP('Données projet'!$B$13,Paramètres!$A$1:$I$89,5,0)</f>
        <v>89.697999999999979</v>
      </c>
      <c r="CV40" s="14">
        <f t="shared" si="41"/>
        <v>24.492375624045465</v>
      </c>
      <c r="CW40" s="22">
        <f t="shared" si="13"/>
        <v>198.88157087854583</v>
      </c>
      <c r="CX40" s="60">
        <f t="shared" si="14"/>
        <v>492.21490421187912</v>
      </c>
      <c r="CY40" s="60">
        <f ca="1">AVERAGE(OFFSET($CX$3,0,0,'Données projet'!$E$13+1,1))-AVERAGE(OFFSET($H$3,0,0,'Données projet'!$E$13+1,1))</f>
        <v>226.5873967387837</v>
      </c>
      <c r="CZ40" s="60">
        <f t="shared" si="42"/>
        <v>188.57459946241204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10.402930402930403</v>
      </c>
      <c r="DO40" s="13">
        <f>IF('Données projet'!$A$166&gt;35,DO39+DN40-DW39,IF(A40&lt;'Données projet'!$A$166,$DL$205^A40,IF(A40='Données projet'!$A$166,'Données projet'!$B$166,DO39+DN40-DW39)))</f>
        <v>175.89743589743588</v>
      </c>
      <c r="DP40" s="18">
        <f>DO40*VLOOKUP('Données projet'!$B$14,Paramètres!$A$1:$I$89,3,0)*VLOOKUP('Données projet'!$B$14,Paramètres!$A$1:$I$89,5,0)</f>
        <v>82.32</v>
      </c>
      <c r="DQ40" s="14">
        <f t="shared" si="43"/>
        <v>22.703488958112253</v>
      </c>
      <c r="DR40" s="22">
        <f t="shared" si="16"/>
        <v>182.91590993537883</v>
      </c>
      <c r="DS40" s="60">
        <f t="shared" si="17"/>
        <v>476.24924326871212</v>
      </c>
      <c r="DT40" s="60">
        <f ca="1">AVERAGE(OFFSET($DS$3,0,0,'Données projet'!$E$14+1,1))-AVERAGE(OFFSET($H$3,0,0,'Données projet'!$E$14+1,1))</f>
        <v>212.19771249416107</v>
      </c>
      <c r="DU40" s="60">
        <f t="shared" si="44"/>
        <v>125.93313963856127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10.373999999999995</v>
      </c>
      <c r="D41" s="12">
        <f t="shared" si="32"/>
        <v>3.6411801438697711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108.18735549653856</v>
      </c>
      <c r="H41" s="68">
        <f t="shared" si="1"/>
        <v>281.07643875057317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151.98768000000001</v>
      </c>
      <c r="P41" s="14">
        <f t="shared" si="33"/>
        <v>39.029946373574369</v>
      </c>
      <c r="Q41" s="22">
        <f t="shared" si="53"/>
        <v>332.68903260064207</v>
      </c>
      <c r="R41" s="60">
        <f t="shared" si="0"/>
        <v>626.02236593397538</v>
      </c>
      <c r="S41" s="60">
        <f ca="1">AVERAGE(OFFSET($R$3,0,0,'Données projet'!$E$9+1,1))-AVERAGE(OFFSET($H$3,0,0,'Données projet'!$E$9+1,1))</f>
        <v>455.09463986470064</v>
      </c>
      <c r="T41" s="60">
        <f t="shared" si="34"/>
        <v>266.42568447709669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4.400640000000001</v>
      </c>
      <c r="AI41" s="14">
        <f>IF('Données projet'!$A$62&gt;35,AI40+AH41-AQ40,IF(A41&lt;'Données projet'!$A$62,$AF$205^A41,IF(A41='Données projet'!$A$62,'Données projet'!$B$62,AI40+AH41-AQ40)))</f>
        <v>137.94048000000012</v>
      </c>
      <c r="AJ41" s="14">
        <f>AI41*VLOOKUP('Données projet'!$B$10,Paramètres!$A$1:$I$89,3,0)*VLOOKUP('Données projet'!$B$10,Paramètres!$A$1:$I$89,5,0)</f>
        <v>118.35293184000012</v>
      </c>
      <c r="AK41" s="14">
        <f t="shared" si="35"/>
        <v>31.290539243756776</v>
      </c>
      <c r="AL41" s="22">
        <f t="shared" si="4"/>
        <v>260.62904547087663</v>
      </c>
      <c r="AM41" s="60">
        <f t="shared" si="5"/>
        <v>553.96237880420995</v>
      </c>
      <c r="AN41" s="60">
        <f ca="1">AVERAGE(OFFSET($AM$3,0,0,'Données projet'!$E$10+1,1))-AVERAGE(OFFSET($H$3,0,0,'Données projet'!$E$10+1,1))</f>
        <v>201.39673092164992</v>
      </c>
      <c r="AO41" s="60">
        <f t="shared" si="36"/>
        <v>278.95637851890405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1.6557630867732014</v>
      </c>
      <c r="BD41" s="13">
        <f>IF('Données projet'!$A$88&gt;35,BD40+BC41-BL40,IF(A41&lt;'Données projet'!$A$88,$BA$205^A41,IF(A41='Données projet'!$A$88,'Données projet'!$B$88,BD40+BC41-BL40)))</f>
        <v>47.702497951830921</v>
      </c>
      <c r="BE41" s="14">
        <f>BD41*VLOOKUP('Données projet'!$B$11,Paramètres!$A$1:$I$89,3,0)*VLOOKUP('Données projet'!$B$11,Paramètres!$A$1:$I$89,5,0)</f>
        <v>47.626173955107994</v>
      </c>
      <c r="BF41" s="14">
        <f t="shared" si="37"/>
        <v>13.99898409142409</v>
      </c>
      <c r="BG41" s="22">
        <f t="shared" si="7"/>
        <v>107.33048359771004</v>
      </c>
      <c r="BH41" s="60">
        <f t="shared" si="8"/>
        <v>400.66381693104336</v>
      </c>
      <c r="BI41" s="60">
        <f ca="1">AVERAGE(OFFSET($BH$3,0,0,'Données projet'!$E$11+1,1))-AVERAGE(OFFSET($H$3,0,0,'Données projet'!$E$11+1,1))</f>
        <v>123.29894837876157</v>
      </c>
      <c r="BJ41" s="60">
        <f t="shared" si="38"/>
        <v>103.52963511757127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143.17680000000004</v>
      </c>
      <c r="CA41" s="14">
        <f t="shared" si="39"/>
        <v>37.023812674521515</v>
      </c>
      <c r="CB41" s="22">
        <f t="shared" si="10"/>
        <v>313.84940040812506</v>
      </c>
      <c r="CC41" s="60">
        <f t="shared" si="11"/>
        <v>607.18273374145838</v>
      </c>
      <c r="CD41" s="60">
        <f ca="1">AVERAGE(OFFSET($CC$3,0,0,'Données projet'!$E$12+1,1))-AVERAGE(OFFSET($H$3,0,0,'Données projet'!$E$12+1,1))</f>
        <v>428.49602929661046</v>
      </c>
      <c r="CE41" s="60">
        <f t="shared" si="40"/>
        <v>252.32489414103878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6.2820512820512846</v>
      </c>
      <c r="CT41" s="13">
        <f>IF('Données projet'!$A$140&gt;35,CT40+CS41-DB40,IF(A41&lt;'Données projet'!$A$140,$CQ$205^A41,IF(A41='Données projet'!$A$140,'Données projet'!$B$140,CT40+CS41-DB40)))</f>
        <v>139.99999999999994</v>
      </c>
      <c r="CU41" s="18">
        <f>CT41*VLOOKUP('Données projet'!$B$13,Paramètres!$A$1:$I$89,3,0)*VLOOKUP('Données projet'!$B$13,Paramètres!$A$1:$I$89,5,0)</f>
        <v>93.911999999999964</v>
      </c>
      <c r="CV41" s="14">
        <f t="shared" si="41"/>
        <v>25.506356157232645</v>
      </c>
      <c r="CW41" s="22">
        <f t="shared" si="13"/>
        <v>207.98697030718009</v>
      </c>
      <c r="CX41" s="60">
        <f t="shared" si="14"/>
        <v>501.32030364051343</v>
      </c>
      <c r="CY41" s="60">
        <f ca="1">AVERAGE(OFFSET($CX$3,0,0,'Données projet'!$E$13+1,1))-AVERAGE(OFFSET($H$3,0,0,'Données projet'!$E$13+1,1))</f>
        <v>226.5873967387837</v>
      </c>
      <c r="CZ41" s="60">
        <f t="shared" si="42"/>
        <v>188.57459946241204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10.402930402930403</v>
      </c>
      <c r="DO41" s="13">
        <f>IF('Données projet'!$A$166&gt;35,DO40+DN41-DW40,IF(A41&lt;'Données projet'!$A$166,$DL$205^A41,IF(A41='Données projet'!$A$166,'Données projet'!$B$166,DO40+DN41-DW40)))</f>
        <v>186.30036630036628</v>
      </c>
      <c r="DP41" s="18">
        <f>DO41*VLOOKUP('Données projet'!$B$14,Paramètres!$A$1:$I$89,3,0)*VLOOKUP('Données projet'!$B$14,Paramètres!$A$1:$I$89,5,0)</f>
        <v>87.188571428571422</v>
      </c>
      <c r="DQ41" s="14">
        <f t="shared" si="43"/>
        <v>23.885928818198035</v>
      </c>
      <c r="DR41" s="22">
        <f t="shared" si="16"/>
        <v>193.45475459645681</v>
      </c>
      <c r="DS41" s="60">
        <f t="shared" si="17"/>
        <v>486.78808792979009</v>
      </c>
      <c r="DT41" s="60">
        <f ca="1">AVERAGE(OFFSET($DS$3,0,0,'Données projet'!$E$14+1,1))-AVERAGE(OFFSET($H$3,0,0,'Données projet'!$E$14+1,1))</f>
        <v>212.19771249416107</v>
      </c>
      <c r="DU41" s="60">
        <f t="shared" si="44"/>
        <v>125.93313963856127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10.646999999999995</v>
      </c>
      <c r="D42" s="12">
        <f t="shared" si="32"/>
        <v>3.7257187425424232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110.94730257401164</v>
      </c>
      <c r="H42" s="68">
        <f t="shared" si="1"/>
        <v>281.69915180992808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161.02944000000002</v>
      </c>
      <c r="P42" s="14">
        <f t="shared" si="33"/>
        <v>41.074621732940685</v>
      </c>
      <c r="Q42" s="22">
        <f t="shared" si="53"/>
        <v>351.99790751820501</v>
      </c>
      <c r="R42" s="60">
        <f t="shared" si="0"/>
        <v>645.33124085153827</v>
      </c>
      <c r="S42" s="60">
        <f ca="1">AVERAGE(OFFSET($R$3,0,0,'Données projet'!$E$9+1,1))-AVERAGE(OFFSET($H$3,0,0,'Données projet'!$E$9+1,1))</f>
        <v>455.09463986470064</v>
      </c>
      <c r="T42" s="60">
        <f t="shared" si="34"/>
        <v>266.42568447709669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4.400640000000001</v>
      </c>
      <c r="AI42" s="14">
        <f>IF('Données projet'!$A$62&gt;35,AI41+AH42-AQ41,IF(A42&lt;'Données projet'!$A$62,$AF$205^A42,IF(A42='Données projet'!$A$62,'Données projet'!$B$62,AI41+AH42-AQ41)))</f>
        <v>142.34112000000013</v>
      </c>
      <c r="AJ42" s="14">
        <f>AI42*VLOOKUP('Données projet'!$B$10,Paramètres!$A$1:$I$89,3,0)*VLOOKUP('Données projet'!$B$10,Paramètres!$A$1:$I$89,5,0)</f>
        <v>122.12868096000014</v>
      </c>
      <c r="AK42" s="14">
        <f t="shared" si="35"/>
        <v>32.170969952423015</v>
      </c>
      <c r="AL42" s="22">
        <f t="shared" si="4"/>
        <v>268.73855867247033</v>
      </c>
      <c r="AM42" s="60">
        <f t="shared" si="5"/>
        <v>562.07189200580365</v>
      </c>
      <c r="AN42" s="60">
        <f ca="1">AVERAGE(OFFSET($AM$3,0,0,'Données projet'!$E$10+1,1))-AVERAGE(OFFSET($H$3,0,0,'Données projet'!$E$10+1,1))</f>
        <v>201.39673092164992</v>
      </c>
      <c r="AO42" s="60">
        <f t="shared" si="36"/>
        <v>278.95637851890405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1.6557630867732014</v>
      </c>
      <c r="BD42" s="13">
        <f>IF('Données projet'!$A$88&gt;35,BD41+BC42-BL41,IF(A42&lt;'Données projet'!$A$88,$BA$205^A42,IF(A42='Données projet'!$A$88,'Données projet'!$B$88,BD41+BC42-BL41)))</f>
        <v>49.35826103860412</v>
      </c>
      <c r="BE42" s="14">
        <f>BD42*VLOOKUP('Données projet'!$B$11,Paramètres!$A$1:$I$89,3,0)*VLOOKUP('Données projet'!$B$11,Paramètres!$A$1:$I$89,5,0)</f>
        <v>49.279287820942358</v>
      </c>
      <c r="BF42" s="14">
        <f t="shared" si="37"/>
        <v>14.427475612682796</v>
      </c>
      <c r="BG42" s="22">
        <f t="shared" si="7"/>
        <v>110.95594631356381</v>
      </c>
      <c r="BH42" s="60">
        <f t="shared" si="8"/>
        <v>404.28927964689711</v>
      </c>
      <c r="BI42" s="60">
        <f ca="1">AVERAGE(OFFSET($BH$3,0,0,'Données projet'!$E$11+1,1))-AVERAGE(OFFSET($H$3,0,0,'Données projet'!$E$11+1,1))</f>
        <v>123.29894837876157</v>
      </c>
      <c r="BJ42" s="60">
        <f t="shared" si="38"/>
        <v>103.52963511757127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151.69440000000003</v>
      </c>
      <c r="CA42" s="14">
        <f t="shared" si="39"/>
        <v>38.963392010880654</v>
      </c>
      <c r="CB42" s="22">
        <f t="shared" si="10"/>
        <v>332.06232108561716</v>
      </c>
      <c r="CC42" s="60">
        <f t="shared" si="11"/>
        <v>625.39565441895047</v>
      </c>
      <c r="CD42" s="60">
        <f ca="1">AVERAGE(OFFSET($CC$3,0,0,'Données projet'!$E$12+1,1))-AVERAGE(OFFSET($H$3,0,0,'Données projet'!$E$12+1,1))</f>
        <v>428.49602929661046</v>
      </c>
      <c r="CE42" s="60">
        <f t="shared" si="40"/>
        <v>252.32489414103878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6.2820512820512846</v>
      </c>
      <c r="CT42" s="13">
        <f>IF('Données projet'!$A$140&gt;35,CT41+CS42-DB41,IF(A42&lt;'Données projet'!$A$140,$CQ$205^A42,IF(A42='Données projet'!$A$140,'Données projet'!$B$140,CT41+CS42-DB41)))</f>
        <v>146.28205128205121</v>
      </c>
      <c r="CU42" s="18">
        <f>CT42*VLOOKUP('Données projet'!$B$13,Paramètres!$A$1:$I$89,3,0)*VLOOKUP('Données projet'!$B$13,Paramètres!$A$1:$I$89,5,0)</f>
        <v>98.125999999999962</v>
      </c>
      <c r="CV42" s="14">
        <f t="shared" si="41"/>
        <v>26.515052526532699</v>
      </c>
      <c r="CW42" s="22">
        <f t="shared" si="13"/>
        <v>217.08316648371104</v>
      </c>
      <c r="CX42" s="60">
        <f t="shared" si="14"/>
        <v>510.41649981704438</v>
      </c>
      <c r="CY42" s="60">
        <f ca="1">AVERAGE(OFFSET($CX$3,0,0,'Données projet'!$E$13+1,1))-AVERAGE(OFFSET($H$3,0,0,'Données projet'!$E$13+1,1))</f>
        <v>226.5873967387837</v>
      </c>
      <c r="CZ42" s="60">
        <f t="shared" si="42"/>
        <v>188.57459946241204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10.402930402930403</v>
      </c>
      <c r="DO42" s="13">
        <f>IF('Données projet'!$A$166&gt;35,DO41+DN42-DW41,IF(A42&lt;'Données projet'!$A$166,$DL$205^A42,IF(A42='Données projet'!$A$166,'Données projet'!$B$166,DO41+DN42-DW41)))</f>
        <v>196.70329670329667</v>
      </c>
      <c r="DP42" s="18">
        <f>DO42*VLOOKUP('Données projet'!$B$14,Paramètres!$A$1:$I$89,3,0)*VLOOKUP('Données projet'!$B$14,Paramètres!$A$1:$I$89,5,0)</f>
        <v>92.05714285714285</v>
      </c>
      <c r="DQ42" s="14">
        <f t="shared" si="43"/>
        <v>25.060703863036977</v>
      </c>
      <c r="DR42" s="22">
        <f t="shared" si="16"/>
        <v>203.9802497043132</v>
      </c>
      <c r="DS42" s="60">
        <f t="shared" si="17"/>
        <v>497.31358303764648</v>
      </c>
      <c r="DT42" s="60">
        <f ca="1">AVERAGE(OFFSET($DS$3,0,0,'Données projet'!$E$14+1,1))-AVERAGE(OFFSET($H$3,0,0,'Données projet'!$E$14+1,1))</f>
        <v>212.19771249416107</v>
      </c>
      <c r="DU42" s="60">
        <f t="shared" si="44"/>
        <v>125.93313963856127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10.919999999999995</v>
      </c>
      <c r="D43" s="12">
        <f t="shared" si="32"/>
        <v>3.8100053729925785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113.70530463362688</v>
      </c>
      <c r="H43" s="68">
        <f t="shared" si="1"/>
        <v>282.32142602462875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170.07120000000003</v>
      </c>
      <c r="P43" s="14">
        <f t="shared" si="33"/>
        <v>43.10596962815594</v>
      </c>
      <c r="Q43" s="22">
        <f t="shared" si="53"/>
        <v>371.28357043570503</v>
      </c>
      <c r="R43" s="60">
        <f t="shared" si="0"/>
        <v>664.61690376903834</v>
      </c>
      <c r="S43" s="60">
        <f ca="1">AVERAGE(OFFSET($R$3,0,0,'Données projet'!$E$9+1,1))-AVERAGE(OFFSET($H$3,0,0,'Données projet'!$E$9+1,1))</f>
        <v>455.09463986470064</v>
      </c>
      <c r="T43" s="60">
        <f t="shared" si="34"/>
        <v>266.42568447709669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4.400640000000001</v>
      </c>
      <c r="AI43" s="14">
        <f>IF('Données projet'!$A$62&gt;35,AI42+AH43-AQ42,IF(A43&lt;'Données projet'!$A$62,$AF$205^A43,IF(A43='Données projet'!$A$62,'Données projet'!$B$62,AI42+AH43-AQ42)))</f>
        <v>146.74176000000014</v>
      </c>
      <c r="AJ43" s="14">
        <f>AI43*VLOOKUP('Données projet'!$B$10,Paramètres!$A$1:$I$89,3,0)*VLOOKUP('Données projet'!$B$10,Paramètres!$A$1:$I$89,5,0)</f>
        <v>125.90443008000013</v>
      </c>
      <c r="AK43" s="14">
        <f t="shared" si="35"/>
        <v>33.048237469284814</v>
      </c>
      <c r="AL43" s="22">
        <f t="shared" si="4"/>
        <v>276.84256264833795</v>
      </c>
      <c r="AM43" s="60">
        <f t="shared" si="5"/>
        <v>570.17589598167126</v>
      </c>
      <c r="AN43" s="60">
        <f ca="1">AVERAGE(OFFSET($AM$3,0,0,'Données projet'!$E$10+1,1))-AVERAGE(OFFSET($H$3,0,0,'Données projet'!$E$10+1,1))</f>
        <v>201.39673092164992</v>
      </c>
      <c r="AO43" s="60">
        <f t="shared" si="36"/>
        <v>278.95637851890405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1.6557630867732014</v>
      </c>
      <c r="BD43" s="13">
        <f>IF('Données projet'!$A$88&gt;35,BD42+BC43-BL42,IF(A43&lt;'Données projet'!$A$88,$BA$205^A43,IF(A43='Données projet'!$A$88,'Données projet'!$B$88,BD42+BC43-BL42)))</f>
        <v>51.014024125377318</v>
      </c>
      <c r="BE43" s="14">
        <f>BD43*VLOOKUP('Données projet'!$B$11,Paramètres!$A$1:$I$89,3,0)*VLOOKUP('Données projet'!$B$11,Paramètres!$A$1:$I$89,5,0)</f>
        <v>50.932401686776721</v>
      </c>
      <c r="BF43" s="14">
        <f t="shared" si="37"/>
        <v>14.854296920437328</v>
      </c>
      <c r="BG43" s="22">
        <f t="shared" si="7"/>
        <v>114.57850007423114</v>
      </c>
      <c r="BH43" s="60">
        <f t="shared" si="8"/>
        <v>407.91183340756447</v>
      </c>
      <c r="BI43" s="60">
        <f ca="1">AVERAGE(OFFSET($BH$3,0,0,'Données projet'!$E$11+1,1))-AVERAGE(OFFSET($H$3,0,0,'Données projet'!$E$11+1,1))</f>
        <v>123.29894837876157</v>
      </c>
      <c r="BJ43" s="60">
        <f t="shared" si="38"/>
        <v>103.52963511757127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160.21200000000005</v>
      </c>
      <c r="CA43" s="14">
        <f t="shared" si="39"/>
        <v>40.890328912852695</v>
      </c>
      <c r="CB43" s="22">
        <f t="shared" si="10"/>
        <v>350.25322285655176</v>
      </c>
      <c r="CC43" s="60">
        <f t="shared" si="11"/>
        <v>643.58655618988507</v>
      </c>
      <c r="CD43" s="60">
        <f ca="1">AVERAGE(OFFSET($CC$3,0,0,'Données projet'!$E$12+1,1))-AVERAGE(OFFSET($H$3,0,0,'Données projet'!$E$12+1,1))</f>
        <v>428.49602929661046</v>
      </c>
      <c r="CE43" s="60">
        <f t="shared" si="40"/>
        <v>252.32489414103878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152.56410256410257</v>
      </c>
      <c r="CR43" s="13">
        <f>VLOOKUP(A43,'Données projet'!$A$139:$I$159,9,0)</f>
        <v>6.2820512820512846</v>
      </c>
      <c r="CS43" s="13">
        <f t="array" ref="CS43">INDEX(CR:CR,MIN(IF(ISNUMBER(CR43:CR239),ROW(CR43:CR239),"")))</f>
        <v>6.2820512820512846</v>
      </c>
      <c r="CT43" s="13">
        <f>IF('Données projet'!$A$140&gt;35,CT42+CS43-DB42,IF(A43&lt;'Données projet'!$A$140,$CQ$205^A43,IF(A43='Données projet'!$A$140,'Données projet'!$B$140,CT42+CS43-DB42)))</f>
        <v>152.56410256410248</v>
      </c>
      <c r="CU43" s="18">
        <f>CT43*VLOOKUP('Données projet'!$B$13,Paramètres!$A$1:$I$89,3,0)*VLOOKUP('Données projet'!$B$13,Paramètres!$A$1:$I$89,5,0)</f>
        <v>102.33999999999996</v>
      </c>
      <c r="CV43" s="14">
        <f t="shared" si="41"/>
        <v>27.518717600046635</v>
      </c>
      <c r="CW43" s="22">
        <f t="shared" si="13"/>
        <v>226.17059982008115</v>
      </c>
      <c r="CX43" s="60">
        <f t="shared" si="14"/>
        <v>519.50393315341444</v>
      </c>
      <c r="CY43" s="60">
        <f ca="1">AVERAGE(OFFSET($CX$3,0,0,'Données projet'!$E$13+1,1))-AVERAGE(OFFSET($H$3,0,0,'Données projet'!$E$13+1,1))</f>
        <v>226.5873967387837</v>
      </c>
      <c r="CZ43" s="60">
        <f t="shared" si="42"/>
        <v>188.57459946241204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28.205128205128204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10.402930402930403</v>
      </c>
      <c r="DO43" s="13">
        <f>IF('Données projet'!$A$166&gt;35,DO42+DN43-DW42,IF(A43&lt;'Données projet'!$A$166,$DL$205^A43,IF(A43='Données projet'!$A$166,'Données projet'!$B$166,DO42+DN43-DW42)))</f>
        <v>207.10622710622707</v>
      </c>
      <c r="DP43" s="18">
        <f>DO43*VLOOKUP('Données projet'!$B$14,Paramètres!$A$1:$I$89,3,0)*VLOOKUP('Données projet'!$B$14,Paramètres!$A$1:$I$89,5,0)</f>
        <v>96.925714285714264</v>
      </c>
      <c r="DQ43" s="14">
        <f t="shared" si="43"/>
        <v>26.228265683321183</v>
      </c>
      <c r="DR43" s="22">
        <f t="shared" si="16"/>
        <v>214.49318177940339</v>
      </c>
      <c r="DS43" s="60">
        <f t="shared" si="17"/>
        <v>507.82651511273673</v>
      </c>
      <c r="DT43" s="60">
        <f ca="1">AVERAGE(OFFSET($DS$3,0,0,'Données projet'!$E$14+1,1))-AVERAGE(OFFSET($H$3,0,0,'Données projet'!$E$14+1,1))</f>
        <v>212.19771249416107</v>
      </c>
      <c r="DU43" s="60">
        <f t="shared" si="44"/>
        <v>125.93313963856127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11.192999999999994</v>
      </c>
      <c r="D44" s="12">
        <f t="shared" si="32"/>
        <v>3.8940470589111658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116.46141589334933</v>
      </c>
      <c r="H44" s="68">
        <f t="shared" si="1"/>
        <v>282.94327362760362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133.90416000000002</v>
      </c>
      <c r="P44" s="14">
        <f t="shared" si="33"/>
        <v>34.896936615903982</v>
      </c>
      <c r="Q44" s="22">
        <f t="shared" si="53"/>
        <v>293.99524327269938</v>
      </c>
      <c r="R44" s="60">
        <f t="shared" si="0"/>
        <v>587.3285766060327</v>
      </c>
      <c r="S44" s="60">
        <f ca="1">AVERAGE(OFFSET($R$3,0,0,'Données projet'!$E$9+1,1))-AVERAGE(OFFSET($H$3,0,0,'Données projet'!$E$9+1,1))</f>
        <v>455.09463986470064</v>
      </c>
      <c r="T44" s="60">
        <f t="shared" si="34"/>
        <v>266.42568447709669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>
        <f>VLOOKUP(A44,'Données projet'!$A$61:$I$81,2,0)</f>
        <v>151.14240000000001</v>
      </c>
      <c r="AG44" s="13">
        <f>VLOOKUP(A44,'Données projet'!$A$61:$I$81,9,0)</f>
        <v>4.400640000000001</v>
      </c>
      <c r="AH44" s="13">
        <f t="array" ref="AH44">INDEX(AG:AG,MIN(IF(ISNUMBER(AG44:AG240),ROW(AG44:AG240),"")))</f>
        <v>4.400640000000001</v>
      </c>
      <c r="AI44" s="14">
        <f>IF('Données projet'!$A$62&gt;35,AI43+AH44-AQ43,IF(A44&lt;'Données projet'!$A$62,$AF$205^A44,IF(A44='Données projet'!$A$62,'Données projet'!$B$62,AI43+AH44-AQ43)))</f>
        <v>151.14240000000015</v>
      </c>
      <c r="AJ44" s="14">
        <f>AI44*VLOOKUP('Données projet'!$B$10,Paramètres!$A$1:$I$89,3,0)*VLOOKUP('Données projet'!$B$10,Paramètres!$A$1:$I$89,5,0)</f>
        <v>129.68017920000014</v>
      </c>
      <c r="AK44" s="14">
        <f t="shared" si="35"/>
        <v>33.922447544669431</v>
      </c>
      <c r="AL44" s="22">
        <f t="shared" si="4"/>
        <v>284.9412415802995</v>
      </c>
      <c r="AM44" s="60">
        <f t="shared" si="5"/>
        <v>578.27457491363282</v>
      </c>
      <c r="AN44" s="60">
        <f ca="1">AVERAGE(OFFSET($AM$3,0,0,'Données projet'!$E$10+1,1))-AVERAGE(OFFSET($H$3,0,0,'Données projet'!$E$10+1,1))</f>
        <v>201.39673092164992</v>
      </c>
      <c r="AO44" s="60">
        <f t="shared" si="36"/>
        <v>278.95637851890405</v>
      </c>
      <c r="AP44" s="16">
        <f>IF(ISNA(VLOOKUP(A44,'Données projet'!$A$61:$I$81,3,0)),0,VLOOKUP(A44,'Données projet'!$A$61:$I$81,3,0))</f>
        <v>3</v>
      </c>
      <c r="AQ44" s="16">
        <f>IF(ISNA(VLOOKUP(A44,'Données projet'!$A$61:$I$81,4,0)),0,VLOOKUP(A44,'Données projet'!$A$61:$I$81,4,0))</f>
        <v>37.785600000000017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1.6557630867732014</v>
      </c>
      <c r="BD44" s="13">
        <f>IF('Données projet'!$A$88&gt;35,BD43+BC44-BL43,IF(A44&lt;'Données projet'!$A$88,$BA$205^A44,IF(A44='Données projet'!$A$88,'Données projet'!$B$88,BD43+BC44-BL43)))</f>
        <v>52.669787212150517</v>
      </c>
      <c r="BE44" s="14">
        <f>BD44*VLOOKUP('Données projet'!$B$11,Paramètres!$A$1:$I$89,3,0)*VLOOKUP('Données projet'!$B$11,Paramètres!$A$1:$I$89,5,0)</f>
        <v>52.585515552611085</v>
      </c>
      <c r="BF44" s="14">
        <f t="shared" si="37"/>
        <v>15.279508442260367</v>
      </c>
      <c r="BG44" s="22">
        <f t="shared" si="7"/>
        <v>118.19825012440111</v>
      </c>
      <c r="BH44" s="60">
        <f t="shared" si="8"/>
        <v>411.53158345773443</v>
      </c>
      <c r="BI44" s="60">
        <f ca="1">AVERAGE(OFFSET($BH$3,0,0,'Données projet'!$E$11+1,1))-AVERAGE(OFFSET($H$3,0,0,'Données projet'!$E$11+1,1))</f>
        <v>123.29894837876157</v>
      </c>
      <c r="BJ44" s="60">
        <f t="shared" si="38"/>
        <v>103.52963511757127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126.14160000000005</v>
      </c>
      <c r="CA44" s="14">
        <f t="shared" si="39"/>
        <v>33.10323903126482</v>
      </c>
      <c r="CB44" s="22">
        <f t="shared" si="10"/>
        <v>277.35142797945298</v>
      </c>
      <c r="CC44" s="60">
        <f t="shared" si="11"/>
        <v>570.68476131278635</v>
      </c>
      <c r="CD44" s="60">
        <f ca="1">AVERAGE(OFFSET($CC$3,0,0,'Données projet'!$E$12+1,1))-AVERAGE(OFFSET($H$3,0,0,'Données projet'!$E$12+1,1))</f>
        <v>428.49602929661046</v>
      </c>
      <c r="CE44" s="60">
        <f t="shared" si="40"/>
        <v>252.32489414103878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5.7692307692307683</v>
      </c>
      <c r="CT44" s="13">
        <f>IF('Données projet'!$A$140&gt;35,CT43+CS44-DB43,IF(A44&lt;'Données projet'!$A$140,$CQ$205^A44,IF(A44='Données projet'!$A$140,'Données projet'!$B$140,CT43+CS44-DB43)))</f>
        <v>130.12820512820505</v>
      </c>
      <c r="CU44" s="18">
        <f>CT44*VLOOKUP('Données projet'!$B$13,Paramètres!$A$1:$I$89,3,0)*VLOOKUP('Données projet'!$B$13,Paramètres!$A$1:$I$89,5,0)</f>
        <v>87.289999999999949</v>
      </c>
      <c r="CV44" s="14">
        <f t="shared" si="41"/>
        <v>23.910479818711725</v>
      </c>
      <c r="CW44" s="22">
        <f t="shared" si="13"/>
        <v>193.67416901758949</v>
      </c>
      <c r="CX44" s="60">
        <f t="shared" si="14"/>
        <v>487.00750235092278</v>
      </c>
      <c r="CY44" s="60">
        <f ca="1">AVERAGE(OFFSET($CX$3,0,0,'Données projet'!$E$13+1,1))-AVERAGE(OFFSET($H$3,0,0,'Données projet'!$E$13+1,1))</f>
        <v>226.5873967387837</v>
      </c>
      <c r="CZ44" s="60">
        <f t="shared" si="42"/>
        <v>188.57459946241204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10.402930402930403</v>
      </c>
      <c r="DO44" s="13">
        <f>IF('Données projet'!$A$166&gt;35,DO43+DN44-DW43,IF(A44&lt;'Données projet'!$A$166,$DL$205^A44,IF(A44='Données projet'!$A$166,'Données projet'!$B$166,DO43+DN44-DW43)))</f>
        <v>217.50915750915746</v>
      </c>
      <c r="DP44" s="18">
        <f>DO44*VLOOKUP('Données projet'!$B$14,Paramètres!$A$1:$I$89,3,0)*VLOOKUP('Données projet'!$B$14,Paramètres!$A$1:$I$89,5,0)</f>
        <v>101.79428571428569</v>
      </c>
      <c r="DQ44" s="14">
        <f t="shared" si="43"/>
        <v>27.389017940319118</v>
      </c>
      <c r="DR44" s="22">
        <f t="shared" si="16"/>
        <v>224.99425386510336</v>
      </c>
      <c r="DS44" s="60">
        <f t="shared" si="17"/>
        <v>518.32758719843673</v>
      </c>
      <c r="DT44" s="60">
        <f ca="1">AVERAGE(OFFSET($DS$3,0,0,'Données projet'!$E$14+1,1))-AVERAGE(OFFSET($H$3,0,0,'Données projet'!$E$14+1,1))</f>
        <v>212.19771249416107</v>
      </c>
      <c r="DU44" s="60">
        <f t="shared" si="44"/>
        <v>125.93313963856127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11.465999999999994</v>
      </c>
      <c r="D45" s="12">
        <f t="shared" si="32"/>
        <v>3.9778504618356023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119.21568777557304</v>
      </c>
      <c r="H45" s="68">
        <f t="shared" si="1"/>
        <v>283.56470622103035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142.94592000000003</v>
      </c>
      <c r="P45" s="14">
        <f t="shared" si="33"/>
        <v>36.971054314096854</v>
      </c>
      <c r="Q45" s="22">
        <f t="shared" si="53"/>
        <v>313.35539693038538</v>
      </c>
      <c r="R45" s="60">
        <f t="shared" si="0"/>
        <v>606.68873026371875</v>
      </c>
      <c r="S45" s="60">
        <f ca="1">AVERAGE(OFFSET($R$3,0,0,'Données projet'!$E$9+1,1))-AVERAGE(OFFSET($H$3,0,0,'Données projet'!$E$9+1,1))</f>
        <v>455.09463986470064</v>
      </c>
      <c r="T45" s="60">
        <f t="shared" si="34"/>
        <v>266.42568447709669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3.7048320000000019</v>
      </c>
      <c r="AI45" s="14">
        <f>IF('Données projet'!$A$62&gt;35,AI44+AH45-AQ44,IF(A45&lt;'Données projet'!$A$62,$AF$205^A45,IF(A45='Données projet'!$A$62,'Données projet'!$B$62,AI44+AH45-AQ44)))</f>
        <v>117.06163200000015</v>
      </c>
      <c r="AJ45" s="14">
        <f>AI45*VLOOKUP('Données projet'!$B$10,Paramètres!$A$1:$I$89,3,0)*VLOOKUP('Données projet'!$B$10,Paramètres!$A$1:$I$89,5,0)</f>
        <v>100.43888025600013</v>
      </c>
      <c r="AK45" s="14">
        <f t="shared" si="35"/>
        <v>27.066528053988588</v>
      </c>
      <c r="AL45" s="22">
        <f t="shared" si="4"/>
        <v>222.07191947323034</v>
      </c>
      <c r="AM45" s="60">
        <f t="shared" si="5"/>
        <v>515.40525280656368</v>
      </c>
      <c r="AN45" s="60">
        <f ca="1">AVERAGE(OFFSET($AM$3,0,0,'Données projet'!$E$10+1,1))-AVERAGE(OFFSET($H$3,0,0,'Données projet'!$E$10+1,1))</f>
        <v>201.39673092164992</v>
      </c>
      <c r="AO45" s="60">
        <f t="shared" si="36"/>
        <v>278.95637851890405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1.6557630867732014</v>
      </c>
      <c r="BD45" s="13">
        <f>IF('Données projet'!$A$88&gt;35,BD44+BC45-BL44,IF(A45&lt;'Données projet'!$A$88,$BA$205^A45,IF(A45='Données projet'!$A$88,'Données projet'!$B$88,BD44+BC45-BL44)))</f>
        <v>54.325550298923716</v>
      </c>
      <c r="BE45" s="14">
        <f>BD45*VLOOKUP('Données projet'!$B$11,Paramètres!$A$1:$I$89,3,0)*VLOOKUP('Données projet'!$B$11,Paramètres!$A$1:$I$89,5,0)</f>
        <v>54.238629418445441</v>
      </c>
      <c r="BF45" s="14">
        <f t="shared" si="37"/>
        <v>15.703166590661926</v>
      </c>
      <c r="BG45" s="22">
        <f t="shared" si="7"/>
        <v>121.81529471586198</v>
      </c>
      <c r="BH45" s="60">
        <f t="shared" si="8"/>
        <v>415.14862804919528</v>
      </c>
      <c r="BI45" s="60">
        <f ca="1">AVERAGE(OFFSET($BH$3,0,0,'Données projet'!$E$11+1,1))-AVERAGE(OFFSET($H$3,0,0,'Données projet'!$E$11+1,1))</f>
        <v>123.29894837876157</v>
      </c>
      <c r="BJ45" s="60">
        <f t="shared" si="38"/>
        <v>103.52963511757127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134.65920000000006</v>
      </c>
      <c r="CA45" s="14">
        <f t="shared" si="39"/>
        <v>35.07074737441733</v>
      </c>
      <c r="CB45" s="22">
        <f t="shared" si="10"/>
        <v>295.61299167711024</v>
      </c>
      <c r="CC45" s="60">
        <f t="shared" si="11"/>
        <v>588.94632501044362</v>
      </c>
      <c r="CD45" s="60">
        <f ca="1">AVERAGE(OFFSET($CC$3,0,0,'Données projet'!$E$12+1,1))-AVERAGE(OFFSET($H$3,0,0,'Données projet'!$E$12+1,1))</f>
        <v>428.49602929661046</v>
      </c>
      <c r="CE45" s="60">
        <f t="shared" si="40"/>
        <v>252.32489414103878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5.7692307692307683</v>
      </c>
      <c r="CT45" s="13">
        <f>IF('Données projet'!$A$140&gt;35,CT44+CS45-DB44,IF(A45&lt;'Données projet'!$A$140,$CQ$205^A45,IF(A45='Données projet'!$A$140,'Données projet'!$B$140,CT44+CS45-DB44)))</f>
        <v>135.89743589743583</v>
      </c>
      <c r="CU45" s="18">
        <f>CT45*VLOOKUP('Données projet'!$B$13,Paramètres!$A$1:$I$89,3,0)*VLOOKUP('Données projet'!$B$13,Paramètres!$A$1:$I$89,5,0)</f>
        <v>91.159999999999954</v>
      </c>
      <c r="CV45" s="14">
        <f t="shared" si="41"/>
        <v>24.844780200578068</v>
      </c>
      <c r="CW45" s="22">
        <f t="shared" si="13"/>
        <v>202.04165884934005</v>
      </c>
      <c r="CX45" s="60">
        <f t="shared" si="14"/>
        <v>495.3749921826734</v>
      </c>
      <c r="CY45" s="60">
        <f ca="1">AVERAGE(OFFSET($CX$3,0,0,'Données projet'!$E$13+1,1))-AVERAGE(OFFSET($H$3,0,0,'Données projet'!$E$13+1,1))</f>
        <v>226.5873967387837</v>
      </c>
      <c r="CZ45" s="60">
        <f t="shared" si="42"/>
        <v>188.57459946241204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10.402930402930403</v>
      </c>
      <c r="DO45" s="13">
        <f>IF('Données projet'!$A$166&gt;35,DO44+DN45-DW44,IF(A45&lt;'Données projet'!$A$166,$DL$205^A45,IF(A45='Données projet'!$A$166,'Données projet'!$B$166,DO44+DN45-DW44)))</f>
        <v>227.91208791208786</v>
      </c>
      <c r="DP45" s="18">
        <f>DO45*VLOOKUP('Données projet'!$B$14,Paramètres!$A$1:$I$89,3,0)*VLOOKUP('Données projet'!$B$14,Paramètres!$A$1:$I$89,5,0)</f>
        <v>106.66285714285712</v>
      </c>
      <c r="DQ45" s="14">
        <f t="shared" si="43"/>
        <v>28.543323501294243</v>
      </c>
      <c r="DR45" s="22">
        <f t="shared" si="16"/>
        <v>235.48409795523028</v>
      </c>
      <c r="DS45" s="60">
        <f t="shared" si="17"/>
        <v>528.81743128856363</v>
      </c>
      <c r="DT45" s="60">
        <f ca="1">AVERAGE(OFFSET($DS$3,0,0,'Données projet'!$E$14+1,1))-AVERAGE(OFFSET($H$3,0,0,'Données projet'!$E$14+1,1))</f>
        <v>212.19771249416107</v>
      </c>
      <c r="DU45" s="60">
        <f t="shared" si="44"/>
        <v>125.93313963856127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11.738999999999994</v>
      </c>
      <c r="D46" s="12">
        <f t="shared" si="32"/>
        <v>4.061421907994597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121.96816911434421</v>
      </c>
      <c r="H46" s="68">
        <f t="shared" si="1"/>
        <v>284.18573482309057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151.98768000000004</v>
      </c>
      <c r="P46" s="14">
        <f t="shared" si="33"/>
        <v>39.029946373574369</v>
      </c>
      <c r="Q46" s="22">
        <f t="shared" si="53"/>
        <v>332.68903260064207</v>
      </c>
      <c r="R46" s="60">
        <f t="shared" si="0"/>
        <v>626.02236593397538</v>
      </c>
      <c r="S46" s="60">
        <f ca="1">AVERAGE(OFFSET($R$3,0,0,'Données projet'!$E$9+1,1))-AVERAGE(OFFSET($H$3,0,0,'Données projet'!$E$9+1,1))</f>
        <v>455.09463986470064</v>
      </c>
      <c r="T46" s="60">
        <f t="shared" si="34"/>
        <v>266.42568447709669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3.7048320000000019</v>
      </c>
      <c r="AI46" s="14">
        <f>IF('Données projet'!$A$62&gt;35,AI45+AH46-AQ45,IF(A46&lt;'Données projet'!$A$62,$AF$205^A46,IF(A46='Données projet'!$A$62,'Données projet'!$B$62,AI45+AH46-AQ45)))</f>
        <v>120.76646400000014</v>
      </c>
      <c r="AJ46" s="14">
        <f>AI46*VLOOKUP('Données projet'!$B$10,Paramètres!$A$1:$I$89,3,0)*VLOOKUP('Données projet'!$B$10,Paramètres!$A$1:$I$89,5,0)</f>
        <v>103.61762611200014</v>
      </c>
      <c r="AK46" s="14">
        <f t="shared" si="35"/>
        <v>27.822056466752176</v>
      </c>
      <c r="AL46" s="22">
        <f t="shared" si="4"/>
        <v>228.92411382466028</v>
      </c>
      <c r="AM46" s="60">
        <f t="shared" si="5"/>
        <v>522.25744715799362</v>
      </c>
      <c r="AN46" s="60">
        <f ca="1">AVERAGE(OFFSET($AM$3,0,0,'Données projet'!$E$10+1,1))-AVERAGE(OFFSET($H$3,0,0,'Données projet'!$E$10+1,1))</f>
        <v>201.39673092164992</v>
      </c>
      <c r="AO46" s="60">
        <f t="shared" si="36"/>
        <v>278.95637851890405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1.6557630867732014</v>
      </c>
      <c r="BD46" s="13">
        <f>IF('Données projet'!$A$88&gt;35,BD45+BC46-BL45,IF(A46&lt;'Données projet'!$A$88,$BA$205^A46,IF(A46='Données projet'!$A$88,'Données projet'!$B$88,BD45+BC46-BL45)))</f>
        <v>55.981313385696915</v>
      </c>
      <c r="BE46" s="14">
        <f>BD46*VLOOKUP('Données projet'!$B$11,Paramètres!$A$1:$I$89,3,0)*VLOOKUP('Données projet'!$B$11,Paramètres!$A$1:$I$89,5,0)</f>
        <v>55.891743284279805</v>
      </c>
      <c r="BF46" s="14">
        <f t="shared" si="37"/>
        <v>16.12532414401759</v>
      </c>
      <c r="BG46" s="22">
        <f t="shared" si="7"/>
        <v>125.42972577095129</v>
      </c>
      <c r="BH46" s="60">
        <f t="shared" si="8"/>
        <v>418.76305910428459</v>
      </c>
      <c r="BI46" s="60">
        <f ca="1">AVERAGE(OFFSET($BH$3,0,0,'Données projet'!$E$11+1,1))-AVERAGE(OFFSET($H$3,0,0,'Données projet'!$E$11+1,1))</f>
        <v>123.29894837876157</v>
      </c>
      <c r="BJ46" s="60">
        <f t="shared" si="38"/>
        <v>103.52963511757127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143.17680000000004</v>
      </c>
      <c r="CA46" s="14">
        <f t="shared" si="39"/>
        <v>37.023812674521515</v>
      </c>
      <c r="CB46" s="22">
        <f t="shared" si="10"/>
        <v>313.84940040812506</v>
      </c>
      <c r="CC46" s="60">
        <f t="shared" si="11"/>
        <v>607.18273374145838</v>
      </c>
      <c r="CD46" s="60">
        <f ca="1">AVERAGE(OFFSET($CC$3,0,0,'Données projet'!$E$12+1,1))-AVERAGE(OFFSET($H$3,0,0,'Données projet'!$E$12+1,1))</f>
        <v>428.49602929661046</v>
      </c>
      <c r="CE46" s="60">
        <f t="shared" si="40"/>
        <v>252.32489414103878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5.7692307692307683</v>
      </c>
      <c r="CT46" s="13">
        <f>IF('Données projet'!$A$140&gt;35,CT45+CS46-DB45,IF(A46&lt;'Données projet'!$A$140,$CQ$205^A46,IF(A46='Données projet'!$A$140,'Données projet'!$B$140,CT45+CS46-DB45)))</f>
        <v>141.6666666666666</v>
      </c>
      <c r="CU46" s="18">
        <f>CT46*VLOOKUP('Données projet'!$B$13,Paramètres!$A$1:$I$89,3,0)*VLOOKUP('Données projet'!$B$13,Paramètres!$A$1:$I$89,5,0)</f>
        <v>95.029999999999959</v>
      </c>
      <c r="CV46" s="14">
        <f t="shared" si="41"/>
        <v>25.774473655280186</v>
      </c>
      <c r="CW46" s="22">
        <f t="shared" si="13"/>
        <v>210.40112494961292</v>
      </c>
      <c r="CX46" s="60">
        <f t="shared" si="14"/>
        <v>503.73445828294621</v>
      </c>
      <c r="CY46" s="60">
        <f ca="1">AVERAGE(OFFSET($CX$3,0,0,'Données projet'!$E$13+1,1))-AVERAGE(OFFSET($H$3,0,0,'Données projet'!$E$13+1,1))</f>
        <v>226.5873967387837</v>
      </c>
      <c r="CZ46" s="60">
        <f t="shared" si="42"/>
        <v>188.57459946241204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10.402930402930403</v>
      </c>
      <c r="DO46" s="13">
        <f>IF('Données projet'!$A$166&gt;35,DO45+DN46-DW45,IF(A46&lt;'Données projet'!$A$166,$DL$205^A46,IF(A46='Données projet'!$A$166,'Données projet'!$B$166,DO45+DN46-DW45)))</f>
        <v>238.31501831501825</v>
      </c>
      <c r="DP46" s="18">
        <f>DO46*VLOOKUP('Données projet'!$B$14,Paramètres!$A$1:$I$89,3,0)*VLOOKUP('Données projet'!$B$14,Paramètres!$A$1:$I$89,5,0)</f>
        <v>111.53142857142855</v>
      </c>
      <c r="DQ46" s="14">
        <f t="shared" si="43"/>
        <v>29.691510235320177</v>
      </c>
      <c r="DR46" s="22">
        <f t="shared" si="16"/>
        <v>245.96328508842066</v>
      </c>
      <c r="DS46" s="60">
        <f t="shared" si="17"/>
        <v>539.29661842175392</v>
      </c>
      <c r="DT46" s="60">
        <f ca="1">AVERAGE(OFFSET($DS$3,0,0,'Données projet'!$E$14+1,1))-AVERAGE(OFFSET($H$3,0,0,'Données projet'!$E$14+1,1))</f>
        <v>212.19771249416107</v>
      </c>
      <c r="DU46" s="60">
        <f t="shared" si="44"/>
        <v>125.93313963856127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12.011999999999993</v>
      </c>
      <c r="D47" s="12">
        <f t="shared" si="32"/>
        <v>4.1447674125853897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124.71890634276436</v>
      </c>
      <c r="H47" s="68">
        <f t="shared" si="1"/>
        <v>284.8063699102529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161.02944000000005</v>
      </c>
      <c r="P47" s="14">
        <f t="shared" si="33"/>
        <v>41.074621732940727</v>
      </c>
      <c r="Q47" s="22">
        <f t="shared" si="53"/>
        <v>351.99790751820518</v>
      </c>
      <c r="R47" s="60">
        <f t="shared" si="0"/>
        <v>645.3312408515385</v>
      </c>
      <c r="S47" s="60">
        <f ca="1">AVERAGE(OFFSET($R$3,0,0,'Données projet'!$E$9+1,1))-AVERAGE(OFFSET($H$3,0,0,'Données projet'!$E$9+1,1))</f>
        <v>455.09463986470064</v>
      </c>
      <c r="T47" s="60">
        <f t="shared" si="34"/>
        <v>266.42568447709669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3.7048320000000019</v>
      </c>
      <c r="AI47" s="14">
        <f>IF('Données projet'!$A$62&gt;35,AI46+AH47-AQ46,IF(A47&lt;'Données projet'!$A$62,$AF$205^A47,IF(A47='Données projet'!$A$62,'Données projet'!$B$62,AI46+AH47-AQ46)))</f>
        <v>124.47129600000014</v>
      </c>
      <c r="AJ47" s="14">
        <f>AI47*VLOOKUP('Données projet'!$B$10,Paramètres!$A$1:$I$89,3,0)*VLOOKUP('Données projet'!$B$10,Paramètres!$A$1:$I$89,5,0)</f>
        <v>106.79637196800012</v>
      </c>
      <c r="AK47" s="14">
        <f t="shared" si="35"/>
        <v>28.574891343709059</v>
      </c>
      <c r="AL47" s="22">
        <f t="shared" si="4"/>
        <v>235.77161693456014</v>
      </c>
      <c r="AM47" s="60">
        <f t="shared" si="5"/>
        <v>529.1049502678934</v>
      </c>
      <c r="AN47" s="60">
        <f ca="1">AVERAGE(OFFSET($AM$3,0,0,'Données projet'!$E$10+1,1))-AVERAGE(OFFSET($H$3,0,0,'Données projet'!$E$10+1,1))</f>
        <v>201.39673092164992</v>
      </c>
      <c r="AO47" s="60">
        <f t="shared" si="36"/>
        <v>278.95637851890405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1.6557630867732014</v>
      </c>
      <c r="BD47" s="13">
        <f>IF('Données projet'!$A$88&gt;35,BD46+BC47-BL46,IF(A47&lt;'Données projet'!$A$88,$BA$205^A47,IF(A47='Données projet'!$A$88,'Données projet'!$B$88,BD46+BC47-BL46)))</f>
        <v>57.637076472470113</v>
      </c>
      <c r="BE47" s="14">
        <f>BD47*VLOOKUP('Données projet'!$B$11,Paramètres!$A$1:$I$89,3,0)*VLOOKUP('Données projet'!$B$11,Paramètres!$A$1:$I$89,5,0)</f>
        <v>57.544857150114169</v>
      </c>
      <c r="BF47" s="14">
        <f t="shared" si="37"/>
        <v>16.546030581163315</v>
      </c>
      <c r="BG47" s="22">
        <f t="shared" si="7"/>
        <v>129.04162946530829</v>
      </c>
      <c r="BH47" s="60">
        <f t="shared" si="8"/>
        <v>422.3749627986416</v>
      </c>
      <c r="BI47" s="60">
        <f ca="1">AVERAGE(OFFSET($BH$3,0,0,'Données projet'!$E$11+1,1))-AVERAGE(OFFSET($H$3,0,0,'Données projet'!$E$11+1,1))</f>
        <v>123.29894837876157</v>
      </c>
      <c r="BJ47" s="60">
        <f t="shared" si="38"/>
        <v>103.52963511757127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151.69440000000006</v>
      </c>
      <c r="CA47" s="14">
        <f t="shared" si="39"/>
        <v>38.963392010880654</v>
      </c>
      <c r="CB47" s="22">
        <f t="shared" si="10"/>
        <v>332.06232108561721</v>
      </c>
      <c r="CC47" s="60">
        <f t="shared" si="11"/>
        <v>625.39565441895047</v>
      </c>
      <c r="CD47" s="60">
        <f ca="1">AVERAGE(OFFSET($CC$3,0,0,'Données projet'!$E$12+1,1))-AVERAGE(OFFSET($H$3,0,0,'Données projet'!$E$12+1,1))</f>
        <v>428.49602929661046</v>
      </c>
      <c r="CE47" s="60">
        <f t="shared" si="40"/>
        <v>252.32489414103878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5.7692307692307683</v>
      </c>
      <c r="CT47" s="13">
        <f>IF('Données projet'!$A$140&gt;35,CT46+CS47-DB46,IF(A47&lt;'Données projet'!$A$140,$CQ$205^A47,IF(A47='Données projet'!$A$140,'Données projet'!$B$140,CT46+CS47-DB46)))</f>
        <v>147.43589743589737</v>
      </c>
      <c r="CU47" s="18">
        <f>CT47*VLOOKUP('Données projet'!$B$13,Paramètres!$A$1:$I$89,3,0)*VLOOKUP('Données projet'!$B$13,Paramètres!$A$1:$I$89,5,0)</f>
        <v>98.899999999999963</v>
      </c>
      <c r="CV47" s="14">
        <f t="shared" si="41"/>
        <v>26.699769255487553</v>
      </c>
      <c r="CW47" s="22">
        <f t="shared" si="13"/>
        <v>218.75293145330741</v>
      </c>
      <c r="CX47" s="60">
        <f t="shared" si="14"/>
        <v>512.08626478664075</v>
      </c>
      <c r="CY47" s="60">
        <f ca="1">AVERAGE(OFFSET($CX$3,0,0,'Données projet'!$E$13+1,1))-AVERAGE(OFFSET($H$3,0,0,'Données projet'!$E$13+1,1))</f>
        <v>226.5873967387837</v>
      </c>
      <c r="CZ47" s="60">
        <f t="shared" si="42"/>
        <v>188.57459946241204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10.402930402930403</v>
      </c>
      <c r="DO47" s="13">
        <f>IF('Données projet'!$A$166&gt;35,DO46+DN47-DW46,IF(A47&lt;'Données projet'!$A$166,$DL$205^A47,IF(A47='Données projet'!$A$166,'Données projet'!$B$166,DO46+DN47-DW46)))</f>
        <v>248.71794871794864</v>
      </c>
      <c r="DP47" s="18">
        <f>DO47*VLOOKUP('Données projet'!$B$14,Paramètres!$A$1:$I$89,3,0)*VLOOKUP('Données projet'!$B$14,Paramètres!$A$1:$I$89,5,0)</f>
        <v>116.39999999999996</v>
      </c>
      <c r="DQ47" s="14">
        <f t="shared" si="43"/>
        <v>30.833875768540434</v>
      </c>
      <c r="DR47" s="22">
        <f t="shared" si="16"/>
        <v>256.43233363020784</v>
      </c>
      <c r="DS47" s="60">
        <f t="shared" si="17"/>
        <v>549.76566696354121</v>
      </c>
      <c r="DT47" s="60">
        <f ca="1">AVERAGE(OFFSET($DS$3,0,0,'Données projet'!$E$14+1,1))-AVERAGE(OFFSET($H$3,0,0,'Données projet'!$E$14+1,1))</f>
        <v>212.19771249416107</v>
      </c>
      <c r="DU47" s="60">
        <f t="shared" si="44"/>
        <v>125.93313963856127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12.284999999999993</v>
      </c>
      <c r="D48" s="12">
        <f t="shared" si="32"/>
        <v>4.2278927017817711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127.46794366287679</v>
      </c>
      <c r="H48" s="68">
        <f t="shared" si="1"/>
        <v>285.42662145560325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170.07120000000003</v>
      </c>
      <c r="P48" s="14">
        <f t="shared" si="33"/>
        <v>43.10596962815594</v>
      </c>
      <c r="Q48" s="22">
        <f t="shared" si="53"/>
        <v>371.28357043570503</v>
      </c>
      <c r="R48" s="60">
        <f t="shared" si="0"/>
        <v>664.61690376903834</v>
      </c>
      <c r="S48" s="60">
        <f ca="1">AVERAGE(OFFSET($R$3,0,0,'Données projet'!$E$9+1,1))-AVERAGE(OFFSET($H$3,0,0,'Données projet'!$E$9+1,1))</f>
        <v>455.09463986470064</v>
      </c>
      <c r="T48" s="60">
        <f t="shared" si="34"/>
        <v>266.42568447709669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3.7048320000000019</v>
      </c>
      <c r="AI48" s="14">
        <f>IF('Données projet'!$A$62&gt;35,AI47+AH48-AQ47,IF(A48&lt;'Données projet'!$A$62,$AF$205^A48,IF(A48='Données projet'!$A$62,'Données projet'!$B$62,AI47+AH48-AQ47)))</f>
        <v>128.17612800000015</v>
      </c>
      <c r="AJ48" s="14">
        <f>AI48*VLOOKUP('Données projet'!$B$10,Paramètres!$A$1:$I$89,3,0)*VLOOKUP('Données projet'!$B$10,Paramètres!$A$1:$I$89,5,0)</f>
        <v>109.97511782400015</v>
      </c>
      <c r="AK48" s="14">
        <f t="shared" si="35"/>
        <v>29.325122060634612</v>
      </c>
      <c r="AL48" s="22">
        <f t="shared" si="4"/>
        <v>242.61458446573886</v>
      </c>
      <c r="AM48" s="60">
        <f t="shared" si="5"/>
        <v>535.94791779907223</v>
      </c>
      <c r="AN48" s="60">
        <f ca="1">AVERAGE(OFFSET($AM$3,0,0,'Données projet'!$E$10+1,1))-AVERAGE(OFFSET($H$3,0,0,'Données projet'!$E$10+1,1))</f>
        <v>201.39673092164992</v>
      </c>
      <c r="AO48" s="60">
        <f t="shared" si="36"/>
        <v>278.95637851890405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1.6557630867732014</v>
      </c>
      <c r="BD48" s="13">
        <f>IF('Données projet'!$A$88&gt;35,BD47+BC48-BL47,IF(A48&lt;'Données projet'!$A$88,$BA$205^A48,IF(A48='Données projet'!$A$88,'Données projet'!$B$88,BD47+BC48-BL47)))</f>
        <v>59.292839559243312</v>
      </c>
      <c r="BE48" s="14">
        <f>BD48*VLOOKUP('Données projet'!$B$11,Paramètres!$A$1:$I$89,3,0)*VLOOKUP('Données projet'!$B$11,Paramètres!$A$1:$I$89,5,0)</f>
        <v>59.197971015948525</v>
      </c>
      <c r="BF48" s="14">
        <f t="shared" si="37"/>
        <v>16.965332376461557</v>
      </c>
      <c r="BG48" s="22">
        <f t="shared" si="7"/>
        <v>132.65108674178089</v>
      </c>
      <c r="BH48" s="60">
        <f t="shared" si="8"/>
        <v>425.9844200751142</v>
      </c>
      <c r="BI48" s="60">
        <f ca="1">AVERAGE(OFFSET($BH$3,0,0,'Données projet'!$E$11+1,1))-AVERAGE(OFFSET($H$3,0,0,'Données projet'!$E$11+1,1))</f>
        <v>123.29894837876157</v>
      </c>
      <c r="BJ48" s="60">
        <f t="shared" si="38"/>
        <v>103.52963511757127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160.21200000000007</v>
      </c>
      <c r="CA48" s="14">
        <f t="shared" si="39"/>
        <v>40.890328912852731</v>
      </c>
      <c r="CB48" s="22">
        <f t="shared" si="10"/>
        <v>350.25322285655193</v>
      </c>
      <c r="CC48" s="60">
        <f t="shared" si="11"/>
        <v>643.58655618988519</v>
      </c>
      <c r="CD48" s="60">
        <f ca="1">AVERAGE(OFFSET($CC$3,0,0,'Données projet'!$E$12+1,1))-AVERAGE(OFFSET($H$3,0,0,'Données projet'!$E$12+1,1))</f>
        <v>428.49602929661046</v>
      </c>
      <c r="CE48" s="60">
        <f t="shared" si="40"/>
        <v>252.32489414103878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153.2051282051282</v>
      </c>
      <c r="CR48" s="13">
        <f>VLOOKUP(A48,'Données projet'!$A$139:$I$159,9,0)</f>
        <v>5.7692307692307683</v>
      </c>
      <c r="CS48" s="13">
        <f t="array" ref="CS48">INDEX(CR:CR,MIN(IF(ISNUMBER(CR48:CR244),ROW(CR48:CR244),"")))</f>
        <v>5.7692307692307683</v>
      </c>
      <c r="CT48" s="13">
        <f>IF('Données projet'!$A$140&gt;35,CT47+CS48-DB47,IF(A48&lt;'Données projet'!$A$140,$CQ$205^A48,IF(A48='Données projet'!$A$140,'Données projet'!$B$140,CT47+CS48-DB47)))</f>
        <v>153.20512820512815</v>
      </c>
      <c r="CU48" s="18">
        <f>CT48*VLOOKUP('Données projet'!$B$13,Paramètres!$A$1:$I$89,3,0)*VLOOKUP('Données projet'!$B$13,Paramètres!$A$1:$I$89,5,0)</f>
        <v>102.76999999999995</v>
      </c>
      <c r="CV48" s="14">
        <f t="shared" si="41"/>
        <v>27.62085878525345</v>
      </c>
      <c r="CW48" s="22">
        <f t="shared" si="13"/>
        <v>227.09741238431636</v>
      </c>
      <c r="CX48" s="60">
        <f t="shared" si="14"/>
        <v>520.43074571764964</v>
      </c>
      <c r="CY48" s="60">
        <f ca="1">AVERAGE(OFFSET($CX$3,0,0,'Données projet'!$E$13+1,1))-AVERAGE(OFFSET($H$3,0,0,'Données projet'!$E$13+1,1))</f>
        <v>226.5873967387837</v>
      </c>
      <c r="CZ48" s="60">
        <f t="shared" si="42"/>
        <v>188.57459946241204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10.402930402930403</v>
      </c>
      <c r="DO48" s="13">
        <f>IF('Données projet'!$A$166&gt;35,DO47+DN48-DW47,IF(A48&lt;'Données projet'!$A$166,$DL$205^A48,IF(A48='Données projet'!$A$166,'Données projet'!$B$166,DO47+DN48-DW47)))</f>
        <v>259.12087912087907</v>
      </c>
      <c r="DP48" s="18">
        <f>DO48*VLOOKUP('Données projet'!$B$14,Paramètres!$A$1:$I$89,3,0)*VLOOKUP('Données projet'!$B$14,Paramètres!$A$1:$I$89,5,0)</f>
        <v>121.26857142857141</v>
      </c>
      <c r="DQ48" s="14">
        <f t="shared" si="43"/>
        <v>31.970691421429557</v>
      </c>
      <c r="DR48" s="22">
        <f t="shared" si="16"/>
        <v>266.89171613041833</v>
      </c>
      <c r="DS48" s="60">
        <f t="shared" si="17"/>
        <v>560.2250494637517</v>
      </c>
      <c r="DT48" s="60">
        <f ca="1">AVERAGE(OFFSET($DS$3,0,0,'Données projet'!$E$14+1,1))-AVERAGE(OFFSET($H$3,0,0,'Données projet'!$E$14+1,1))</f>
        <v>212.19771249416107</v>
      </c>
      <c r="DU48" s="60">
        <f t="shared" si="44"/>
        <v>125.93313963856127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12.557999999999993</v>
      </c>
      <c r="D49" s="12">
        <f t="shared" si="32"/>
        <v>4.3108032327306498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130.21532320002601</v>
      </c>
      <c r="H49" s="68">
        <f t="shared" si="1"/>
        <v>286.04649896367255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178.89768000000004</v>
      </c>
      <c r="P49" s="14">
        <f t="shared" si="33"/>
        <v>45.076852665999411</v>
      </c>
      <c r="Q49" s="22">
        <f t="shared" si="53"/>
        <v>390.08897772661572</v>
      </c>
      <c r="R49" s="60">
        <f t="shared" si="0"/>
        <v>683.42231105994904</v>
      </c>
      <c r="S49" s="60">
        <f ca="1">AVERAGE(OFFSET($R$3,0,0,'Données projet'!$E$9+1,1))-AVERAGE(OFFSET($H$3,0,0,'Données projet'!$E$9+1,1))</f>
        <v>455.09463986470064</v>
      </c>
      <c r="T49" s="60">
        <f t="shared" si="34"/>
        <v>266.42568447709669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3.7048320000000019</v>
      </c>
      <c r="AI49" s="14">
        <f>IF('Données projet'!$A$62&gt;35,AI48+AH49-AQ48,IF(A49&lt;'Données projet'!$A$62,$AF$205^A49,IF(A49='Données projet'!$A$62,'Données projet'!$B$62,AI48+AH49-AQ48)))</f>
        <v>131.88096000000016</v>
      </c>
      <c r="AJ49" s="14">
        <f>AI49*VLOOKUP('Données projet'!$B$10,Paramètres!$A$1:$I$89,3,0)*VLOOKUP('Données projet'!$B$10,Paramètres!$A$1:$I$89,5,0)</f>
        <v>113.15386368000016</v>
      </c>
      <c r="AK49" s="14">
        <f t="shared" si="35"/>
        <v>30.072832532813774</v>
      </c>
      <c r="AL49" s="22">
        <f t="shared" si="4"/>
        <v>249.45316257065087</v>
      </c>
      <c r="AM49" s="60">
        <f t="shared" si="5"/>
        <v>542.78649590398413</v>
      </c>
      <c r="AN49" s="60">
        <f ca="1">AVERAGE(OFFSET($AM$3,0,0,'Données projet'!$E$10+1,1))-AVERAGE(OFFSET($H$3,0,0,'Données projet'!$E$10+1,1))</f>
        <v>201.39673092164992</v>
      </c>
      <c r="AO49" s="60">
        <f t="shared" si="36"/>
        <v>278.95637851890405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>
        <f>VLOOKUP(A49,'Données projet'!$A$87:$I$107,2,0)</f>
        <v>60.948602646016546</v>
      </c>
      <c r="BB49" s="13">
        <f>VLOOKUP(A49,'Données projet'!$A$87:$I$107,9,0)</f>
        <v>1.6557630867732014</v>
      </c>
      <c r="BC49" s="13">
        <f t="array" ref="BC49">INDEX(BB:BB,MIN(IF(ISNUMBER(BB49:BB245),ROW(BB49:BB245),"")))</f>
        <v>1.6557630867732014</v>
      </c>
      <c r="BD49" s="13">
        <f>IF('Données projet'!$A$88&gt;35,BD48+BC49-BL48,IF(A49&lt;'Données projet'!$A$88,$BA$205^A49,IF(A49='Données projet'!$A$88,'Données projet'!$B$88,BD48+BC49-BL48)))</f>
        <v>60.948602646016511</v>
      </c>
      <c r="BE49" s="14">
        <f>BD49*VLOOKUP('Données projet'!$B$11,Paramètres!$A$1:$I$89,3,0)*VLOOKUP('Données projet'!$B$11,Paramètres!$A$1:$I$89,5,0)</f>
        <v>60.851084881782889</v>
      </c>
      <c r="BF49" s="14">
        <f t="shared" si="37"/>
        <v>17.383273260981692</v>
      </c>
      <c r="BG49" s="22">
        <f t="shared" si="7"/>
        <v>136.25817376531498</v>
      </c>
      <c r="BH49" s="60">
        <f t="shared" si="8"/>
        <v>429.59150709864832</v>
      </c>
      <c r="BI49" s="60">
        <f ca="1">AVERAGE(OFFSET($BH$3,0,0,'Données projet'!$E$11+1,1))-AVERAGE(OFFSET($H$3,0,0,'Données projet'!$E$11+1,1))</f>
        <v>123.29894837876157</v>
      </c>
      <c r="BJ49" s="60">
        <f t="shared" si="38"/>
        <v>103.52963511757127</v>
      </c>
      <c r="BK49" s="16">
        <f>IF(ISNA(VLOOKUP(A49,'Données projet'!$A$87:$I$107,3,0)),0,VLOOKUP(A49,'Données projet'!$A$87:$I$107,3,0))</f>
        <v>2</v>
      </c>
      <c r="BL49" s="16">
        <f>IF(ISNA(VLOOKUP(A49,'Données projet'!$A$87:$I$107,4,0)),0,VLOOKUP(A49,'Données projet'!$A$87:$I$107,4,0))</f>
        <v>5.9350694187970658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168.52680000000007</v>
      </c>
      <c r="CA49" s="14">
        <f t="shared" si="39"/>
        <v>42.759908842532369</v>
      </c>
      <c r="CB49" s="22">
        <f t="shared" si="10"/>
        <v>367.991017900744</v>
      </c>
      <c r="CC49" s="60">
        <f t="shared" si="11"/>
        <v>661.32435123407731</v>
      </c>
      <c r="CD49" s="60">
        <f ca="1">AVERAGE(OFFSET($CC$3,0,0,'Données projet'!$E$12+1,1))-AVERAGE(OFFSET($H$3,0,0,'Données projet'!$E$12+1,1))</f>
        <v>428.49602929661046</v>
      </c>
      <c r="CE49" s="60">
        <f t="shared" si="40"/>
        <v>252.32489414103878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5.5128205128205137</v>
      </c>
      <c r="CT49" s="13">
        <f>IF('Données projet'!$A$140&gt;35,CT48+CS49-DB48,IF(A49&lt;'Données projet'!$A$140,$CQ$205^A49,IF(A49='Données projet'!$A$140,'Données projet'!$B$140,CT48+CS49-DB48)))</f>
        <v>158.71794871794867</v>
      </c>
      <c r="CU49" s="18">
        <f>CT49*VLOOKUP('Données projet'!$B$13,Paramètres!$A$1:$I$89,3,0)*VLOOKUP('Données projet'!$B$13,Paramètres!$A$1:$I$89,5,0)</f>
        <v>106.46799999999996</v>
      </c>
      <c r="CV49" s="14">
        <f t="shared" si="41"/>
        <v>28.497243809169849</v>
      </c>
      <c r="CW49" s="22">
        <f t="shared" si="13"/>
        <v>235.06446630097074</v>
      </c>
      <c r="CX49" s="60">
        <f t="shared" si="14"/>
        <v>528.39779963430408</v>
      </c>
      <c r="CY49" s="60">
        <f ca="1">AVERAGE(OFFSET($CX$3,0,0,'Données projet'!$E$13+1,1))-AVERAGE(OFFSET($H$3,0,0,'Données projet'!$E$13+1,1))</f>
        <v>226.5873967387837</v>
      </c>
      <c r="CZ49" s="60">
        <f t="shared" si="42"/>
        <v>188.57459946241204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10.402930402930403</v>
      </c>
      <c r="DO49" s="13">
        <f>IF('Données projet'!$A$166&gt;35,DO48+DN49-DW48,IF(A49&lt;'Données projet'!$A$166,$DL$205^A49,IF(A49='Données projet'!$A$166,'Données projet'!$B$166,DO48+DN49-DW48)))</f>
        <v>269.52380952380946</v>
      </c>
      <c r="DP49" s="18">
        <f>DO49*VLOOKUP('Données projet'!$B$14,Paramètres!$A$1:$I$89,3,0)*VLOOKUP('Données projet'!$B$14,Paramètres!$A$1:$I$89,5,0)</f>
        <v>126.13714285714282</v>
      </c>
      <c r="DQ49" s="14">
        <f t="shared" si="43"/>
        <v>33.102205495977692</v>
      </c>
      <c r="DR49" s="22">
        <f t="shared" si="16"/>
        <v>277.34186504835151</v>
      </c>
      <c r="DS49" s="60">
        <f t="shared" si="17"/>
        <v>570.67519838168482</v>
      </c>
      <c r="DT49" s="60">
        <f ca="1">AVERAGE(OFFSET($DS$3,0,0,'Données projet'!$E$14+1,1))-AVERAGE(OFFSET($H$3,0,0,'Données projet'!$E$14+1,1))</f>
        <v>212.19771249416107</v>
      </c>
      <c r="DU49" s="60">
        <f t="shared" si="44"/>
        <v>125.93313963856127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12.830999999999992</v>
      </c>
      <c r="D50" s="12">
        <f t="shared" si="32"/>
        <v>4.3935042117607646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132.96108514341637</v>
      </c>
      <c r="H50" s="68">
        <f t="shared" si="1"/>
        <v>286.66601150215001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187.72416000000004</v>
      </c>
      <c r="P50" s="14">
        <f t="shared" si="33"/>
        <v>47.036444603668812</v>
      </c>
      <c r="Q50" s="22">
        <f t="shared" si="53"/>
        <v>408.87471968472323</v>
      </c>
      <c r="R50" s="60">
        <f t="shared" si="0"/>
        <v>702.20805301805649</v>
      </c>
      <c r="S50" s="60">
        <f ca="1">AVERAGE(OFFSET($R$3,0,0,'Données projet'!$E$9+1,1))-AVERAGE(OFFSET($H$3,0,0,'Données projet'!$E$9+1,1))</f>
        <v>455.09463986470064</v>
      </c>
      <c r="T50" s="60">
        <f t="shared" si="34"/>
        <v>266.42568447709669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3.7048320000000019</v>
      </c>
      <c r="AI50" s="14">
        <f>IF('Données projet'!$A$62&gt;35,AI49+AH50-AQ49,IF(A50&lt;'Données projet'!$A$62,$AF$205^A50,IF(A50='Données projet'!$A$62,'Données projet'!$B$62,AI49+AH50-AQ49)))</f>
        <v>135.58579200000017</v>
      </c>
      <c r="AJ50" s="14">
        <f>AI50*VLOOKUP('Données projet'!$B$10,Paramètres!$A$1:$I$89,3,0)*VLOOKUP('Données projet'!$B$10,Paramètres!$A$1:$I$89,5,0)</f>
        <v>116.33260953600015</v>
      </c>
      <c r="AK50" s="14">
        <f t="shared" si="35"/>
        <v>30.81810169256271</v>
      </c>
      <c r="AL50" s="22">
        <f t="shared" si="4"/>
        <v>256.28748872308034</v>
      </c>
      <c r="AM50" s="60">
        <f t="shared" si="5"/>
        <v>549.62082205641366</v>
      </c>
      <c r="AN50" s="60">
        <f ca="1">AVERAGE(OFFSET($AM$3,0,0,'Données projet'!$E$10+1,1))-AVERAGE(OFFSET($H$3,0,0,'Données projet'!$E$10+1,1))</f>
        <v>201.39673092164992</v>
      </c>
      <c r="AO50" s="60">
        <f t="shared" si="36"/>
        <v>278.95637851890405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1.6756925030589989</v>
      </c>
      <c r="BD50" s="13">
        <f>IF('Données projet'!$A$88&gt;35,BD49+BC50-BL49,IF(A50&lt;'Données projet'!$A$88,$BA$205^A50,IF(A50='Données projet'!$A$88,'Données projet'!$B$88,BD49+BC50-BL49)))</f>
        <v>56.689225730278444</v>
      </c>
      <c r="BE50" s="14">
        <f>BD50*VLOOKUP('Données projet'!$B$11,Paramètres!$A$1:$I$89,3,0)*VLOOKUP('Données projet'!$B$11,Paramètres!$A$1:$I$89,5,0)</f>
        <v>56.598522969110007</v>
      </c>
      <c r="BF50" s="14">
        <f t="shared" si="37"/>
        <v>16.305369661454545</v>
      </c>
      <c r="BG50" s="22">
        <f t="shared" si="7"/>
        <v>126.97427966489994</v>
      </c>
      <c r="BH50" s="60">
        <f t="shared" si="8"/>
        <v>420.30761299823325</v>
      </c>
      <c r="BI50" s="60">
        <f ca="1">AVERAGE(OFFSET($BH$3,0,0,'Données projet'!$E$11+1,1))-AVERAGE(OFFSET($H$3,0,0,'Données projet'!$E$11+1,1))</f>
        <v>123.29894837876157</v>
      </c>
      <c r="BJ50" s="60">
        <f t="shared" si="38"/>
        <v>103.52963511757127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176.84160000000006</v>
      </c>
      <c r="CA50" s="14">
        <f t="shared" si="39"/>
        <v>44.618778032982952</v>
      </c>
      <c r="CB50" s="22">
        <f t="shared" si="10"/>
        <v>385.71015840744536</v>
      </c>
      <c r="CC50" s="60">
        <f t="shared" si="11"/>
        <v>679.04349174077868</v>
      </c>
      <c r="CD50" s="60">
        <f ca="1">AVERAGE(OFFSET($CC$3,0,0,'Données projet'!$E$12+1,1))-AVERAGE(OFFSET($H$3,0,0,'Données projet'!$E$12+1,1))</f>
        <v>428.49602929661046</v>
      </c>
      <c r="CE50" s="60">
        <f t="shared" si="40"/>
        <v>252.32489414103878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5.5128205128205137</v>
      </c>
      <c r="CT50" s="13">
        <f>IF('Données projet'!$A$140&gt;35,CT49+CS50-DB49,IF(A50&lt;'Données projet'!$A$140,$CQ$205^A50,IF(A50='Données projet'!$A$140,'Données projet'!$B$140,CT49+CS50-DB49)))</f>
        <v>164.2307692307692</v>
      </c>
      <c r="CU50" s="18">
        <f>CT50*VLOOKUP('Données projet'!$B$13,Paramètres!$A$1:$I$89,3,0)*VLOOKUP('Données projet'!$B$13,Paramètres!$A$1:$I$89,5,0)</f>
        <v>110.16599999999998</v>
      </c>
      <c r="CV50" s="14">
        <f t="shared" si="41"/>
        <v>29.370092034164426</v>
      </c>
      <c r="CW50" s="22">
        <f t="shared" si="13"/>
        <v>243.02536029283627</v>
      </c>
      <c r="CX50" s="60">
        <f t="shared" si="14"/>
        <v>536.35869362616961</v>
      </c>
      <c r="CY50" s="60">
        <f ca="1">AVERAGE(OFFSET($CX$3,0,0,'Données projet'!$E$13+1,1))-AVERAGE(OFFSET($H$3,0,0,'Données projet'!$E$13+1,1))</f>
        <v>226.5873967387837</v>
      </c>
      <c r="CZ50" s="60">
        <f t="shared" si="42"/>
        <v>188.57459946241204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10.402930402930403</v>
      </c>
      <c r="DO50" s="13">
        <f>IF('Données projet'!$A$166&gt;35,DO49+DN50-DW49,IF(A50&lt;'Données projet'!$A$166,$DL$205^A50,IF(A50='Données projet'!$A$166,'Données projet'!$B$166,DO49+DN50-DW49)))</f>
        <v>279.92673992673986</v>
      </c>
      <c r="DP50" s="18">
        <f>DO50*VLOOKUP('Données projet'!$B$14,Paramètres!$A$1:$I$89,3,0)*VLOOKUP('Données projet'!$B$14,Paramètres!$A$1:$I$89,5,0)</f>
        <v>131.00571428571425</v>
      </c>
      <c r="DQ50" s="14">
        <f t="shared" si="43"/>
        <v>34.228646041091935</v>
      </c>
      <c r="DR50" s="22">
        <f t="shared" si="16"/>
        <v>287.78317756918744</v>
      </c>
      <c r="DS50" s="60">
        <f t="shared" si="17"/>
        <v>581.11651090252076</v>
      </c>
      <c r="DT50" s="60">
        <f ca="1">AVERAGE(OFFSET($DS$3,0,0,'Données projet'!$E$14+1,1))-AVERAGE(OFFSET($H$3,0,0,'Données projet'!$E$14+1,1))</f>
        <v>212.19771249416107</v>
      </c>
      <c r="DU50" s="60">
        <f t="shared" si="44"/>
        <v>125.93313963856127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13.103999999999992</v>
      </c>
      <c r="D51" s="12">
        <f t="shared" si="32"/>
        <v>4.4760006109979766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135.70526787437032</v>
      </c>
      <c r="H51" s="68">
        <f t="shared" si="1"/>
        <v>287.28516773082146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196.55064000000002</v>
      </c>
      <c r="P51" s="14">
        <f t="shared" si="33"/>
        <v>48.985336952319578</v>
      </c>
      <c r="Q51" s="22">
        <f t="shared" si="53"/>
        <v>427.6418265252899</v>
      </c>
      <c r="R51" s="60">
        <f t="shared" si="0"/>
        <v>720.97515985862321</v>
      </c>
      <c r="S51" s="60">
        <f ca="1">AVERAGE(OFFSET($R$3,0,0,'Données projet'!$E$9+1,1))-AVERAGE(OFFSET($H$3,0,0,'Données projet'!$E$9+1,1))</f>
        <v>455.09463986470064</v>
      </c>
      <c r="T51" s="60">
        <f t="shared" si="34"/>
        <v>266.42568447709669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3.7048320000000019</v>
      </c>
      <c r="AI51" s="14">
        <f>IF('Données projet'!$A$62&gt;35,AI50+AH51-AQ50,IF(A51&lt;'Données projet'!$A$62,$AF$205^A51,IF(A51='Données projet'!$A$62,'Données projet'!$B$62,AI50+AH51-AQ50)))</f>
        <v>139.29062400000018</v>
      </c>
      <c r="AJ51" s="14">
        <f>AI51*VLOOKUP('Données projet'!$B$10,Paramètres!$A$1:$I$89,3,0)*VLOOKUP('Données projet'!$B$10,Paramètres!$A$1:$I$89,5,0)</f>
        <v>119.51135539200016</v>
      </c>
      <c r="AK51" s="14">
        <f t="shared" si="35"/>
        <v>31.561003913090374</v>
      </c>
      <c r="AL51" s="22">
        <f t="shared" si="4"/>
        <v>263.11769245636594</v>
      </c>
      <c r="AM51" s="60">
        <f t="shared" si="5"/>
        <v>556.45102578969932</v>
      </c>
      <c r="AN51" s="60">
        <f ca="1">AVERAGE(OFFSET($AM$3,0,0,'Données projet'!$E$10+1,1))-AVERAGE(OFFSET($H$3,0,0,'Données projet'!$E$10+1,1))</f>
        <v>201.39673092164992</v>
      </c>
      <c r="AO51" s="60">
        <f t="shared" si="36"/>
        <v>278.95637851890405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1.6756925030589989</v>
      </c>
      <c r="BD51" s="13">
        <f>IF('Données projet'!$A$88&gt;35,BD50+BC51-BL50,IF(A51&lt;'Données projet'!$A$88,$BA$205^A51,IF(A51='Données projet'!$A$88,'Données projet'!$B$88,BD50+BC51-BL50)))</f>
        <v>58.364918233337441</v>
      </c>
      <c r="BE51" s="14">
        <f>BD51*VLOOKUP('Données projet'!$B$11,Paramètres!$A$1:$I$89,3,0)*VLOOKUP('Données projet'!$B$11,Paramètres!$A$1:$I$89,5,0)</f>
        <v>58.271534364164097</v>
      </c>
      <c r="BF51" s="14">
        <f t="shared" si="37"/>
        <v>16.730517995859707</v>
      </c>
      <c r="BG51" s="22">
        <f t="shared" si="7"/>
        <v>130.62857452704148</v>
      </c>
      <c r="BH51" s="60">
        <f t="shared" si="8"/>
        <v>423.96190786037482</v>
      </c>
      <c r="BI51" s="60">
        <f ca="1">AVERAGE(OFFSET($BH$3,0,0,'Données projet'!$E$11+1,1))-AVERAGE(OFFSET($H$3,0,0,'Données projet'!$E$11+1,1))</f>
        <v>123.29894837876157</v>
      </c>
      <c r="BJ51" s="60">
        <f t="shared" si="38"/>
        <v>103.52963511757127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185.15640000000002</v>
      </c>
      <c r="CA51" s="14">
        <f t="shared" si="39"/>
        <v>46.467497591770453</v>
      </c>
      <c r="CB51" s="22">
        <f t="shared" si="10"/>
        <v>403.4116216390002</v>
      </c>
      <c r="CC51" s="60">
        <f t="shared" si="11"/>
        <v>696.74495497233352</v>
      </c>
      <c r="CD51" s="60">
        <f ca="1">AVERAGE(OFFSET($CC$3,0,0,'Données projet'!$E$12+1,1))-AVERAGE(OFFSET($H$3,0,0,'Données projet'!$E$12+1,1))</f>
        <v>428.49602929661046</v>
      </c>
      <c r="CE51" s="60">
        <f t="shared" si="40"/>
        <v>252.32489414103878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5.5128205128205137</v>
      </c>
      <c r="CT51" s="13">
        <f>IF('Données projet'!$A$140&gt;35,CT50+CS51-DB50,IF(A51&lt;'Données projet'!$A$140,$CQ$205^A51,IF(A51='Données projet'!$A$140,'Données projet'!$B$140,CT50+CS51-DB50)))</f>
        <v>169.74358974358972</v>
      </c>
      <c r="CU51" s="18">
        <f>CT51*VLOOKUP('Données projet'!$B$13,Paramètres!$A$1:$I$89,3,0)*VLOOKUP('Données projet'!$B$13,Paramètres!$A$1:$I$89,5,0)</f>
        <v>113.86399999999999</v>
      </c>
      <c r="CV51" s="14">
        <f t="shared" si="41"/>
        <v>30.239535792902171</v>
      </c>
      <c r="CW51" s="22">
        <f t="shared" si="13"/>
        <v>250.98032483930456</v>
      </c>
      <c r="CX51" s="60">
        <f t="shared" si="14"/>
        <v>544.31365817263782</v>
      </c>
      <c r="CY51" s="60">
        <f ca="1">AVERAGE(OFFSET($CX$3,0,0,'Données projet'!$E$13+1,1))-AVERAGE(OFFSET($H$3,0,0,'Données projet'!$E$13+1,1))</f>
        <v>226.5873967387837</v>
      </c>
      <c r="CZ51" s="60">
        <f t="shared" si="42"/>
        <v>188.57459946241204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10.402930402930403</v>
      </c>
      <c r="DO51" s="13">
        <f>IF('Données projet'!$A$166&gt;35,DO50+DN51-DW50,IF(A51&lt;'Données projet'!$A$166,$DL$205^A51,IF(A51='Données projet'!$A$166,'Données projet'!$B$166,DO50+DN51-DW50)))</f>
        <v>290.32967032967025</v>
      </c>
      <c r="DP51" s="18">
        <f>DO51*VLOOKUP('Données projet'!$B$14,Paramètres!$A$1:$I$89,3,0)*VLOOKUP('Données projet'!$B$14,Paramètres!$A$1:$I$89,5,0)</f>
        <v>135.87428571428569</v>
      </c>
      <c r="DQ51" s="14">
        <f t="shared" si="43"/>
        <v>35.350223195357941</v>
      </c>
      <c r="DR51" s="22">
        <f t="shared" si="16"/>
        <v>298.21601968429599</v>
      </c>
      <c r="DS51" s="60">
        <f t="shared" si="17"/>
        <v>591.5493530176293</v>
      </c>
      <c r="DT51" s="60">
        <f ca="1">AVERAGE(OFFSET($DS$3,0,0,'Données projet'!$E$14+1,1))-AVERAGE(OFFSET($H$3,0,0,'Données projet'!$E$14+1,1))</f>
        <v>212.19771249416107</v>
      </c>
      <c r="DU51" s="60">
        <f t="shared" si="44"/>
        <v>125.93313963856127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13.376999999999992</v>
      </c>
      <c r="D52" s="12">
        <f t="shared" si="32"/>
        <v>4.5582971835568689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138.44790808359684</v>
      </c>
      <c r="H52" s="68">
        <f t="shared" si="1"/>
        <v>287.90397592802822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205.37711999999999</v>
      </c>
      <c r="P52" s="14">
        <f t="shared" si="33"/>
        <v>50.924065093909938</v>
      </c>
      <c r="Q52" s="22">
        <f t="shared" si="53"/>
        <v>446.39123070522641</v>
      </c>
      <c r="R52" s="60">
        <f t="shared" si="0"/>
        <v>739.72456403855972</v>
      </c>
      <c r="S52" s="60">
        <f ca="1">AVERAGE(OFFSET($R$3,0,0,'Données projet'!$E$9+1,1))-AVERAGE(OFFSET($H$3,0,0,'Données projet'!$E$9+1,1))</f>
        <v>455.09463986470064</v>
      </c>
      <c r="T52" s="60">
        <f t="shared" si="34"/>
        <v>266.42568447709669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3.7048320000000019</v>
      </c>
      <c r="AI52" s="14">
        <f>IF('Données projet'!$A$62&gt;35,AI51+AH52-AQ51,IF(A52&lt;'Données projet'!$A$62,$AF$205^A52,IF(A52='Données projet'!$A$62,'Données projet'!$B$62,AI51+AH52-AQ51)))</f>
        <v>142.99545600000019</v>
      </c>
      <c r="AJ52" s="14">
        <f>AI52*VLOOKUP('Données projet'!$B$10,Paramètres!$A$1:$I$89,3,0)*VLOOKUP('Données projet'!$B$10,Paramètres!$A$1:$I$89,5,0)</f>
        <v>122.69010124800019</v>
      </c>
      <c r="AK52" s="14">
        <f t="shared" si="35"/>
        <v>32.301609385996422</v>
      </c>
      <c r="AL52" s="22">
        <f t="shared" si="4"/>
        <v>269.94389602087739</v>
      </c>
      <c r="AM52" s="60">
        <f t="shared" si="5"/>
        <v>563.2772293542107</v>
      </c>
      <c r="AN52" s="60">
        <f ca="1">AVERAGE(OFFSET($AM$3,0,0,'Données projet'!$E$10+1,1))-AVERAGE(OFFSET($H$3,0,0,'Données projet'!$E$10+1,1))</f>
        <v>201.39673092164992</v>
      </c>
      <c r="AO52" s="60">
        <f t="shared" si="36"/>
        <v>278.95637851890405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1.6756925030589989</v>
      </c>
      <c r="BD52" s="13">
        <f>IF('Données projet'!$A$88&gt;35,BD51+BC52-BL51,IF(A52&lt;'Données projet'!$A$88,$BA$205^A52,IF(A52='Données projet'!$A$88,'Données projet'!$B$88,BD51+BC52-BL51)))</f>
        <v>60.040610736396438</v>
      </c>
      <c r="BE52" s="14">
        <f>BD52*VLOOKUP('Données projet'!$B$11,Paramètres!$A$1:$I$89,3,0)*VLOOKUP('Données projet'!$B$11,Paramètres!$A$1:$I$89,5,0)</f>
        <v>59.944545759218208</v>
      </c>
      <c r="BF52" s="14">
        <f t="shared" si="37"/>
        <v>17.154247686116705</v>
      </c>
      <c r="BG52" s="22">
        <f t="shared" si="7"/>
        <v>134.28039858395829</v>
      </c>
      <c r="BH52" s="60">
        <f t="shared" si="8"/>
        <v>427.6137319172916</v>
      </c>
      <c r="BI52" s="60">
        <f ca="1">AVERAGE(OFFSET($BH$3,0,0,'Données projet'!$E$11+1,1))-AVERAGE(OFFSET($H$3,0,0,'Données projet'!$E$11+1,1))</f>
        <v>123.29894837876157</v>
      </c>
      <c r="BJ52" s="60">
        <f t="shared" si="38"/>
        <v>103.52963511757127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193.47120000000001</v>
      </c>
      <c r="CA52" s="14">
        <f t="shared" si="39"/>
        <v>48.306575382296536</v>
      </c>
      <c r="CB52" s="22">
        <f t="shared" si="10"/>
        <v>421.09629212416644</v>
      </c>
      <c r="CC52" s="60">
        <f t="shared" si="11"/>
        <v>714.4296254574997</v>
      </c>
      <c r="CD52" s="60">
        <f ca="1">AVERAGE(OFFSET($CC$3,0,0,'Données projet'!$E$12+1,1))-AVERAGE(OFFSET($H$3,0,0,'Données projet'!$E$12+1,1))</f>
        <v>428.49602929661046</v>
      </c>
      <c r="CE52" s="60">
        <f t="shared" si="40"/>
        <v>252.32489414103878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5.5128205128205137</v>
      </c>
      <c r="CT52" s="13">
        <f>IF('Données projet'!$A$140&gt;35,CT51+CS52-DB51,IF(A52&lt;'Données projet'!$A$140,$CQ$205^A52,IF(A52='Données projet'!$A$140,'Données projet'!$B$140,CT51+CS52-DB51)))</f>
        <v>175.25641025641025</v>
      </c>
      <c r="CU52" s="18">
        <f>CT52*VLOOKUP('Données projet'!$B$13,Paramètres!$A$1:$I$89,3,0)*VLOOKUP('Données projet'!$B$13,Paramètres!$A$1:$I$89,5,0)</f>
        <v>117.56200000000001</v>
      </c>
      <c r="CV52" s="14">
        <f t="shared" si="41"/>
        <v>31.10569833447618</v>
      </c>
      <c r="CW52" s="22">
        <f t="shared" si="13"/>
        <v>258.92957459921269</v>
      </c>
      <c r="CX52" s="60">
        <f t="shared" si="14"/>
        <v>552.262907932546</v>
      </c>
      <c r="CY52" s="60">
        <f ca="1">AVERAGE(OFFSET($CX$3,0,0,'Données projet'!$E$13+1,1))-AVERAGE(OFFSET($H$3,0,0,'Données projet'!$E$13+1,1))</f>
        <v>226.5873967387837</v>
      </c>
      <c r="CZ52" s="60">
        <f t="shared" si="42"/>
        <v>188.57459946241204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10.402930402930403</v>
      </c>
      <c r="DO52" s="13">
        <f>IF('Données projet'!$A$166&gt;35,DO51+DN52-DW51,IF(A52&lt;'Données projet'!$A$166,$DL$205^A52,IF(A52='Données projet'!$A$166,'Données projet'!$B$166,DO51+DN52-DW51)))</f>
        <v>300.73260073260064</v>
      </c>
      <c r="DP52" s="18">
        <f>DO52*VLOOKUP('Données projet'!$B$14,Paramètres!$A$1:$I$89,3,0)*VLOOKUP('Données projet'!$B$14,Paramètres!$A$1:$I$89,5,0)</f>
        <v>140.7428571428571</v>
      </c>
      <c r="DQ52" s="14">
        <f t="shared" si="43"/>
        <v>36.467131184587252</v>
      </c>
      <c r="DR52" s="22">
        <f t="shared" si="16"/>
        <v>308.64072967029892</v>
      </c>
      <c r="DS52" s="60">
        <f t="shared" si="17"/>
        <v>601.97406300363218</v>
      </c>
      <c r="DT52" s="60">
        <f ca="1">AVERAGE(OFFSET($DS$3,0,0,'Données projet'!$E$14+1,1))-AVERAGE(OFFSET($H$3,0,0,'Données projet'!$E$14+1,1))</f>
        <v>212.19771249416107</v>
      </c>
      <c r="DU52" s="60">
        <f t="shared" si="44"/>
        <v>125.93313963856127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13.649999999999991</v>
      </c>
      <c r="D53" s="12">
        <f t="shared" si="32"/>
        <v>4.6403984774572091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141.18904087861702</v>
      </c>
      <c r="H53" s="68">
        <f t="shared" si="1"/>
        <v>288.52244401490464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214.20360000000002</v>
      </c>
      <c r="P53" s="14">
        <f t="shared" si="33"/>
        <v>52.853115789602029</v>
      </c>
      <c r="Q53" s="22">
        <f t="shared" si="53"/>
        <v>465.12378000022358</v>
      </c>
      <c r="R53" s="60">
        <f t="shared" si="0"/>
        <v>758.45711333355689</v>
      </c>
      <c r="S53" s="60">
        <f ca="1">AVERAGE(OFFSET($R$3,0,0,'Données projet'!$E$9+1,1))-AVERAGE(OFFSET($H$3,0,0,'Données projet'!$E$9+1,1))</f>
        <v>455.09463986470064</v>
      </c>
      <c r="T53" s="60">
        <f t="shared" si="34"/>
        <v>266.42568447709669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3.7048320000000019</v>
      </c>
      <c r="AI53" s="14">
        <f>IF('Données projet'!$A$62&gt;35,AI52+AH53-AQ52,IF(A53&lt;'Données projet'!$A$62,$AF$205^A53,IF(A53='Données projet'!$A$62,'Données projet'!$B$62,AI52+AH53-AQ52)))</f>
        <v>146.7002880000002</v>
      </c>
      <c r="AJ53" s="14">
        <f>AI53*VLOOKUP('Données projet'!$B$10,Paramètres!$A$1:$I$89,3,0)*VLOOKUP('Données projet'!$B$10,Paramètres!$A$1:$I$89,5,0)</f>
        <v>125.8688471040002</v>
      </c>
      <c r="AK53" s="14">
        <f t="shared" si="35"/>
        <v>33.039984458546549</v>
      </c>
      <c r="AL53" s="22">
        <f t="shared" si="4"/>
        <v>276.76621497143555</v>
      </c>
      <c r="AM53" s="60">
        <f t="shared" si="5"/>
        <v>570.09954830476886</v>
      </c>
      <c r="AN53" s="60">
        <f ca="1">AVERAGE(OFFSET($AM$3,0,0,'Données projet'!$E$10+1,1))-AVERAGE(OFFSET($H$3,0,0,'Données projet'!$E$10+1,1))</f>
        <v>201.39673092164992</v>
      </c>
      <c r="AO53" s="60">
        <f t="shared" si="36"/>
        <v>278.95637851890405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1.6756925030589989</v>
      </c>
      <c r="BD53" s="13">
        <f>IF('Données projet'!$A$88&gt;35,BD52+BC53-BL52,IF(A53&lt;'Données projet'!$A$88,$BA$205^A53,IF(A53='Données projet'!$A$88,'Données projet'!$B$88,BD52+BC53-BL52)))</f>
        <v>61.716303239455435</v>
      </c>
      <c r="BE53" s="14">
        <f>BD53*VLOOKUP('Données projet'!$B$11,Paramètres!$A$1:$I$89,3,0)*VLOOKUP('Données projet'!$B$11,Paramètres!$A$1:$I$89,5,0)</f>
        <v>61.617557154272312</v>
      </c>
      <c r="BF53" s="14">
        <f t="shared" si="37"/>
        <v>17.576602874175482</v>
      </c>
      <c r="BG53" s="22">
        <f t="shared" si="7"/>
        <v>137.92982871621322</v>
      </c>
      <c r="BH53" s="60">
        <f t="shared" si="8"/>
        <v>431.26316204954651</v>
      </c>
      <c r="BI53" s="60">
        <f ca="1">AVERAGE(OFFSET($BH$3,0,0,'Données projet'!$E$11+1,1))-AVERAGE(OFFSET($H$3,0,0,'Données projet'!$E$11+1,1))</f>
        <v>123.29894837876157</v>
      </c>
      <c r="BJ53" s="60">
        <f t="shared" si="38"/>
        <v>103.52963511757127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201.786</v>
      </c>
      <c r="CA53" s="14">
        <f t="shared" si="39"/>
        <v>50.136473146268756</v>
      </c>
      <c r="CB53" s="22">
        <f t="shared" si="10"/>
        <v>438.76497406308476</v>
      </c>
      <c r="CC53" s="60">
        <f t="shared" si="11"/>
        <v>732.09830739641802</v>
      </c>
      <c r="CD53" s="60">
        <f ca="1">AVERAGE(OFFSET($CC$3,0,0,'Données projet'!$E$12+1,1))-AVERAGE(OFFSET($H$3,0,0,'Données projet'!$E$12+1,1))</f>
        <v>428.49602929661046</v>
      </c>
      <c r="CE53" s="60">
        <f t="shared" si="40"/>
        <v>252.32489414103878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180.76923076923077</v>
      </c>
      <c r="CR53" s="13">
        <f>VLOOKUP(A53,'Données projet'!$A$139:$I$159,9,0)</f>
        <v>5.5128205128205137</v>
      </c>
      <c r="CS53" s="13">
        <f t="array" ref="CS53">INDEX(CR:CR,MIN(IF(ISNUMBER(CR53:CR249),ROW(CR53:CR249),"")))</f>
        <v>5.5128205128205137</v>
      </c>
      <c r="CT53" s="13">
        <f>IF('Données projet'!$A$140&gt;35,CT52+CS53-DB52,IF(A53&lt;'Données projet'!$A$140,$CQ$205^A53,IF(A53='Données projet'!$A$140,'Données projet'!$B$140,CT52+CS53-DB52)))</f>
        <v>180.76923076923077</v>
      </c>
      <c r="CU53" s="18">
        <f>CT53*VLOOKUP('Données projet'!$B$13,Paramètres!$A$1:$I$89,3,0)*VLOOKUP('Données projet'!$B$13,Paramètres!$A$1:$I$89,5,0)</f>
        <v>121.25999999999999</v>
      </c>
      <c r="CV53" s="14">
        <f t="shared" si="41"/>
        <v>31.968694713827716</v>
      </c>
      <c r="CW53" s="22">
        <f t="shared" si="13"/>
        <v>266.87330995991658</v>
      </c>
      <c r="CX53" s="60">
        <f t="shared" si="14"/>
        <v>560.20664329324995</v>
      </c>
      <c r="CY53" s="60">
        <f ca="1">AVERAGE(OFFSET($CX$3,0,0,'Données projet'!$E$13+1,1))-AVERAGE(OFFSET($H$3,0,0,'Données projet'!$E$13+1,1))</f>
        <v>226.5873967387837</v>
      </c>
      <c r="CZ53" s="60">
        <f t="shared" si="42"/>
        <v>188.57459946241204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28.205128205128204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10.402930402930403</v>
      </c>
      <c r="DO53" s="13">
        <f>IF('Données projet'!$A$166&gt;35,DO52+DN53-DW52,IF(A53&lt;'Données projet'!$A$166,$DL$205^A53,IF(A53='Données projet'!$A$166,'Données projet'!$B$166,DO52+DN53-DW52)))</f>
        <v>311.13553113553104</v>
      </c>
      <c r="DP53" s="18">
        <f>DO53*VLOOKUP('Données projet'!$B$14,Paramètres!$A$1:$I$89,3,0)*VLOOKUP('Données projet'!$B$14,Paramètres!$A$1:$I$89,5,0)</f>
        <v>145.61142857142852</v>
      </c>
      <c r="DQ53" s="14">
        <f t="shared" si="43"/>
        <v>37.579550035203404</v>
      </c>
      <c r="DR53" s="22">
        <f t="shared" si="16"/>
        <v>319.05762107321726</v>
      </c>
      <c r="DS53" s="60">
        <f t="shared" si="17"/>
        <v>612.39095440655058</v>
      </c>
      <c r="DT53" s="60">
        <f ca="1">AVERAGE(OFFSET($DS$3,0,0,'Données projet'!$E$14+1,1))-AVERAGE(OFFSET($H$3,0,0,'Données projet'!$E$14+1,1))</f>
        <v>212.19771249416107</v>
      </c>
      <c r="DU53" s="60">
        <f t="shared" si="44"/>
        <v>125.93313963856127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13.922999999999991</v>
      </c>
      <c r="D54" s="12">
        <f t="shared" si="32"/>
        <v>4.7223088483956221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143.92869988235211</v>
      </c>
      <c r="H54" s="68">
        <f t="shared" si="1"/>
        <v>289.14057957762236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177.60599999999999</v>
      </c>
      <c r="P54" s="14">
        <f t="shared" si="33"/>
        <v>44.789150937858665</v>
      </c>
      <c r="Q54" s="22">
        <f t="shared" si="53"/>
        <v>387.33822121677048</v>
      </c>
      <c r="R54" s="60">
        <f t="shared" si="0"/>
        <v>680.67155455010379</v>
      </c>
      <c r="S54" s="60">
        <f ca="1">AVERAGE(OFFSET($R$3,0,0,'Données projet'!$E$9+1,1))-AVERAGE(OFFSET($H$3,0,0,'Données projet'!$E$9+1,1))</f>
        <v>455.09463986470064</v>
      </c>
      <c r="T54" s="60">
        <f t="shared" si="34"/>
        <v>266.42568447709669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150.40512000000001</v>
      </c>
      <c r="AG54" s="13">
        <f>VLOOKUP(A54,'Données projet'!$A$61:$I$81,9,0)</f>
        <v>3.7048320000000019</v>
      </c>
      <c r="AH54" s="13">
        <f t="array" ref="AH54">INDEX(AG:AG,MIN(IF(ISNUMBER(AG54:AG250),ROW(AG54:AG250),"")))</f>
        <v>3.7048320000000019</v>
      </c>
      <c r="AI54" s="14">
        <f>IF('Données projet'!$A$62&gt;35,AI53+AH54-AQ53,IF(A54&lt;'Données projet'!$A$62,$AF$205^A54,IF(A54='Données projet'!$A$62,'Données projet'!$B$62,AI53+AH54-AQ53)))</f>
        <v>150.40512000000021</v>
      </c>
      <c r="AJ54" s="14">
        <f>AI54*VLOOKUP('Données projet'!$B$10,Paramètres!$A$1:$I$89,3,0)*VLOOKUP('Données projet'!$B$10,Paramètres!$A$1:$I$89,5,0)</f>
        <v>129.0475929600002</v>
      </c>
      <c r="AK54" s="14">
        <f t="shared" si="35"/>
        <v>33.776191935918078</v>
      </c>
      <c r="AL54" s="22">
        <f t="shared" si="4"/>
        <v>283.58475869372427</v>
      </c>
      <c r="AM54" s="60">
        <f t="shared" si="5"/>
        <v>576.91809202705758</v>
      </c>
      <c r="AN54" s="60">
        <f ca="1">AVERAGE(OFFSET($AM$3,0,0,'Données projet'!$E$10+1,1))-AVERAGE(OFFSET($H$3,0,0,'Données projet'!$E$10+1,1))</f>
        <v>201.39673092164992</v>
      </c>
      <c r="AO54" s="60">
        <f t="shared" si="36"/>
        <v>278.95637851890405</v>
      </c>
      <c r="AP54" s="16">
        <f>IF(ISNA(VLOOKUP(A54,'Données projet'!$A$61:$I$81,3,0)),0,VLOOKUP(A54,'Données projet'!$A$61:$I$81,3,0))</f>
        <v>4</v>
      </c>
      <c r="AQ54" s="16">
        <f>IF(ISNA(VLOOKUP(A54,'Données projet'!$A$61:$I$81,4,0)),0,VLOOKUP(A54,'Données projet'!$A$61:$I$81,4,0))</f>
        <v>37.601280000000003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1.6756925030589989</v>
      </c>
      <c r="BD54" s="13">
        <f>IF('Données projet'!$A$88&gt;35,BD53+BC54-BL53,IF(A54&lt;'Données projet'!$A$88,$BA$205^A54,IF(A54='Données projet'!$A$88,'Données projet'!$B$88,BD53+BC54-BL53)))</f>
        <v>63.391995742514432</v>
      </c>
      <c r="BE54" s="14">
        <f>BD54*VLOOKUP('Données projet'!$B$11,Paramètres!$A$1:$I$89,3,0)*VLOOKUP('Données projet'!$B$11,Paramètres!$A$1:$I$89,5,0)</f>
        <v>63.290568549326409</v>
      </c>
      <c r="BF54" s="14">
        <f t="shared" si="37"/>
        <v>17.9976251684981</v>
      </c>
      <c r="BG54" s="22">
        <f t="shared" si="7"/>
        <v>141.57693739187769</v>
      </c>
      <c r="BH54" s="60">
        <f t="shared" si="8"/>
        <v>434.91027072521103</v>
      </c>
      <c r="BI54" s="60">
        <f ca="1">AVERAGE(OFFSET($BH$3,0,0,'Données projet'!$E$11+1,1))-AVERAGE(OFFSET($H$3,0,0,'Données projet'!$E$11+1,1))</f>
        <v>123.29894837876157</v>
      </c>
      <c r="BJ54" s="60">
        <f t="shared" si="38"/>
        <v>103.52963511757127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167.31</v>
      </c>
      <c r="CA54" s="14">
        <f t="shared" si="39"/>
        <v>42.486994942347515</v>
      </c>
      <c r="CB54" s="22">
        <f t="shared" si="10"/>
        <v>365.39643285792187</v>
      </c>
      <c r="CC54" s="60">
        <f t="shared" si="11"/>
        <v>658.72976619125518</v>
      </c>
      <c r="CD54" s="60">
        <f ca="1">AVERAGE(OFFSET($CC$3,0,0,'Données projet'!$E$12+1,1))-AVERAGE(OFFSET($H$3,0,0,'Données projet'!$E$12+1,1))</f>
        <v>428.49602929661046</v>
      </c>
      <c r="CE54" s="60">
        <f t="shared" si="40"/>
        <v>252.32489414103878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5.1282051282051269</v>
      </c>
      <c r="CT54" s="13">
        <f>IF('Données projet'!$A$140&gt;35,CT53+CS54-DB53,IF(A54&lt;'Données projet'!$A$140,$CQ$205^A54,IF(A54='Données projet'!$A$140,'Données projet'!$B$140,CT53+CS54-DB53)))</f>
        <v>157.69230769230771</v>
      </c>
      <c r="CU54" s="18">
        <f>CT54*VLOOKUP('Données projet'!$B$13,Paramètres!$A$1:$I$89,3,0)*VLOOKUP('Données projet'!$B$13,Paramètres!$A$1:$I$89,5,0)</f>
        <v>105.78</v>
      </c>
      <c r="CV54" s="14">
        <f t="shared" si="41"/>
        <v>28.334467347129131</v>
      </c>
      <c r="CW54" s="22">
        <f t="shared" si="13"/>
        <v>233.58269729624988</v>
      </c>
      <c r="CX54" s="60">
        <f t="shared" si="14"/>
        <v>526.91603062958325</v>
      </c>
      <c r="CY54" s="60">
        <f ca="1">AVERAGE(OFFSET($CX$3,0,0,'Données projet'!$E$13+1,1))-AVERAGE(OFFSET($H$3,0,0,'Données projet'!$E$13+1,1))</f>
        <v>226.5873967387837</v>
      </c>
      <c r="CZ54" s="60">
        <f t="shared" si="42"/>
        <v>188.57459946241204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>
        <f>VLOOKUP(A54,'Données projet'!$A$165:$I$185,2,0)</f>
        <v>321.53846153846155</v>
      </c>
      <c r="DM54" s="13">
        <f>VLOOKUP(A54,'Données projet'!$A$165:$I$185,9,0)</f>
        <v>10.402930402930403</v>
      </c>
      <c r="DN54" s="13">
        <f t="array" ref="DN54">INDEX(DM:DM,MIN(IF(ISNUMBER(DM54:DM250),ROW(DM54:DM250),"")))</f>
        <v>10.402930402930403</v>
      </c>
      <c r="DO54" s="13">
        <f>IF('Données projet'!$A$166&gt;35,DO53+DN54-DW53,IF(A54&lt;'Données projet'!$A$166,$DL$205^A54,IF(A54='Données projet'!$A$166,'Données projet'!$B$166,DO53+DN54-DW53)))</f>
        <v>321.53846153846143</v>
      </c>
      <c r="DP54" s="18">
        <f>DO54*VLOOKUP('Données projet'!$B$14,Paramètres!$A$1:$I$89,3,0)*VLOOKUP('Données projet'!$B$14,Paramètres!$A$1:$I$89,5,0)</f>
        <v>150.47999999999996</v>
      </c>
      <c r="DQ54" s="14">
        <f t="shared" si="43"/>
        <v>38.687647052039566</v>
      </c>
      <c r="DR54" s="22">
        <f t="shared" si="16"/>
        <v>329.46698528230218</v>
      </c>
      <c r="DS54" s="60">
        <f t="shared" si="17"/>
        <v>622.80031861563543</v>
      </c>
      <c r="DT54" s="60">
        <f ca="1">AVERAGE(OFFSET($DS$3,0,0,'Données projet'!$E$14+1,1))-AVERAGE(OFFSET($H$3,0,0,'Données projet'!$E$14+1,1))</f>
        <v>212.19771249416107</v>
      </c>
      <c r="DU54" s="60">
        <f t="shared" si="44"/>
        <v>125.93313963856127</v>
      </c>
      <c r="DV54" s="16">
        <f>IF(ISNA(VLOOKUP(A54,'Données projet'!$A$165:$I$185,3,0)),0,VLOOKUP(A54,'Données projet'!$A$165:$I$185,3,0))</f>
        <v>1</v>
      </c>
      <c r="DW54" s="16">
        <f>IF(ISNA(VLOOKUP(A54,'Données projet'!$A$165:$I$185,4,0)),0,VLOOKUP(A54,'Données projet'!$A$165:$I$185,4,0))</f>
        <v>100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14.195999999999991</v>
      </c>
      <c r="D55" s="12">
        <f t="shared" si="32"/>
        <v>4.8040324714872957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146.66691732376151</v>
      </c>
      <c r="H55" s="68">
        <f t="shared" si="1"/>
        <v>289.75838988784039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186.21719999999999</v>
      </c>
      <c r="P55" s="14">
        <f t="shared" si="33"/>
        <v>46.702653149673253</v>
      </c>
      <c r="Q55" s="22">
        <f t="shared" si="53"/>
        <v>405.66874423568089</v>
      </c>
      <c r="R55" s="60">
        <f t="shared" si="0"/>
        <v>699.0020775690142</v>
      </c>
      <c r="S55" s="60">
        <f ca="1">AVERAGE(OFFSET($R$3,0,0,'Données projet'!$E$9+1,1))-AVERAGE(OFFSET($H$3,0,0,'Données projet'!$E$9+1,1))</f>
        <v>455.09463986470064</v>
      </c>
      <c r="T55" s="60">
        <f t="shared" si="34"/>
        <v>266.42568447709669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7.12704</v>
      </c>
      <c r="AI55" s="14">
        <f>IF('Données projet'!$A$62&gt;35,AI54+AH55-AQ54,IF(A55&lt;'Données projet'!$A$62,$AF$205^A55,IF(A55='Données projet'!$A$62,'Données projet'!$B$62,AI54+AH55-AQ54)))</f>
        <v>119.9308800000002</v>
      </c>
      <c r="AJ55" s="14">
        <f>AI55*VLOOKUP('Données projet'!$B$10,Paramètres!$A$1:$I$89,3,0)*VLOOKUP('Données projet'!$B$10,Paramètres!$A$1:$I$89,5,0)</f>
        <v>102.90069504000019</v>
      </c>
      <c r="AK55" s="14">
        <f t="shared" si="35"/>
        <v>27.651893910628758</v>
      </c>
      <c r="AL55" s="22">
        <f t="shared" si="4"/>
        <v>227.37909242234539</v>
      </c>
      <c r="AM55" s="60">
        <f t="shared" si="5"/>
        <v>520.71242575567874</v>
      </c>
      <c r="AN55" s="60">
        <f ca="1">AVERAGE(OFFSET($AM$3,0,0,'Données projet'!$E$10+1,1))-AVERAGE(OFFSET($H$3,0,0,'Données projet'!$E$10+1,1))</f>
        <v>201.39673092164992</v>
      </c>
      <c r="AO55" s="60">
        <f t="shared" si="36"/>
        <v>278.95637851890405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1.6756925030589989</v>
      </c>
      <c r="BD55" s="13">
        <f>IF('Données projet'!$A$88&gt;35,BD54+BC55-BL54,IF(A55&lt;'Données projet'!$A$88,$BA$205^A55,IF(A55='Données projet'!$A$88,'Données projet'!$B$88,BD54+BC55-BL54)))</f>
        <v>65.067688245573436</v>
      </c>
      <c r="BE55" s="14">
        <f>BD55*VLOOKUP('Données projet'!$B$11,Paramètres!$A$1:$I$89,3,0)*VLOOKUP('Données projet'!$B$11,Paramètres!$A$1:$I$89,5,0)</f>
        <v>64.963579944380527</v>
      </c>
      <c r="BF55" s="14">
        <f t="shared" si="37"/>
        <v>18.417353852540554</v>
      </c>
      <c r="BG55" s="22">
        <f t="shared" si="7"/>
        <v>145.22179302963755</v>
      </c>
      <c r="BH55" s="60">
        <f t="shared" si="8"/>
        <v>438.5551263629709</v>
      </c>
      <c r="BI55" s="60">
        <f ca="1">AVERAGE(OFFSET($BH$3,0,0,'Données projet'!$E$11+1,1))-AVERAGE(OFFSET($H$3,0,0,'Données projet'!$E$11+1,1))</f>
        <v>123.29894837876157</v>
      </c>
      <c r="BJ55" s="60">
        <f t="shared" si="38"/>
        <v>103.52963511757127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175.422</v>
      </c>
      <c r="CA55" s="14">
        <f t="shared" si="39"/>
        <v>44.302143412304737</v>
      </c>
      <c r="CB55" s="22">
        <f t="shared" si="10"/>
        <v>382.68621644309741</v>
      </c>
      <c r="CC55" s="60">
        <f t="shared" si="11"/>
        <v>676.01954977643072</v>
      </c>
      <c r="CD55" s="60">
        <f ca="1">AVERAGE(OFFSET($CC$3,0,0,'Données projet'!$E$12+1,1))-AVERAGE(OFFSET($H$3,0,0,'Données projet'!$E$12+1,1))</f>
        <v>428.49602929661046</v>
      </c>
      <c r="CE55" s="60">
        <f t="shared" si="40"/>
        <v>252.32489414103878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5.1282051282051269</v>
      </c>
      <c r="CT55" s="13">
        <f>IF('Données projet'!$A$140&gt;35,CT54+CS55-DB54,IF(A55&lt;'Données projet'!$A$140,$CQ$205^A55,IF(A55='Données projet'!$A$140,'Données projet'!$B$140,CT54+CS55-DB54)))</f>
        <v>162.82051282051285</v>
      </c>
      <c r="CU55" s="18">
        <f>CT55*VLOOKUP('Données projet'!$B$13,Paramètres!$A$1:$I$89,3,0)*VLOOKUP('Données projet'!$B$13,Paramètres!$A$1:$I$89,5,0)</f>
        <v>109.22000000000003</v>
      </c>
      <c r="CV55" s="14">
        <f t="shared" si="41"/>
        <v>29.147134446007001</v>
      </c>
      <c r="CW55" s="22">
        <f t="shared" si="13"/>
        <v>240.98942582679555</v>
      </c>
      <c r="CX55" s="60">
        <f t="shared" si="14"/>
        <v>534.32275916012884</v>
      </c>
      <c r="CY55" s="60">
        <f ca="1">AVERAGE(OFFSET($CX$3,0,0,'Données projet'!$E$13+1,1))-AVERAGE(OFFSET($H$3,0,0,'Données projet'!$E$13+1,1))</f>
        <v>226.5873967387837</v>
      </c>
      <c r="CZ55" s="60">
        <f t="shared" si="42"/>
        <v>188.57459946241204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10.769230769230768</v>
      </c>
      <c r="DO55" s="13">
        <f>IF('Données projet'!$A$166&gt;35,DO54+DN55-DW54,IF(A55&lt;'Données projet'!$A$166,$DL$205^A55,IF(A55='Données projet'!$A$166,'Données projet'!$B$166,DO54+DN55-DW54)))</f>
        <v>232.30769230769221</v>
      </c>
      <c r="DP55" s="18">
        <f>DO55*VLOOKUP('Données projet'!$B$14,Paramètres!$A$1:$I$89,3,0)*VLOOKUP('Données projet'!$B$14,Paramètres!$A$1:$I$89,5,0)</f>
        <v>108.71999999999996</v>
      </c>
      <c r="DQ55" s="14">
        <f t="shared" si="43"/>
        <v>29.029201459451464</v>
      </c>
      <c r="DR55" s="22">
        <f t="shared" si="16"/>
        <v>239.91319254187792</v>
      </c>
      <c r="DS55" s="60">
        <f t="shared" si="17"/>
        <v>533.2465258752112</v>
      </c>
      <c r="DT55" s="60">
        <f ca="1">AVERAGE(OFFSET($DS$3,0,0,'Données projet'!$E$14+1,1))-AVERAGE(OFFSET($H$3,0,0,'Données projet'!$E$14+1,1))</f>
        <v>212.19771249416107</v>
      </c>
      <c r="DU55" s="60">
        <f t="shared" si="44"/>
        <v>125.93313963856127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14.468999999999991</v>
      </c>
      <c r="D56" s="12">
        <f t="shared" si="32"/>
        <v>4.885573352078902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149.40372412131077</v>
      </c>
      <c r="H56" s="68">
        <f t="shared" si="1"/>
        <v>290.37588192153743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194.82839999999999</v>
      </c>
      <c r="P56" s="14">
        <f t="shared" si="33"/>
        <v>48.605879434898533</v>
      </c>
      <c r="Q56" s="22">
        <f t="shared" si="53"/>
        <v>423.98137001578152</v>
      </c>
      <c r="R56" s="60">
        <f t="shared" si="0"/>
        <v>717.31470334911478</v>
      </c>
      <c r="S56" s="60">
        <f ca="1">AVERAGE(OFFSET($R$3,0,0,'Données projet'!$E$9+1,1))-AVERAGE(OFFSET($H$3,0,0,'Données projet'!$E$9+1,1))</f>
        <v>455.09463986470064</v>
      </c>
      <c r="T56" s="60">
        <f t="shared" si="34"/>
        <v>266.42568447709669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7.12704</v>
      </c>
      <c r="AI56" s="14">
        <f>IF('Données projet'!$A$62&gt;35,AI55+AH56-AQ55,IF(A56&lt;'Données projet'!$A$62,$AF$205^A56,IF(A56='Données projet'!$A$62,'Données projet'!$B$62,AI55+AH56-AQ55)))</f>
        <v>127.05792000000019</v>
      </c>
      <c r="AJ56" s="14">
        <f>AI56*VLOOKUP('Données projet'!$B$10,Paramètres!$A$1:$I$89,3,0)*VLOOKUP('Données projet'!$B$10,Paramètres!$A$1:$I$89,5,0)</f>
        <v>109.01569536000018</v>
      </c>
      <c r="AK56" s="14">
        <f t="shared" si="35"/>
        <v>29.098953542442153</v>
      </c>
      <c r="AL56" s="22">
        <f t="shared" si="4"/>
        <v>240.54968017175372</v>
      </c>
      <c r="AM56" s="60">
        <f t="shared" si="5"/>
        <v>533.88301350508709</v>
      </c>
      <c r="AN56" s="60">
        <f ca="1">AVERAGE(OFFSET($AM$3,0,0,'Données projet'!$E$10+1,1))-AVERAGE(OFFSET($H$3,0,0,'Données projet'!$E$10+1,1))</f>
        <v>201.39673092164992</v>
      </c>
      <c r="AO56" s="60">
        <f t="shared" si="36"/>
        <v>278.95637851890405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1.6756925030589989</v>
      </c>
      <c r="BD56" s="13">
        <f>IF('Données projet'!$A$88&gt;35,BD55+BC56-BL55,IF(A56&lt;'Données projet'!$A$88,$BA$205^A56,IF(A56='Données projet'!$A$88,'Données projet'!$B$88,BD55+BC56-BL55)))</f>
        <v>66.743380748632433</v>
      </c>
      <c r="BE56" s="14">
        <f>BD56*VLOOKUP('Données projet'!$B$11,Paramètres!$A$1:$I$89,3,0)*VLOOKUP('Données projet'!$B$11,Paramètres!$A$1:$I$89,5,0)</f>
        <v>66.636591339434617</v>
      </c>
      <c r="BF56" s="14">
        <f t="shared" si="37"/>
        <v>18.83582607115439</v>
      </c>
      <c r="BG56" s="22">
        <f t="shared" si="7"/>
        <v>148.8644603234425</v>
      </c>
      <c r="BH56" s="60">
        <f t="shared" si="8"/>
        <v>442.19779365677584</v>
      </c>
      <c r="BI56" s="60">
        <f ca="1">AVERAGE(OFFSET($BH$3,0,0,'Données projet'!$E$11+1,1))-AVERAGE(OFFSET($H$3,0,0,'Données projet'!$E$11+1,1))</f>
        <v>123.29894837876157</v>
      </c>
      <c r="BJ56" s="60">
        <f t="shared" si="38"/>
        <v>103.52963511757127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183.53400000000002</v>
      </c>
      <c r="CA56" s="14">
        <f t="shared" si="39"/>
        <v>46.107544136839593</v>
      </c>
      <c r="CB56" s="22">
        <f t="shared" si="10"/>
        <v>399.95902270499568</v>
      </c>
      <c r="CC56" s="60">
        <f t="shared" si="11"/>
        <v>693.29235603832899</v>
      </c>
      <c r="CD56" s="60">
        <f ca="1">AVERAGE(OFFSET($CC$3,0,0,'Données projet'!$E$12+1,1))-AVERAGE(OFFSET($H$3,0,0,'Données projet'!$E$12+1,1))</f>
        <v>428.49602929661046</v>
      </c>
      <c r="CE56" s="60">
        <f t="shared" si="40"/>
        <v>252.32489414103878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5.1282051282051269</v>
      </c>
      <c r="CT56" s="13">
        <f>IF('Données projet'!$A$140&gt;35,CT55+CS56-DB55,IF(A56&lt;'Données projet'!$A$140,$CQ$205^A56,IF(A56='Données projet'!$A$140,'Données projet'!$B$140,CT55+CS56-DB55)))</f>
        <v>167.94871794871798</v>
      </c>
      <c r="CU56" s="18">
        <f>CT56*VLOOKUP('Données projet'!$B$13,Paramètres!$A$1:$I$89,3,0)*VLOOKUP('Données projet'!$B$13,Paramètres!$A$1:$I$89,5,0)</f>
        <v>112.66000000000003</v>
      </c>
      <c r="CV56" s="14">
        <f t="shared" si="41"/>
        <v>29.956827127251987</v>
      </c>
      <c r="CW56" s="22">
        <f t="shared" si="13"/>
        <v>248.39097391329724</v>
      </c>
      <c r="CX56" s="60">
        <f t="shared" si="14"/>
        <v>541.72430724663059</v>
      </c>
      <c r="CY56" s="60">
        <f ca="1">AVERAGE(OFFSET($CX$3,0,0,'Données projet'!$E$13+1,1))-AVERAGE(OFFSET($H$3,0,0,'Données projet'!$E$13+1,1))</f>
        <v>226.5873967387837</v>
      </c>
      <c r="CZ56" s="60">
        <f t="shared" si="42"/>
        <v>188.57459946241204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10.769230769230768</v>
      </c>
      <c r="DO56" s="13">
        <f>IF('Données projet'!$A$166&gt;35,DO55+DN56-DW55,IF(A56&lt;'Données projet'!$A$166,$DL$205^A56,IF(A56='Données projet'!$A$166,'Données projet'!$B$166,DO55+DN56-DW55)))</f>
        <v>243.07692307692298</v>
      </c>
      <c r="DP56" s="18">
        <f>DO56*VLOOKUP('Données projet'!$B$14,Paramètres!$A$1:$I$89,3,0)*VLOOKUP('Données projet'!$B$14,Paramètres!$A$1:$I$89,5,0)</f>
        <v>113.75999999999995</v>
      </c>
      <c r="DQ56" s="14">
        <f t="shared" si="43"/>
        <v>30.215129555931622</v>
      </c>
      <c r="DR56" s="22">
        <f t="shared" si="16"/>
        <v>250.7566839765808</v>
      </c>
      <c r="DS56" s="60">
        <f t="shared" si="17"/>
        <v>544.09001730991417</v>
      </c>
      <c r="DT56" s="60">
        <f ca="1">AVERAGE(OFFSET($DS$3,0,0,'Données projet'!$E$14+1,1))-AVERAGE(OFFSET($H$3,0,0,'Données projet'!$E$14+1,1))</f>
        <v>212.19771249416107</v>
      </c>
      <c r="DU56" s="60">
        <f t="shared" si="44"/>
        <v>125.93313963856127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</v>
      </c>
      <c r="D57" s="12">
        <f t="shared" si="32"/>
        <v>4.9669353357224146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152.13914995996245</v>
      </c>
      <c r="H57" s="68">
        <f t="shared" si="1"/>
        <v>290.99306237638319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203.43960000000001</v>
      </c>
      <c r="P57" s="14">
        <f t="shared" si="33"/>
        <v>50.499335879627459</v>
      </c>
      <c r="Q57" s="22">
        <f t="shared" si="53"/>
        <v>442.27697999035109</v>
      </c>
      <c r="R57" s="60">
        <f t="shared" si="0"/>
        <v>735.61031332368441</v>
      </c>
      <c r="S57" s="60">
        <f ca="1">AVERAGE(OFFSET($R$3,0,0,'Données projet'!$E$9+1,1))-AVERAGE(OFFSET($H$3,0,0,'Données projet'!$E$9+1,1))</f>
        <v>455.09463986470064</v>
      </c>
      <c r="T57" s="60">
        <f t="shared" si="34"/>
        <v>266.42568447709669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7.12704</v>
      </c>
      <c r="AI57" s="14">
        <f>IF('Données projet'!$A$62&gt;35,AI56+AH57-AQ56,IF(A57&lt;'Données projet'!$A$62,$AF$205^A57,IF(A57='Données projet'!$A$62,'Données projet'!$B$62,AI56+AH57-AQ56)))</f>
        <v>134.18496000000019</v>
      </c>
      <c r="AJ57" s="14">
        <f>AI57*VLOOKUP('Données projet'!$B$10,Paramètres!$A$1:$I$89,3,0)*VLOOKUP('Données projet'!$B$10,Paramètres!$A$1:$I$89,5,0)</f>
        <v>115.13069568000017</v>
      </c>
      <c r="AK57" s="14">
        <f t="shared" si="35"/>
        <v>30.536590584154641</v>
      </c>
      <c r="AL57" s="22">
        <f t="shared" si="4"/>
        <v>253.70385691006962</v>
      </c>
      <c r="AM57" s="60">
        <f t="shared" si="5"/>
        <v>547.03719024340296</v>
      </c>
      <c r="AN57" s="60">
        <f ca="1">AVERAGE(OFFSET($AM$3,0,0,'Données projet'!$E$10+1,1))-AVERAGE(OFFSET($H$3,0,0,'Données projet'!$E$10+1,1))</f>
        <v>201.39673092164992</v>
      </c>
      <c r="AO57" s="60">
        <f t="shared" si="36"/>
        <v>278.95637851890405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1.6756925030589989</v>
      </c>
      <c r="BD57" s="13">
        <f>IF('Données projet'!$A$88&gt;35,BD56+BC57-BL56,IF(A57&lt;'Données projet'!$A$88,$BA$205^A57,IF(A57='Données projet'!$A$88,'Données projet'!$B$88,BD56+BC57-BL56)))</f>
        <v>68.41907325169143</v>
      </c>
      <c r="BE57" s="14">
        <f>BD57*VLOOKUP('Données projet'!$B$11,Paramètres!$A$1:$I$89,3,0)*VLOOKUP('Données projet'!$B$11,Paramètres!$A$1:$I$89,5,0)</f>
        <v>68.30960273448872</v>
      </c>
      <c r="BF57" s="14">
        <f t="shared" si="37"/>
        <v>19.25307699774168</v>
      </c>
      <c r="BG57" s="22">
        <f t="shared" si="7"/>
        <v>152.50500053363461</v>
      </c>
      <c r="BH57" s="60">
        <f t="shared" si="8"/>
        <v>445.8383338669679</v>
      </c>
      <c r="BI57" s="60">
        <f ca="1">AVERAGE(OFFSET($BH$3,0,0,'Données projet'!$E$11+1,1))-AVERAGE(OFFSET($H$3,0,0,'Données projet'!$E$11+1,1))</f>
        <v>123.29894837876157</v>
      </c>
      <c r="BJ57" s="60">
        <f t="shared" si="38"/>
        <v>103.52963511757127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191.64600000000002</v>
      </c>
      <c r="CA57" s="14">
        <f t="shared" si="39"/>
        <v>47.903677189291635</v>
      </c>
      <c r="CB57" s="22">
        <f t="shared" si="10"/>
        <v>417.21568777134962</v>
      </c>
      <c r="CC57" s="60">
        <f t="shared" si="11"/>
        <v>710.54902110468288</v>
      </c>
      <c r="CD57" s="60">
        <f ca="1">AVERAGE(OFFSET($CC$3,0,0,'Données projet'!$E$12+1,1))-AVERAGE(OFFSET($H$3,0,0,'Données projet'!$E$12+1,1))</f>
        <v>428.49602929661046</v>
      </c>
      <c r="CE57" s="60">
        <f t="shared" si="40"/>
        <v>252.32489414103878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5.1282051282051269</v>
      </c>
      <c r="CT57" s="13">
        <f>IF('Données projet'!$A$140&gt;35,CT56+CS57-DB56,IF(A57&lt;'Données projet'!$A$140,$CQ$205^A57,IF(A57='Données projet'!$A$140,'Données projet'!$B$140,CT56+CS57-DB56)))</f>
        <v>173.07692307692312</v>
      </c>
      <c r="CU57" s="18">
        <f>CT57*VLOOKUP('Données projet'!$B$13,Paramètres!$A$1:$I$89,3,0)*VLOOKUP('Données projet'!$B$13,Paramètres!$A$1:$I$89,5,0)</f>
        <v>116.10000000000004</v>
      </c>
      <c r="CV57" s="14">
        <f t="shared" si="41"/>
        <v>30.763646636385982</v>
      </c>
      <c r="CW57" s="22">
        <f t="shared" si="13"/>
        <v>255.78751789170562</v>
      </c>
      <c r="CX57" s="60">
        <f t="shared" si="14"/>
        <v>549.1208512250389</v>
      </c>
      <c r="CY57" s="60">
        <f ca="1">AVERAGE(OFFSET($CX$3,0,0,'Données projet'!$E$13+1,1))-AVERAGE(OFFSET($H$3,0,0,'Données projet'!$E$13+1,1))</f>
        <v>226.5873967387837</v>
      </c>
      <c r="CZ57" s="60">
        <f t="shared" si="42"/>
        <v>188.57459946241204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10.769230769230768</v>
      </c>
      <c r="DO57" s="13">
        <f>IF('Données projet'!$A$166&gt;35,DO56+DN57-DW56,IF(A57&lt;'Données projet'!$A$166,$DL$205^A57,IF(A57='Données projet'!$A$166,'Données projet'!$B$166,DO56+DN57-DW56)))</f>
        <v>253.84615384615375</v>
      </c>
      <c r="DP57" s="18">
        <f>DO57*VLOOKUP('Données projet'!$B$14,Paramètres!$A$1:$I$89,3,0)*VLOOKUP('Données projet'!$B$14,Paramètres!$A$1:$I$89,5,0)</f>
        <v>118.79999999999995</v>
      </c>
      <c r="DQ57" s="14">
        <f t="shared" si="43"/>
        <v>31.394955500632594</v>
      </c>
      <c r="DR57" s="22">
        <f t="shared" si="16"/>
        <v>261.58954749693504</v>
      </c>
      <c r="DS57" s="60">
        <f t="shared" si="17"/>
        <v>554.92288083026835</v>
      </c>
      <c r="DT57" s="60">
        <f ca="1">AVERAGE(OFFSET($DS$3,0,0,'Données projet'!$E$14+1,1))-AVERAGE(OFFSET($H$3,0,0,'Données projet'!$E$14+1,1))</f>
        <v>212.19771249416107</v>
      </c>
      <c r="DU57" s="60">
        <f t="shared" si="44"/>
        <v>125.93313963856127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15.01499999999999</v>
      </c>
      <c r="D58" s="12">
        <f t="shared" si="32"/>
        <v>5.0481221173891937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154.87322336230247</v>
      </c>
      <c r="H58" s="68">
        <f t="shared" si="1"/>
        <v>291.60993768778616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212.05079999999998</v>
      </c>
      <c r="P58" s="14">
        <f t="shared" si="33"/>
        <v>52.383483303212302</v>
      </c>
      <c r="Q58" s="22">
        <f t="shared" si="53"/>
        <v>460.55637675309475</v>
      </c>
      <c r="R58" s="60">
        <f t="shared" si="0"/>
        <v>753.88971008642807</v>
      </c>
      <c r="S58" s="60">
        <f ca="1">AVERAGE(OFFSET($R$3,0,0,'Données projet'!$E$9+1,1))-AVERAGE(OFFSET($H$3,0,0,'Données projet'!$E$9+1,1))</f>
        <v>455.09463986470064</v>
      </c>
      <c r="T58" s="60">
        <f t="shared" si="34"/>
        <v>266.42568447709669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7.12704</v>
      </c>
      <c r="AI58" s="14">
        <f>IF('Données projet'!$A$62&gt;35,AI57+AH58-AQ57,IF(A58&lt;'Données projet'!$A$62,$AF$205^A58,IF(A58='Données projet'!$A$62,'Données projet'!$B$62,AI57+AH58-AQ57)))</f>
        <v>141.31200000000018</v>
      </c>
      <c r="AJ58" s="14">
        <f>AI58*VLOOKUP('Données projet'!$B$10,Paramètres!$A$1:$I$89,3,0)*VLOOKUP('Données projet'!$B$10,Paramètres!$A$1:$I$89,5,0)</f>
        <v>121.24569600000018</v>
      </c>
      <c r="AK58" s="14">
        <f t="shared" si="35"/>
        <v>31.965362571596831</v>
      </c>
      <c r="AL58" s="22">
        <f t="shared" si="4"/>
        <v>266.84259367886483</v>
      </c>
      <c r="AM58" s="60">
        <f t="shared" si="5"/>
        <v>560.17592701219814</v>
      </c>
      <c r="AN58" s="60">
        <f ca="1">AVERAGE(OFFSET($AM$3,0,0,'Données projet'!$E$10+1,1))-AVERAGE(OFFSET($H$3,0,0,'Données projet'!$E$10+1,1))</f>
        <v>201.39673092164992</v>
      </c>
      <c r="AO58" s="60">
        <f t="shared" si="36"/>
        <v>278.95637851890405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1.6756925030589989</v>
      </c>
      <c r="BD58" s="13">
        <f>IF('Données projet'!$A$88&gt;35,BD57+BC58-BL57,IF(A58&lt;'Données projet'!$A$88,$BA$205^A58,IF(A58='Données projet'!$A$88,'Données projet'!$B$88,BD57+BC58-BL57)))</f>
        <v>70.094765754750426</v>
      </c>
      <c r="BE58" s="14">
        <f>BD58*VLOOKUP('Données projet'!$B$11,Paramètres!$A$1:$I$89,3,0)*VLOOKUP('Données projet'!$B$11,Paramètres!$A$1:$I$89,5,0)</f>
        <v>69.982614129542839</v>
      </c>
      <c r="BF58" s="14">
        <f t="shared" si="37"/>
        <v>19.669139984573373</v>
      </c>
      <c r="BG58" s="22">
        <f t="shared" si="7"/>
        <v>156.1434717487524</v>
      </c>
      <c r="BH58" s="60">
        <f t="shared" si="8"/>
        <v>449.47680508208572</v>
      </c>
      <c r="BI58" s="60">
        <f ca="1">AVERAGE(OFFSET($BH$3,0,0,'Données projet'!$E$11+1,1))-AVERAGE(OFFSET($H$3,0,0,'Données projet'!$E$11+1,1))</f>
        <v>123.29894837876157</v>
      </c>
      <c r="BJ58" s="60">
        <f t="shared" si="38"/>
        <v>103.52963511757127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199.75800000000004</v>
      </c>
      <c r="CA58" s="14">
        <f t="shared" si="39"/>
        <v>49.690979702964015</v>
      </c>
      <c r="CB58" s="22">
        <f t="shared" si="10"/>
        <v>434.45697298266236</v>
      </c>
      <c r="CC58" s="60">
        <f t="shared" si="11"/>
        <v>727.79030631599562</v>
      </c>
      <c r="CD58" s="60">
        <f ca="1">AVERAGE(OFFSET($CC$3,0,0,'Données projet'!$E$12+1,1))-AVERAGE(OFFSET($H$3,0,0,'Données projet'!$E$12+1,1))</f>
        <v>428.49602929661046</v>
      </c>
      <c r="CE58" s="60">
        <f t="shared" si="40"/>
        <v>252.32489414103878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178.2051282051282</v>
      </c>
      <c r="CR58" s="13">
        <f>VLOOKUP(A58,'Données projet'!$A$139:$I$159,9,0)</f>
        <v>5.1282051282051269</v>
      </c>
      <c r="CS58" s="13">
        <f t="array" ref="CS58">INDEX(CR:CR,MIN(IF(ISNUMBER(CR58:CR254),ROW(CR58:CR254),"")))</f>
        <v>5.1282051282051269</v>
      </c>
      <c r="CT58" s="13">
        <f>IF('Données projet'!$A$140&gt;35,CT57+CS58-DB57,IF(A58&lt;'Données projet'!$A$140,$CQ$205^A58,IF(A58='Données projet'!$A$140,'Données projet'!$B$140,CT57+CS58-DB57)))</f>
        <v>178.20512820512826</v>
      </c>
      <c r="CU58" s="18">
        <f>CT58*VLOOKUP('Données projet'!$B$13,Paramètres!$A$1:$I$89,3,0)*VLOOKUP('Données projet'!$B$13,Paramètres!$A$1:$I$89,5,0)</f>
        <v>119.54000000000005</v>
      </c>
      <c r="CV58" s="14">
        <f t="shared" si="41"/>
        <v>31.567687878137313</v>
      </c>
      <c r="CW58" s="22">
        <f t="shared" si="13"/>
        <v>263.17922305442261</v>
      </c>
      <c r="CX58" s="60">
        <f t="shared" si="14"/>
        <v>556.51255638775592</v>
      </c>
      <c r="CY58" s="60">
        <f ca="1">AVERAGE(OFFSET($CX$3,0,0,'Données projet'!$E$13+1,1))-AVERAGE(OFFSET($H$3,0,0,'Données projet'!$E$13+1,1))</f>
        <v>226.5873967387837</v>
      </c>
      <c r="CZ58" s="60">
        <f t="shared" si="42"/>
        <v>188.57459946241204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10.769230769230768</v>
      </c>
      <c r="DO58" s="13">
        <f>IF('Données projet'!$A$166&gt;35,DO57+DN58-DW57,IF(A58&lt;'Données projet'!$A$166,$DL$205^A58,IF(A58='Données projet'!$A$166,'Données projet'!$B$166,DO57+DN58-DW57)))</f>
        <v>264.61538461538453</v>
      </c>
      <c r="DP58" s="18">
        <f>DO58*VLOOKUP('Données projet'!$B$14,Paramètres!$A$1:$I$89,3,0)*VLOOKUP('Données projet'!$B$14,Paramètres!$A$1:$I$89,5,0)</f>
        <v>123.83999999999995</v>
      </c>
      <c r="DQ58" s="14">
        <f t="shared" si="43"/>
        <v>32.56896777038807</v>
      </c>
      <c r="DR58" s="22">
        <f t="shared" si="16"/>
        <v>272.4122855334258</v>
      </c>
      <c r="DS58" s="60">
        <f t="shared" si="17"/>
        <v>565.74561886675906</v>
      </c>
      <c r="DT58" s="60">
        <f ca="1">AVERAGE(OFFSET($DS$3,0,0,'Données projet'!$E$14+1,1))-AVERAGE(OFFSET($H$3,0,0,'Données projet'!$E$14+1,1))</f>
        <v>212.19771249416107</v>
      </c>
      <c r="DU58" s="60">
        <f t="shared" si="44"/>
        <v>125.93313963856127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</v>
      </c>
      <c r="D59" s="12">
        <f t="shared" si="32"/>
        <v>5.1291372499950256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157.60597175434751</v>
      </c>
      <c r="H59" s="68">
        <f t="shared" si="1"/>
        <v>292.22651404374136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220.23143999999996</v>
      </c>
      <c r="P59" s="14">
        <f t="shared" si="33"/>
        <v>54.165184982469711</v>
      </c>
      <c r="Q59" s="22">
        <f t="shared" si="53"/>
        <v>477.9074551778013</v>
      </c>
      <c r="R59" s="60">
        <f t="shared" si="0"/>
        <v>771.24078851113461</v>
      </c>
      <c r="S59" s="60">
        <f ca="1">AVERAGE(OFFSET($R$3,0,0,'Données projet'!$E$9+1,1))-AVERAGE(OFFSET($H$3,0,0,'Données projet'!$E$9+1,1))</f>
        <v>455.09463986470064</v>
      </c>
      <c r="T59" s="60">
        <f t="shared" si="34"/>
        <v>266.42568447709669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7.12704</v>
      </c>
      <c r="AI59" s="14">
        <f>IF('Données projet'!$A$62&gt;35,AI58+AH59-AQ58,IF(A59&lt;'Données projet'!$A$62,$AF$205^A59,IF(A59='Données projet'!$A$62,'Données projet'!$B$62,AI58+AH59-AQ58)))</f>
        <v>148.43904000000018</v>
      </c>
      <c r="AJ59" s="14">
        <f>AI59*VLOOKUP('Données projet'!$B$10,Paramètres!$A$1:$I$89,3,0)*VLOOKUP('Données projet'!$B$10,Paramètres!$A$1:$I$89,5,0)</f>
        <v>127.36069632000017</v>
      </c>
      <c r="AK59" s="14">
        <f t="shared" si="35"/>
        <v>33.385767625447556</v>
      </c>
      <c r="AL59" s="22">
        <f t="shared" si="4"/>
        <v>279.96675803832142</v>
      </c>
      <c r="AM59" s="60">
        <f t="shared" si="5"/>
        <v>573.30009137165473</v>
      </c>
      <c r="AN59" s="60">
        <f ca="1">AVERAGE(OFFSET($AM$3,0,0,'Données projet'!$E$10+1,1))-AVERAGE(OFFSET($H$3,0,0,'Données projet'!$E$10+1,1))</f>
        <v>201.39673092164992</v>
      </c>
      <c r="AO59" s="60">
        <f t="shared" si="36"/>
        <v>278.95637851890405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1.6756925030589989</v>
      </c>
      <c r="BD59" s="13">
        <f>IF('Données projet'!$A$88&gt;35,BD58+BC59-BL58,IF(A59&lt;'Données projet'!$A$88,$BA$205^A59,IF(A59='Données projet'!$A$88,'Données projet'!$B$88,BD58+BC59-BL58)))</f>
        <v>71.770458257809423</v>
      </c>
      <c r="BE59" s="14">
        <f>BD59*VLOOKUP('Données projet'!$B$11,Paramètres!$A$1:$I$89,3,0)*VLOOKUP('Données projet'!$B$11,Paramètres!$A$1:$I$89,5,0)</f>
        <v>71.655625524596928</v>
      </c>
      <c r="BF59" s="14">
        <f t="shared" si="37"/>
        <v>20.084046698328713</v>
      </c>
      <c r="BG59" s="22">
        <f t="shared" si="7"/>
        <v>159.77992912159547</v>
      </c>
      <c r="BH59" s="60">
        <f t="shared" si="8"/>
        <v>453.11326245492876</v>
      </c>
      <c r="BI59" s="60">
        <f ca="1">AVERAGE(OFFSET($BH$3,0,0,'Données projet'!$E$11+1,1))-AVERAGE(OFFSET($H$3,0,0,'Données projet'!$E$11+1,1))</f>
        <v>123.29894837876157</v>
      </c>
      <c r="BJ59" s="60">
        <f t="shared" si="38"/>
        <v>103.52963511757127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207.46440000000001</v>
      </c>
      <c r="CA59" s="14">
        <f t="shared" si="39"/>
        <v>51.381102169014063</v>
      </c>
      <c r="CB59" s="22">
        <f t="shared" si="10"/>
        <v>450.82258294436616</v>
      </c>
      <c r="CC59" s="60">
        <f t="shared" si="11"/>
        <v>744.15591627769948</v>
      </c>
      <c r="CD59" s="60">
        <f ca="1">AVERAGE(OFFSET($CC$3,0,0,'Données projet'!$E$12+1,1))-AVERAGE(OFFSET($H$3,0,0,'Données projet'!$E$12+1,1))</f>
        <v>428.49602929661046</v>
      </c>
      <c r="CE59" s="60">
        <f t="shared" si="40"/>
        <v>252.32489414103878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4.8717948717948731</v>
      </c>
      <c r="CT59" s="13">
        <f>IF('Données projet'!$A$140&gt;35,CT58+CS59-DB58,IF(A59&lt;'Données projet'!$A$140,$CQ$205^A59,IF(A59='Données projet'!$A$140,'Données projet'!$B$140,CT58+CS59-DB58)))</f>
        <v>183.07692307692312</v>
      </c>
      <c r="CU59" s="18">
        <f>CT59*VLOOKUP('Données projet'!$B$13,Paramètres!$A$1:$I$89,3,0)*VLOOKUP('Données projet'!$B$13,Paramètres!$A$1:$I$89,5,0)</f>
        <v>122.80800000000004</v>
      </c>
      <c r="CV59" s="14">
        <f t="shared" si="41"/>
        <v>32.329034931240123</v>
      </c>
      <c r="CW59" s="22">
        <f t="shared" si="13"/>
        <v>270.19700250524323</v>
      </c>
      <c r="CX59" s="60">
        <f t="shared" si="14"/>
        <v>563.53033583857655</v>
      </c>
      <c r="CY59" s="60">
        <f ca="1">AVERAGE(OFFSET($CX$3,0,0,'Données projet'!$E$13+1,1))-AVERAGE(OFFSET($H$3,0,0,'Données projet'!$E$13+1,1))</f>
        <v>226.5873967387837</v>
      </c>
      <c r="CZ59" s="60">
        <f t="shared" si="42"/>
        <v>188.57459946241204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10.769230769230768</v>
      </c>
      <c r="DO59" s="13">
        <f>IF('Données projet'!$A$166&gt;35,DO58+DN59-DW58,IF(A59&lt;'Données projet'!$A$166,$DL$205^A59,IF(A59='Données projet'!$A$166,'Données projet'!$B$166,DO58+DN59-DW58)))</f>
        <v>275.3846153846153</v>
      </c>
      <c r="DP59" s="18">
        <f>DO59*VLOOKUP('Données projet'!$B$14,Paramètres!$A$1:$I$89,3,0)*VLOOKUP('Données projet'!$B$14,Paramètres!$A$1:$I$89,5,0)</f>
        <v>128.87999999999997</v>
      </c>
      <c r="DQ59" s="14">
        <f t="shared" si="43"/>
        <v>33.73743003255538</v>
      </c>
      <c r="DR59" s="22">
        <f t="shared" si="16"/>
        <v>283.22535730670057</v>
      </c>
      <c r="DS59" s="60">
        <f t="shared" si="17"/>
        <v>576.55869064003389</v>
      </c>
      <c r="DT59" s="60">
        <f ca="1">AVERAGE(OFFSET($DS$3,0,0,'Données projet'!$E$14+1,1))-AVERAGE(OFFSET($H$3,0,0,'Données projet'!$E$14+1,1))</f>
        <v>212.19771249416107</v>
      </c>
      <c r="DU59" s="60">
        <f t="shared" si="44"/>
        <v>125.93313963856127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15.560999999999989</v>
      </c>
      <c r="D60" s="12">
        <f t="shared" si="32"/>
        <v>5.2099841522989676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160.33742152651826</v>
      </c>
      <c r="H60" s="68">
        <f t="shared" si="1"/>
        <v>292.84279739858738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228.41207999999997</v>
      </c>
      <c r="P60" s="14">
        <f t="shared" si="33"/>
        <v>55.939197785226767</v>
      </c>
      <c r="Q60" s="22">
        <f t="shared" si="53"/>
        <v>495.24514214260324</v>
      </c>
      <c r="R60" s="60">
        <f t="shared" si="0"/>
        <v>788.57847547593656</v>
      </c>
      <c r="S60" s="60">
        <f ca="1">AVERAGE(OFFSET($R$3,0,0,'Données projet'!$E$9+1,1))-AVERAGE(OFFSET($H$3,0,0,'Données projet'!$E$9+1,1))</f>
        <v>455.09463986470064</v>
      </c>
      <c r="T60" s="60">
        <f t="shared" si="34"/>
        <v>266.42568447709669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7.12704</v>
      </c>
      <c r="AI60" s="14">
        <f>IF('Données projet'!$A$62&gt;35,AI59+AH60-AQ59,IF(A60&lt;'Données projet'!$A$62,$AF$205^A60,IF(A60='Données projet'!$A$62,'Données projet'!$B$62,AI59+AH60-AQ59)))</f>
        <v>155.56608000000017</v>
      </c>
      <c r="AJ60" s="14">
        <f>AI60*VLOOKUP('Données projet'!$B$10,Paramètres!$A$1:$I$89,3,0)*VLOOKUP('Données projet'!$B$10,Paramètres!$A$1:$I$89,5,0)</f>
        <v>133.47569664000017</v>
      </c>
      <c r="AK60" s="14">
        <f t="shared" si="35"/>
        <v>34.798253330934386</v>
      </c>
      <c r="AL60" s="22">
        <f t="shared" si="4"/>
        <v>293.07712953271101</v>
      </c>
      <c r="AM60" s="60">
        <f t="shared" si="5"/>
        <v>586.41046286604433</v>
      </c>
      <c r="AN60" s="60">
        <f ca="1">AVERAGE(OFFSET($AM$3,0,0,'Données projet'!$E$10+1,1))-AVERAGE(OFFSET($H$3,0,0,'Données projet'!$E$10+1,1))</f>
        <v>201.39673092164992</v>
      </c>
      <c r="AO60" s="60">
        <f t="shared" si="36"/>
        <v>278.95637851890405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1.6756925030589989</v>
      </c>
      <c r="BD60" s="13">
        <f>IF('Données projet'!$A$88&gt;35,BD59+BC60-BL59,IF(A60&lt;'Données projet'!$A$88,$BA$205^A60,IF(A60='Données projet'!$A$88,'Données projet'!$B$88,BD59+BC60-BL59)))</f>
        <v>73.44615076086842</v>
      </c>
      <c r="BE60" s="14">
        <f>BD60*VLOOKUP('Données projet'!$B$11,Paramètres!$A$1:$I$89,3,0)*VLOOKUP('Données projet'!$B$11,Paramètres!$A$1:$I$89,5,0)</f>
        <v>73.328636919651032</v>
      </c>
      <c r="BF60" s="14">
        <f t="shared" si="37"/>
        <v>20.497827242619842</v>
      </c>
      <c r="BG60" s="22">
        <f t="shared" si="7"/>
        <v>163.41442508262176</v>
      </c>
      <c r="BH60" s="60">
        <f t="shared" si="8"/>
        <v>456.7477584159551</v>
      </c>
      <c r="BI60" s="60">
        <f ca="1">AVERAGE(OFFSET($BH$3,0,0,'Données projet'!$E$11+1,1))-AVERAGE(OFFSET($H$3,0,0,'Données projet'!$E$11+1,1))</f>
        <v>123.29894837876157</v>
      </c>
      <c r="BJ60" s="60">
        <f t="shared" si="38"/>
        <v>103.52963511757127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215.17080000000001</v>
      </c>
      <c r="CA60" s="14">
        <f t="shared" si="39"/>
        <v>53.063930965723607</v>
      </c>
      <c r="CB60" s="22">
        <f t="shared" si="10"/>
        <v>467.17548976530185</v>
      </c>
      <c r="CC60" s="60">
        <f t="shared" si="11"/>
        <v>760.50882309863516</v>
      </c>
      <c r="CD60" s="60">
        <f ca="1">AVERAGE(OFFSET($CC$3,0,0,'Données projet'!$E$12+1,1))-AVERAGE(OFFSET($H$3,0,0,'Données projet'!$E$12+1,1))</f>
        <v>428.49602929661046</v>
      </c>
      <c r="CE60" s="60">
        <f t="shared" si="40"/>
        <v>252.32489414103878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4.8717948717948731</v>
      </c>
      <c r="CT60" s="13">
        <f>IF('Données projet'!$A$140&gt;35,CT59+CS60-DB59,IF(A60&lt;'Données projet'!$A$140,$CQ$205^A60,IF(A60='Données projet'!$A$140,'Données projet'!$B$140,CT59+CS60-DB59)))</f>
        <v>187.94871794871798</v>
      </c>
      <c r="CU60" s="18">
        <f>CT60*VLOOKUP('Données projet'!$B$13,Paramètres!$A$1:$I$89,3,0)*VLOOKUP('Données projet'!$B$13,Paramètres!$A$1:$I$89,5,0)</f>
        <v>126.07600000000004</v>
      </c>
      <c r="CV60" s="14">
        <f t="shared" si="41"/>
        <v>33.088027082698986</v>
      </c>
      <c r="CW60" s="22">
        <f t="shared" si="13"/>
        <v>277.21068050236744</v>
      </c>
      <c r="CX60" s="60">
        <f t="shared" si="14"/>
        <v>570.54401383570075</v>
      </c>
      <c r="CY60" s="60">
        <f ca="1">AVERAGE(OFFSET($CX$3,0,0,'Données projet'!$E$13+1,1))-AVERAGE(OFFSET($H$3,0,0,'Données projet'!$E$13+1,1))</f>
        <v>226.5873967387837</v>
      </c>
      <c r="CZ60" s="60">
        <f t="shared" si="42"/>
        <v>188.57459946241204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10.769230769230768</v>
      </c>
      <c r="DO60" s="13">
        <f>IF('Données projet'!$A$166&gt;35,DO59+DN60-DW59,IF(A60&lt;'Données projet'!$A$166,$DL$205^A60,IF(A60='Données projet'!$A$166,'Données projet'!$B$166,DO59+DN60-DW59)))</f>
        <v>286.15384615384608</v>
      </c>
      <c r="DP60" s="18">
        <f>DO60*VLOOKUP('Données projet'!$B$14,Paramètres!$A$1:$I$89,3,0)*VLOOKUP('Données projet'!$B$14,Paramètres!$A$1:$I$89,5,0)</f>
        <v>133.91999999999996</v>
      </c>
      <c r="DQ60" s="14">
        <f t="shared" si="43"/>
        <v>34.900584164862018</v>
      </c>
      <c r="DR60" s="22">
        <f t="shared" si="16"/>
        <v>294.02918408713464</v>
      </c>
      <c r="DS60" s="60">
        <f t="shared" si="17"/>
        <v>587.36251742046795</v>
      </c>
      <c r="DT60" s="60">
        <f ca="1">AVERAGE(OFFSET($DS$3,0,0,'Données projet'!$E$14+1,1))-AVERAGE(OFFSET($H$3,0,0,'Données projet'!$E$14+1,1))</f>
        <v>212.19771249416107</v>
      </c>
      <c r="DU60" s="60">
        <f t="shared" si="44"/>
        <v>125.93313963856127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15.833999999999989</v>
      </c>
      <c r="D61" s="12">
        <f t="shared" si="32"/>
        <v>5.2906661162322033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163.06759809021341</v>
      </c>
      <c r="H61" s="68">
        <f t="shared" si="1"/>
        <v>293.45879348577108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236.59271999999999</v>
      </c>
      <c r="P61" s="14">
        <f t="shared" si="33"/>
        <v>57.705828638299394</v>
      </c>
      <c r="Q61" s="22">
        <f t="shared" si="53"/>
        <v>512.56997221170479</v>
      </c>
      <c r="R61" s="60">
        <f t="shared" si="0"/>
        <v>805.90330554503817</v>
      </c>
      <c r="S61" s="60">
        <f ca="1">AVERAGE(OFFSET($R$3,0,0,'Données projet'!$E$9+1,1))-AVERAGE(OFFSET($H$3,0,0,'Données projet'!$E$9+1,1))</f>
        <v>455.09463986470064</v>
      </c>
      <c r="T61" s="60">
        <f t="shared" si="34"/>
        <v>266.42568447709669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7.12704</v>
      </c>
      <c r="AI61" s="14">
        <f>IF('Données projet'!$A$62&gt;35,AI60+AH61-AQ60,IF(A61&lt;'Données projet'!$A$62,$AF$205^A61,IF(A61='Données projet'!$A$62,'Données projet'!$B$62,AI60+AH61-AQ60)))</f>
        <v>162.69312000000016</v>
      </c>
      <c r="AJ61" s="14">
        <f>AI61*VLOOKUP('Données projet'!$B$10,Paramètres!$A$1:$I$89,3,0)*VLOOKUP('Données projet'!$B$10,Paramètres!$A$1:$I$89,5,0)</f>
        <v>139.59069696000017</v>
      </c>
      <c r="AK61" s="14">
        <f t="shared" si="35"/>
        <v>36.2032239442755</v>
      </c>
      <c r="AL61" s="22">
        <f t="shared" si="4"/>
        <v>306.17441224161342</v>
      </c>
      <c r="AM61" s="60">
        <f t="shared" si="5"/>
        <v>599.50774557494674</v>
      </c>
      <c r="AN61" s="60">
        <f ca="1">AVERAGE(OFFSET($AM$3,0,0,'Données projet'!$E$10+1,1))-AVERAGE(OFFSET($H$3,0,0,'Données projet'!$E$10+1,1))</f>
        <v>201.39673092164992</v>
      </c>
      <c r="AO61" s="60">
        <f t="shared" si="36"/>
        <v>278.95637851890405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1.6756925030589989</v>
      </c>
      <c r="BD61" s="13">
        <f>IF('Données projet'!$A$88&gt;35,BD60+BC61-BL60,IF(A61&lt;'Données projet'!$A$88,$BA$205^A61,IF(A61='Données projet'!$A$88,'Données projet'!$B$88,BD60+BC61-BL60)))</f>
        <v>75.121843263927417</v>
      </c>
      <c r="BE61" s="14">
        <f>BD61*VLOOKUP('Données projet'!$B$11,Paramètres!$A$1:$I$89,3,0)*VLOOKUP('Données projet'!$B$11,Paramètres!$A$1:$I$89,5,0)</f>
        <v>75.001648314705136</v>
      </c>
      <c r="BF61" s="14">
        <f t="shared" si="37"/>
        <v>20.910510269019241</v>
      </c>
      <c r="BG61" s="22">
        <f t="shared" si="7"/>
        <v>167.04700953331997</v>
      </c>
      <c r="BH61" s="60">
        <f t="shared" si="8"/>
        <v>460.38034286665328</v>
      </c>
      <c r="BI61" s="60">
        <f ca="1">AVERAGE(OFFSET($BH$3,0,0,'Données projet'!$E$11+1,1))-AVERAGE(OFFSET($H$3,0,0,'Données projet'!$E$11+1,1))</f>
        <v>123.29894837876157</v>
      </c>
      <c r="BJ61" s="60">
        <f t="shared" si="38"/>
        <v>103.52963511757127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222.87720000000002</v>
      </c>
      <c r="CA61" s="14">
        <f t="shared" si="39"/>
        <v>54.739757243913829</v>
      </c>
      <c r="CB61" s="22">
        <f t="shared" si="10"/>
        <v>483.51620053314986</v>
      </c>
      <c r="CC61" s="60">
        <f t="shared" si="11"/>
        <v>776.84953386648317</v>
      </c>
      <c r="CD61" s="60">
        <f ca="1">AVERAGE(OFFSET($CC$3,0,0,'Données projet'!$E$12+1,1))-AVERAGE(OFFSET($H$3,0,0,'Données projet'!$E$12+1,1))</f>
        <v>428.49602929661046</v>
      </c>
      <c r="CE61" s="60">
        <f t="shared" si="40"/>
        <v>252.32489414103878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4.8717948717948731</v>
      </c>
      <c r="CT61" s="13">
        <f>IF('Données projet'!$A$140&gt;35,CT60+CS61-DB60,IF(A61&lt;'Données projet'!$A$140,$CQ$205^A61,IF(A61='Données projet'!$A$140,'Données projet'!$B$140,CT60+CS61-DB60)))</f>
        <v>192.82051282051285</v>
      </c>
      <c r="CU61" s="18">
        <f>CT61*VLOOKUP('Données projet'!$B$13,Paramètres!$A$1:$I$89,3,0)*VLOOKUP('Données projet'!$B$13,Paramètres!$A$1:$I$89,5,0)</f>
        <v>129.34400000000002</v>
      </c>
      <c r="CV61" s="14">
        <f t="shared" si="41"/>
        <v>33.844732391528566</v>
      </c>
      <c r="CW61" s="22">
        <f t="shared" si="13"/>
        <v>284.22037558191226</v>
      </c>
      <c r="CX61" s="60">
        <f t="shared" si="14"/>
        <v>577.55370891524558</v>
      </c>
      <c r="CY61" s="60">
        <f ca="1">AVERAGE(OFFSET($CX$3,0,0,'Données projet'!$E$13+1,1))-AVERAGE(OFFSET($H$3,0,0,'Données projet'!$E$13+1,1))</f>
        <v>226.5873967387837</v>
      </c>
      <c r="CZ61" s="60">
        <f t="shared" si="42"/>
        <v>188.57459946241204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10.769230769230768</v>
      </c>
      <c r="DO61" s="13">
        <f>IF('Données projet'!$A$166&gt;35,DO60+DN61-DW60,IF(A61&lt;'Données projet'!$A$166,$DL$205^A61,IF(A61='Données projet'!$A$166,'Données projet'!$B$166,DO60+DN61-DW60)))</f>
        <v>296.92307692307685</v>
      </c>
      <c r="DP61" s="18">
        <f>DO61*VLOOKUP('Données projet'!$B$14,Paramètres!$A$1:$I$89,3,0)*VLOOKUP('Données projet'!$B$14,Paramètres!$A$1:$I$89,5,0)</f>
        <v>138.95999999999998</v>
      </c>
      <c r="DQ61" s="14">
        <f t="shared" si="43"/>
        <v>36.058652807868881</v>
      </c>
      <c r="DR61" s="22">
        <f t="shared" si="16"/>
        <v>304.82415364037161</v>
      </c>
      <c r="DS61" s="60">
        <f t="shared" si="17"/>
        <v>598.15748697370486</v>
      </c>
      <c r="DT61" s="60">
        <f ca="1">AVERAGE(OFFSET($DS$3,0,0,'Données projet'!$E$14+1,1))-AVERAGE(OFFSET($H$3,0,0,'Données projet'!$E$14+1,1))</f>
        <v>212.19771249416107</v>
      </c>
      <c r="DU61" s="60">
        <f t="shared" si="44"/>
        <v>125.93313963856127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16.106999999999989</v>
      </c>
      <c r="D62" s="12">
        <f t="shared" si="32"/>
        <v>5.3711863137071569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165.79652593037093</v>
      </c>
      <c r="H62" s="68">
        <f t="shared" si="1"/>
        <v>294.07450782970665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244.77335999999997</v>
      </c>
      <c r="P62" s="14">
        <f t="shared" si="33"/>
        <v>59.465362039582196</v>
      </c>
      <c r="Q62" s="22">
        <f t="shared" si="53"/>
        <v>529.88244088560566</v>
      </c>
      <c r="R62" s="60">
        <f t="shared" si="0"/>
        <v>823.21577421893903</v>
      </c>
      <c r="S62" s="60">
        <f ca="1">AVERAGE(OFFSET($R$3,0,0,'Données projet'!$E$9+1,1))-AVERAGE(OFFSET($H$3,0,0,'Données projet'!$E$9+1,1))</f>
        <v>455.09463986470064</v>
      </c>
      <c r="T62" s="60">
        <f t="shared" si="34"/>
        <v>266.42568447709669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7.12704</v>
      </c>
      <c r="AI62" s="14">
        <f>IF('Données projet'!$A$62&gt;35,AI61+AH62-AQ61,IF(A62&lt;'Données projet'!$A$62,$AF$205^A62,IF(A62='Données projet'!$A$62,'Données projet'!$B$62,AI61+AH62-AQ61)))</f>
        <v>169.82016000000016</v>
      </c>
      <c r="AJ62" s="14">
        <f>AI62*VLOOKUP('Données projet'!$B$10,Paramètres!$A$1:$I$89,3,0)*VLOOKUP('Données projet'!$B$10,Paramètres!$A$1:$I$89,5,0)</f>
        <v>145.70569728000015</v>
      </c>
      <c r="AK62" s="14">
        <f t="shared" si="35"/>
        <v>37.601046300719993</v>
      </c>
      <c r="AL62" s="22">
        <f t="shared" si="4"/>
        <v>319.25924506975423</v>
      </c>
      <c r="AM62" s="60">
        <f t="shared" si="5"/>
        <v>612.5925784030876</v>
      </c>
      <c r="AN62" s="60">
        <f ca="1">AVERAGE(OFFSET($AM$3,0,0,'Données projet'!$E$10+1,1))-AVERAGE(OFFSET($H$3,0,0,'Données projet'!$E$10+1,1))</f>
        <v>201.39673092164992</v>
      </c>
      <c r="AO62" s="60">
        <f t="shared" si="36"/>
        <v>278.95637851890405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1.6756925030589989</v>
      </c>
      <c r="BD62" s="13">
        <f>IF('Données projet'!$A$88&gt;35,BD61+BC62-BL61,IF(A62&lt;'Données projet'!$A$88,$BA$205^A62,IF(A62='Données projet'!$A$88,'Données projet'!$B$88,BD61+BC62-BL61)))</f>
        <v>76.797535766986414</v>
      </c>
      <c r="BE62" s="14">
        <f>BD62*VLOOKUP('Données projet'!$B$11,Paramètres!$A$1:$I$89,3,0)*VLOOKUP('Données projet'!$B$11,Paramètres!$A$1:$I$89,5,0)</f>
        <v>76.67465970975924</v>
      </c>
      <c r="BF62" s="14">
        <f t="shared" si="37"/>
        <v>21.32212307790174</v>
      </c>
      <c r="BG62" s="22">
        <f t="shared" si="7"/>
        <v>170.67773002184288</v>
      </c>
      <c r="BH62" s="60">
        <f t="shared" si="8"/>
        <v>464.01106335517619</v>
      </c>
      <c r="BI62" s="60">
        <f ca="1">AVERAGE(OFFSET($BH$3,0,0,'Données projet'!$E$11+1,1))-AVERAGE(OFFSET($H$3,0,0,'Données projet'!$E$11+1,1))</f>
        <v>123.29894837876157</v>
      </c>
      <c r="BJ62" s="60">
        <f t="shared" si="38"/>
        <v>103.52963511757127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230.58360000000002</v>
      </c>
      <c r="CA62" s="14">
        <f t="shared" si="39"/>
        <v>56.408850878327968</v>
      </c>
      <c r="CB62" s="22">
        <f t="shared" si="10"/>
        <v>499.8451852797545</v>
      </c>
      <c r="CC62" s="60">
        <f t="shared" si="11"/>
        <v>793.17851861308782</v>
      </c>
      <c r="CD62" s="60">
        <f ca="1">AVERAGE(OFFSET($CC$3,0,0,'Données projet'!$E$12+1,1))-AVERAGE(OFFSET($H$3,0,0,'Données projet'!$E$12+1,1))</f>
        <v>428.49602929661046</v>
      </c>
      <c r="CE62" s="60">
        <f t="shared" si="40"/>
        <v>252.32489414103878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4.8717948717948731</v>
      </c>
      <c r="CT62" s="13">
        <f>IF('Données projet'!$A$140&gt;35,CT61+CS62-DB61,IF(A62&lt;'Données projet'!$A$140,$CQ$205^A62,IF(A62='Données projet'!$A$140,'Données projet'!$B$140,CT61+CS62-DB61)))</f>
        <v>197.69230769230771</v>
      </c>
      <c r="CU62" s="18">
        <f>CT62*VLOOKUP('Données projet'!$B$13,Paramètres!$A$1:$I$89,3,0)*VLOOKUP('Données projet'!$B$13,Paramètres!$A$1:$I$89,5,0)</f>
        <v>132.61199999999999</v>
      </c>
      <c r="CV62" s="14">
        <f t="shared" si="41"/>
        <v>34.599215281612537</v>
      </c>
      <c r="CW62" s="22">
        <f t="shared" si="13"/>
        <v>291.22619994880847</v>
      </c>
      <c r="CX62" s="60">
        <f t="shared" si="14"/>
        <v>584.55953328214173</v>
      </c>
      <c r="CY62" s="60">
        <f ca="1">AVERAGE(OFFSET($CX$3,0,0,'Données projet'!$E$13+1,1))-AVERAGE(OFFSET($H$3,0,0,'Données projet'!$E$13+1,1))</f>
        <v>226.5873967387837</v>
      </c>
      <c r="CZ62" s="60">
        <f t="shared" si="42"/>
        <v>188.57459946241204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10.769230769230768</v>
      </c>
      <c r="DO62" s="13">
        <f>IF('Données projet'!$A$166&gt;35,DO61+DN62-DW61,IF(A62&lt;'Données projet'!$A$166,$DL$205^A62,IF(A62='Données projet'!$A$166,'Données projet'!$B$166,DO61+DN62-DW61)))</f>
        <v>307.69230769230762</v>
      </c>
      <c r="DP62" s="18">
        <f>DO62*VLOOKUP('Données projet'!$B$14,Paramètres!$A$1:$I$89,3,0)*VLOOKUP('Données projet'!$B$14,Paramètres!$A$1:$I$89,5,0)</f>
        <v>143.99999999999997</v>
      </c>
      <c r="DQ62" s="14">
        <f t="shared" si="43"/>
        <v>37.211841536720947</v>
      </c>
      <c r="DR62" s="22">
        <f t="shared" si="16"/>
        <v>315.61062400978892</v>
      </c>
      <c r="DS62" s="60">
        <f t="shared" si="17"/>
        <v>608.94395734312229</v>
      </c>
      <c r="DT62" s="60">
        <f ca="1">AVERAGE(OFFSET($DS$3,0,0,'Données projet'!$E$14+1,1))-AVERAGE(OFFSET($H$3,0,0,'Données projet'!$E$14+1,1))</f>
        <v>212.19771249416107</v>
      </c>
      <c r="DU62" s="60">
        <f t="shared" si="44"/>
        <v>125.93313963856127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16.379999999999988</v>
      </c>
      <c r="D63" s="12">
        <f t="shared" si="32"/>
        <v>5.451547802951878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168.52422865436529</v>
      </c>
      <c r="H63" s="68">
        <f t="shared" si="1"/>
        <v>294.68994575680784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252.95399999999998</v>
      </c>
      <c r="P63" s="14">
        <f t="shared" si="33"/>
        <v>61.218062391350081</v>
      </c>
      <c r="Q63" s="22">
        <f t="shared" si="53"/>
        <v>547.18300866493462</v>
      </c>
      <c r="R63" s="60">
        <f t="shared" si="0"/>
        <v>840.51634199826799</v>
      </c>
      <c r="S63" s="60">
        <f ca="1">AVERAGE(OFFSET($R$3,0,0,'Données projet'!$E$9+1,1))-AVERAGE(OFFSET($H$3,0,0,'Données projet'!$E$9+1,1))</f>
        <v>455.09463986470064</v>
      </c>
      <c r="T63" s="60">
        <f t="shared" si="34"/>
        <v>266.42568447709669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176.94720000000001</v>
      </c>
      <c r="AG63" s="13">
        <f>VLOOKUP(A63,'Données projet'!$A$61:$I$81,9,0)</f>
        <v>7.12704</v>
      </c>
      <c r="AH63" s="13">
        <f t="array" ref="AH63">INDEX(AG:AG,MIN(IF(ISNUMBER(AG63:AG259),ROW(AG63:AG259),"")))</f>
        <v>7.12704</v>
      </c>
      <c r="AI63" s="14">
        <f>IF('Données projet'!$A$62&gt;35,AI62+AH63-AQ62,IF(A63&lt;'Données projet'!$A$62,$AF$205^A63,IF(A63='Données projet'!$A$62,'Données projet'!$B$62,AI62+AH63-AQ62)))</f>
        <v>176.94720000000015</v>
      </c>
      <c r="AJ63" s="14">
        <f>AI63*VLOOKUP('Données projet'!$B$10,Paramètres!$A$1:$I$89,3,0)*VLOOKUP('Données projet'!$B$10,Paramètres!$A$1:$I$89,5,0)</f>
        <v>151.82069760000013</v>
      </c>
      <c r="AK63" s="14">
        <f t="shared" si="35"/>
        <v>38.992054702837351</v>
      </c>
      <c r="AL63" s="22">
        <f t="shared" si="4"/>
        <v>332.33221026077524</v>
      </c>
      <c r="AM63" s="60">
        <f t="shared" si="5"/>
        <v>625.66554359410861</v>
      </c>
      <c r="AN63" s="60">
        <f ca="1">AVERAGE(OFFSET($AM$3,0,0,'Données projet'!$E$10+1,1))-AVERAGE(OFFSET($H$3,0,0,'Données projet'!$E$10+1,1))</f>
        <v>201.39673092164992</v>
      </c>
      <c r="AO63" s="60">
        <f t="shared" si="36"/>
        <v>278.95637851890405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176.94720000000001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1.6756925030589989</v>
      </c>
      <c r="BD63" s="13">
        <f>IF('Données projet'!$A$88&gt;35,BD62+BC63-BL62,IF(A63&lt;'Données projet'!$A$88,$BA$205^A63,IF(A63='Données projet'!$A$88,'Données projet'!$B$88,BD62+BC63-BL62)))</f>
        <v>78.473228270045411</v>
      </c>
      <c r="BE63" s="14">
        <f>BD63*VLOOKUP('Données projet'!$B$11,Paramètres!$A$1:$I$89,3,0)*VLOOKUP('Données projet'!$B$11,Paramètres!$A$1:$I$89,5,0)</f>
        <v>78.347671104813344</v>
      </c>
      <c r="BF63" s="14">
        <f t="shared" si="37"/>
        <v>21.732691710236658</v>
      </c>
      <c r="BG63" s="22">
        <f t="shared" si="7"/>
        <v>174.30663190287873</v>
      </c>
      <c r="BH63" s="60">
        <f t="shared" si="8"/>
        <v>467.63996523621205</v>
      </c>
      <c r="BI63" s="60">
        <f ca="1">AVERAGE(OFFSET($BH$3,0,0,'Données projet'!$E$11+1,1))-AVERAGE(OFFSET($H$3,0,0,'Données projet'!$E$11+1,1))</f>
        <v>123.29894837876157</v>
      </c>
      <c r="BJ63" s="60">
        <f t="shared" si="38"/>
        <v>103.52963511757127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238.29000000000002</v>
      </c>
      <c r="CA63" s="14">
        <f t="shared" si="39"/>
        <v>58.071462681001513</v>
      </c>
      <c r="CB63" s="22">
        <f t="shared" si="10"/>
        <v>516.16288083607753</v>
      </c>
      <c r="CC63" s="60">
        <f t="shared" si="11"/>
        <v>809.49621416941091</v>
      </c>
      <c r="CD63" s="60">
        <f ca="1">AVERAGE(OFFSET($CC$3,0,0,'Données projet'!$E$12+1,1))-AVERAGE(OFFSET($H$3,0,0,'Données projet'!$E$12+1,1))</f>
        <v>428.49602929661046</v>
      </c>
      <c r="CE63" s="60">
        <f t="shared" si="40"/>
        <v>252.32489414103878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202.56410256410257</v>
      </c>
      <c r="CR63" s="13">
        <f>VLOOKUP(A63,'Données projet'!$A$139:$I$159,9,0)</f>
        <v>4.8717948717948731</v>
      </c>
      <c r="CS63" s="13">
        <f t="array" ref="CS63">INDEX(CR:CR,MIN(IF(ISNUMBER(CR63:CR259),ROW(CR63:CR259),"")))</f>
        <v>4.8717948717948731</v>
      </c>
      <c r="CT63" s="13">
        <f>IF('Données projet'!$A$140&gt;35,CT62+CS63-DB62,IF(A63&lt;'Données projet'!$A$140,$CQ$205^A63,IF(A63='Données projet'!$A$140,'Données projet'!$B$140,CT62+CS63-DB62)))</f>
        <v>202.56410256410257</v>
      </c>
      <c r="CU63" s="18">
        <f>CT63*VLOOKUP('Données projet'!$B$13,Paramètres!$A$1:$I$89,3,0)*VLOOKUP('Données projet'!$B$13,Paramètres!$A$1:$I$89,5,0)</f>
        <v>135.88</v>
      </c>
      <c r="CV63" s="14">
        <f t="shared" si="41"/>
        <v>35.351536820589814</v>
      </c>
      <c r="CW63" s="22">
        <f t="shared" si="13"/>
        <v>298.22825996252726</v>
      </c>
      <c r="CX63" s="60">
        <f t="shared" si="14"/>
        <v>591.56159329586058</v>
      </c>
      <c r="CY63" s="60">
        <f ca="1">AVERAGE(OFFSET($CX$3,0,0,'Données projet'!$E$13+1,1))-AVERAGE(OFFSET($H$3,0,0,'Données projet'!$E$13+1,1))</f>
        <v>226.5873967387837</v>
      </c>
      <c r="CZ63" s="60">
        <f t="shared" si="42"/>
        <v>188.57459946241204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26.282051282051281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10.769230769230768</v>
      </c>
      <c r="DO63" s="13">
        <f>IF('Données projet'!$A$166&gt;35,DO62+DN63-DW62,IF(A63&lt;'Données projet'!$A$166,$DL$205^A63,IF(A63='Données projet'!$A$166,'Données projet'!$B$166,DO62+DN63-DW62)))</f>
        <v>318.4615384615384</v>
      </c>
      <c r="DP63" s="18">
        <f>DO63*VLOOKUP('Données projet'!$B$14,Paramètres!$A$1:$I$89,3,0)*VLOOKUP('Données projet'!$B$14,Paramètres!$A$1:$I$89,5,0)</f>
        <v>149.03999999999996</v>
      </c>
      <c r="DQ63" s="14">
        <f t="shared" si="43"/>
        <v>38.360340720309644</v>
      </c>
      <c r="DR63" s="22">
        <f t="shared" si="16"/>
        <v>326.38892675453917</v>
      </c>
      <c r="DS63" s="60">
        <f t="shared" si="17"/>
        <v>619.72226008787243</v>
      </c>
      <c r="DT63" s="60">
        <f ca="1">AVERAGE(OFFSET($DS$3,0,0,'Données projet'!$E$14+1,1))-AVERAGE(OFFSET($H$3,0,0,'Données projet'!$E$14+1,1))</f>
        <v>212.19771249416107</v>
      </c>
      <c r="DU63" s="60">
        <f t="shared" si="44"/>
        <v>125.93313963856127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16.652999999999988</v>
      </c>
      <c r="D64" s="12">
        <f t="shared" si="32"/>
        <v>5.5317535344101696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171.25072903755211</v>
      </c>
      <c r="H64" s="68">
        <f t="shared" si="1"/>
        <v>295.30511240576436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215.49527999999992</v>
      </c>
      <c r="P64" s="14">
        <f t="shared" si="33"/>
        <v>53.134631326269272</v>
      </c>
      <c r="Q64" s="22">
        <f t="shared" si="53"/>
        <v>467.86376222658549</v>
      </c>
      <c r="R64" s="60">
        <f t="shared" si="0"/>
        <v>761.19709555991881</v>
      </c>
      <c r="S64" s="60">
        <f ca="1">AVERAGE(OFFSET($R$3,0,0,'Données projet'!$E$9+1,1))-AVERAGE(OFFSET($H$3,0,0,'Données projet'!$E$9+1,1))</f>
        <v>455.09463986470064</v>
      </c>
      <c r="T64" s="60">
        <f t="shared" si="34"/>
        <v>266.42568447709669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1.4210854715202004E-13</v>
      </c>
      <c r="AJ64" s="14">
        <f>AI64*VLOOKUP('Données projet'!$B$10,Paramètres!$A$1:$I$89,3,0)*VLOOKUP('Données projet'!$B$10,Paramètres!$A$1:$I$89,5,0)</f>
        <v>1.2192913345643319E-13</v>
      </c>
      <c r="AK64" s="14">
        <f t="shared" si="35"/>
        <v>1.7899324464546674E-12</v>
      </c>
      <c r="AL64" s="22">
        <f t="shared" si="4"/>
        <v>3.3298255850118335E-12</v>
      </c>
      <c r="AM64" s="60">
        <f t="shared" si="5"/>
        <v>293.33333333333667</v>
      </c>
      <c r="AN64" s="60">
        <f ca="1">AVERAGE(OFFSET($AM$3,0,0,'Données projet'!$E$10+1,1))-AVERAGE(OFFSET($H$3,0,0,'Données projet'!$E$10+1,1))</f>
        <v>201.39673092164992</v>
      </c>
      <c r="AO64" s="60">
        <f t="shared" si="36"/>
        <v>278.95637851890405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>
        <f>VLOOKUP(A64,'Données projet'!$A$87:$I$107,2,0)</f>
        <v>80.148920773104464</v>
      </c>
      <c r="BB64" s="13">
        <f>VLOOKUP(A64,'Données projet'!$A$87:$I$107,9,0)</f>
        <v>1.6756925030589989</v>
      </c>
      <c r="BC64" s="13">
        <f t="array" ref="BC64">INDEX(BB:BB,MIN(IF(ISNUMBER(BB64:BB260),ROW(BB64:BB260),"")))</f>
        <v>1.6756925030589989</v>
      </c>
      <c r="BD64" s="13">
        <f>IF('Données projet'!$A$88&gt;35,BD63+BC64-BL63,IF(A64&lt;'Données projet'!$A$88,$BA$205^A64,IF(A64='Données projet'!$A$88,'Données projet'!$B$88,BD63+BC64-BL63)))</f>
        <v>80.148920773104408</v>
      </c>
      <c r="BE64" s="14">
        <f>BD64*VLOOKUP('Données projet'!$B$11,Paramètres!$A$1:$I$89,3,0)*VLOOKUP('Données projet'!$B$11,Paramètres!$A$1:$I$89,5,0)</f>
        <v>80.020682499867434</v>
      </c>
      <c r="BF64" s="14">
        <f t="shared" si="37"/>
        <v>22.142241031318463</v>
      </c>
      <c r="BG64" s="22">
        <f t="shared" si="7"/>
        <v>177.93375848348208</v>
      </c>
      <c r="BH64" s="60">
        <f t="shared" si="8"/>
        <v>471.26709181681542</v>
      </c>
      <c r="BI64" s="60">
        <f ca="1">AVERAGE(OFFSET($BH$3,0,0,'Données projet'!$E$11+1,1))-AVERAGE(OFFSET($H$3,0,0,'Données projet'!$E$11+1,1))</f>
        <v>123.29894837876157</v>
      </c>
      <c r="BJ64" s="60">
        <f t="shared" si="38"/>
        <v>103.52963511757127</v>
      </c>
      <c r="BK64" s="16">
        <f>IF(ISNA(VLOOKUP(A64,'Données projet'!$A$87:$I$107,3,0)),0,VLOOKUP(A64,'Données projet'!$A$87:$I$107,3,0))</f>
        <v>3</v>
      </c>
      <c r="BL64" s="16">
        <f>IF(ISNA(VLOOKUP(A64,'Données projet'!$A$87:$I$107,4,0)),0,VLOOKUP(A64,'Données projet'!$A$87:$I$107,4,0))</f>
        <v>7.8564011781403069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203.00279999999995</v>
      </c>
      <c r="CA64" s="14">
        <f t="shared" si="39"/>
        <v>50.403518824343074</v>
      </c>
      <c r="CB64" s="22">
        <f t="shared" si="10"/>
        <v>441.3493386190641</v>
      </c>
      <c r="CC64" s="60">
        <f t="shared" si="11"/>
        <v>734.68267195239741</v>
      </c>
      <c r="CD64" s="60">
        <f ca="1">AVERAGE(OFFSET($CC$3,0,0,'Données projet'!$E$12+1,1))-AVERAGE(OFFSET($H$3,0,0,'Données projet'!$E$12+1,1))</f>
        <v>428.49602929661046</v>
      </c>
      <c r="CE64" s="60">
        <f t="shared" si="40"/>
        <v>252.32489414103878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4.4871794871794801</v>
      </c>
      <c r="CT64" s="13">
        <f>IF('Données projet'!$A$140&gt;35,CT63+CS64-DB63,IF(A64&lt;'Données projet'!$A$140,$CQ$205^A64,IF(A64='Données projet'!$A$140,'Données projet'!$B$140,CT63+CS64-DB63)))</f>
        <v>180.76923076923077</v>
      </c>
      <c r="CU64" s="18">
        <f>CT64*VLOOKUP('Données projet'!$B$13,Paramètres!$A$1:$I$89,3,0)*VLOOKUP('Données projet'!$B$13,Paramètres!$A$1:$I$89,5,0)</f>
        <v>121.25999999999999</v>
      </c>
      <c r="CV64" s="14">
        <f t="shared" si="41"/>
        <v>31.968694713827716</v>
      </c>
      <c r="CW64" s="22">
        <f t="shared" si="13"/>
        <v>266.87330995991658</v>
      </c>
      <c r="CX64" s="60">
        <f t="shared" si="14"/>
        <v>560.20664329324995</v>
      </c>
      <c r="CY64" s="60">
        <f ca="1">AVERAGE(OFFSET($CX$3,0,0,'Données projet'!$E$13+1,1))-AVERAGE(OFFSET($H$3,0,0,'Données projet'!$E$13+1,1))</f>
        <v>226.5873967387837</v>
      </c>
      <c r="CZ64" s="60">
        <f t="shared" si="42"/>
        <v>188.57459946241204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10.769230769230768</v>
      </c>
      <c r="DO64" s="13">
        <f>IF('Données projet'!$A$166&gt;35,DO63+DN64-DW63,IF(A64&lt;'Données projet'!$A$166,$DL$205^A64,IF(A64='Données projet'!$A$166,'Données projet'!$B$166,DO63+DN64-DW63)))</f>
        <v>329.23076923076917</v>
      </c>
      <c r="DP64" s="18">
        <f>DO64*VLOOKUP('Données projet'!$B$14,Paramètres!$A$1:$I$89,3,0)*VLOOKUP('Données projet'!$B$14,Paramètres!$A$1:$I$89,5,0)</f>
        <v>154.07999999999998</v>
      </c>
      <c r="DQ64" s="14">
        <f t="shared" si="43"/>
        <v>39.504327121889922</v>
      </c>
      <c r="DR64" s="22">
        <f t="shared" si="16"/>
        <v>337.15936973729157</v>
      </c>
      <c r="DS64" s="60">
        <f t="shared" si="17"/>
        <v>630.49270307062488</v>
      </c>
      <c r="DT64" s="60">
        <f ca="1">AVERAGE(OFFSET($DS$3,0,0,'Données projet'!$E$14+1,1))-AVERAGE(OFFSET($H$3,0,0,'Données projet'!$E$14+1,1))</f>
        <v>212.19771249416107</v>
      </c>
      <c r="DU64" s="60">
        <f t="shared" si="44"/>
        <v>125.93313963856127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16.925999999999988</v>
      </c>
      <c r="D65" s="12">
        <f t="shared" si="32"/>
        <v>5.6118063562438518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173.97604906574193</v>
      </c>
      <c r="H65" s="68">
        <f t="shared" si="1"/>
        <v>295.92001273712469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223.24535999999995</v>
      </c>
      <c r="P65" s="14">
        <f t="shared" si="33"/>
        <v>54.819646394591118</v>
      </c>
      <c r="Q65" s="22">
        <f t="shared" si="53"/>
        <v>484.29655280391279</v>
      </c>
      <c r="R65" s="60">
        <f t="shared" si="0"/>
        <v>777.6298861372461</v>
      </c>
      <c r="S65" s="60">
        <f ca="1">AVERAGE(OFFSET($R$3,0,0,'Données projet'!$E$9+1,1))-AVERAGE(OFFSET($H$3,0,0,'Données projet'!$E$9+1,1))</f>
        <v>455.09463986470064</v>
      </c>
      <c r="T65" s="60">
        <f t="shared" si="34"/>
        <v>266.42568447709669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1.4210854715202004E-13</v>
      </c>
      <c r="AJ65" s="14">
        <f>AI65*VLOOKUP('Données projet'!$B$10,Paramètres!$A$1:$I$89,3,0)*VLOOKUP('Données projet'!$B$10,Paramètres!$A$1:$I$89,5,0)</f>
        <v>1.2192913345643319E-13</v>
      </c>
      <c r="AK65" s="14">
        <f t="shared" si="35"/>
        <v>1.7899324464546674E-12</v>
      </c>
      <c r="AL65" s="22">
        <f t="shared" si="4"/>
        <v>3.3298255850118335E-12</v>
      </c>
      <c r="AM65" s="60">
        <f t="shared" si="5"/>
        <v>293.33333333333667</v>
      </c>
      <c r="AN65" s="60">
        <f ca="1">AVERAGE(OFFSET($AM$3,0,0,'Données projet'!$E$10+1,1))-AVERAGE(OFFSET($H$3,0,0,'Données projet'!$E$10+1,1))</f>
        <v>201.39673092164992</v>
      </c>
      <c r="AO65" s="60">
        <f t="shared" si="36"/>
        <v>278.95637851890405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1.6365575990587931</v>
      </c>
      <c r="BD65" s="13">
        <f>IF('Données projet'!$A$88&gt;35,BD64+BC65-BL64,IF(A65&lt;'Données projet'!$A$88,$BA$205^A65,IF(A65='Données projet'!$A$88,'Données projet'!$B$88,BD64+BC65-BL64)))</f>
        <v>73.929077194022895</v>
      </c>
      <c r="BE65" s="14">
        <f>BD65*VLOOKUP('Données projet'!$B$11,Paramètres!$A$1:$I$89,3,0)*VLOOKUP('Données projet'!$B$11,Paramètres!$A$1:$I$89,5,0)</f>
        <v>73.810790670512461</v>
      </c>
      <c r="BF65" s="14">
        <f t="shared" si="37"/>
        <v>20.616871829268039</v>
      </c>
      <c r="BG65" s="22">
        <f t="shared" si="7"/>
        <v>164.46151218711768</v>
      </c>
      <c r="BH65" s="60">
        <f t="shared" si="8"/>
        <v>457.79484552045096</v>
      </c>
      <c r="BI65" s="60">
        <f ca="1">AVERAGE(OFFSET($BH$3,0,0,'Données projet'!$E$11+1,1))-AVERAGE(OFFSET($H$3,0,0,'Données projet'!$E$11+1,1))</f>
        <v>123.29894837876157</v>
      </c>
      <c r="BJ65" s="60">
        <f t="shared" si="38"/>
        <v>103.52963511757127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210.30359999999996</v>
      </c>
      <c r="CA65" s="14">
        <f t="shared" si="39"/>
        <v>52.001924357524459</v>
      </c>
      <c r="CB65" s="22">
        <f t="shared" si="10"/>
        <v>456.84878825602163</v>
      </c>
      <c r="CC65" s="60">
        <f t="shared" si="11"/>
        <v>750.18212158935489</v>
      </c>
      <c r="CD65" s="60">
        <f ca="1">AVERAGE(OFFSET($CC$3,0,0,'Données projet'!$E$12+1,1))-AVERAGE(OFFSET($H$3,0,0,'Données projet'!$E$12+1,1))</f>
        <v>428.49602929661046</v>
      </c>
      <c r="CE65" s="60">
        <f t="shared" si="40"/>
        <v>252.32489414103878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4.4871794871794801</v>
      </c>
      <c r="CT65" s="13">
        <f>IF('Données projet'!$A$140&gt;35,CT64+CS65-DB64,IF(A65&lt;'Données projet'!$A$140,$CQ$205^A65,IF(A65='Données projet'!$A$140,'Données projet'!$B$140,CT64+CS65-DB64)))</f>
        <v>185.25641025641025</v>
      </c>
      <c r="CU65" s="18">
        <f>CT65*VLOOKUP('Données projet'!$B$13,Paramètres!$A$1:$I$89,3,0)*VLOOKUP('Données projet'!$B$13,Paramètres!$A$1:$I$89,5,0)</f>
        <v>124.27</v>
      </c>
      <c r="CV65" s="14">
        <f t="shared" si="41"/>
        <v>32.668871006084437</v>
      </c>
      <c r="CW65" s="22">
        <f t="shared" si="13"/>
        <v>273.33520033559711</v>
      </c>
      <c r="CX65" s="60">
        <f t="shared" si="14"/>
        <v>566.66853366893042</v>
      </c>
      <c r="CY65" s="60">
        <f ca="1">AVERAGE(OFFSET($CX$3,0,0,'Données projet'!$E$13+1,1))-AVERAGE(OFFSET($H$3,0,0,'Données projet'!$E$13+1,1))</f>
        <v>226.5873967387837</v>
      </c>
      <c r="CZ65" s="60">
        <f t="shared" si="42"/>
        <v>188.57459946241204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10.769230769230768</v>
      </c>
      <c r="DO65" s="13">
        <f>IF('Données projet'!$A$166&gt;35,DO64+DN65-DW64,IF(A65&lt;'Données projet'!$A$166,$DL$205^A65,IF(A65='Données projet'!$A$166,'Données projet'!$B$166,DO64+DN65-DW64)))</f>
        <v>339.99999999999994</v>
      </c>
      <c r="DP65" s="18">
        <f>DO65*VLOOKUP('Données projet'!$B$14,Paramètres!$A$1:$I$89,3,0)*VLOOKUP('Données projet'!$B$14,Paramètres!$A$1:$I$89,5,0)</f>
        <v>159.11999999999998</v>
      </c>
      <c r="DQ65" s="14">
        <f t="shared" si="43"/>
        <v>40.643965284387697</v>
      </c>
      <c r="DR65" s="22">
        <f t="shared" si="16"/>
        <v>347.92223953697516</v>
      </c>
      <c r="DS65" s="60">
        <f t="shared" si="17"/>
        <v>641.25557287030847</v>
      </c>
      <c r="DT65" s="60">
        <f ca="1">AVERAGE(OFFSET($DS$3,0,0,'Données projet'!$E$14+1,1))-AVERAGE(OFFSET($H$3,0,0,'Données projet'!$E$14+1,1))</f>
        <v>212.19771249416107</v>
      </c>
      <c r="DU65" s="60">
        <f t="shared" si="44"/>
        <v>125.93313963856127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17.198999999999987</v>
      </c>
      <c r="D66" s="12">
        <f t="shared" si="32"/>
        <v>5.6917090194699922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176.70020997485599</v>
      </c>
      <c r="H66" s="68">
        <f t="shared" si="1"/>
        <v>296.53465154224358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230.99543999999995</v>
      </c>
      <c r="P66" s="14">
        <f t="shared" si="33"/>
        <v>56.497864803589785</v>
      </c>
      <c r="Q66" s="22">
        <f t="shared" si="53"/>
        <v>500.71750586625211</v>
      </c>
      <c r="R66" s="60">
        <f t="shared" si="0"/>
        <v>794.05083919958543</v>
      </c>
      <c r="S66" s="60">
        <f ca="1">AVERAGE(OFFSET($R$3,0,0,'Données projet'!$E$9+1,1))-AVERAGE(OFFSET($H$3,0,0,'Données projet'!$E$9+1,1))</f>
        <v>455.09463986470064</v>
      </c>
      <c r="T66" s="60">
        <f t="shared" si="34"/>
        <v>266.42568447709669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1.4210854715202004E-13</v>
      </c>
      <c r="AJ66" s="14">
        <f>AI66*VLOOKUP('Données projet'!$B$10,Paramètres!$A$1:$I$89,3,0)*VLOOKUP('Données projet'!$B$10,Paramètres!$A$1:$I$89,5,0)</f>
        <v>1.2192913345643319E-13</v>
      </c>
      <c r="AK66" s="14">
        <f t="shared" si="35"/>
        <v>1.7899324464546674E-12</v>
      </c>
      <c r="AL66" s="22">
        <f t="shared" si="4"/>
        <v>3.3298255850118335E-12</v>
      </c>
      <c r="AM66" s="60">
        <f t="shared" si="5"/>
        <v>293.33333333333667</v>
      </c>
      <c r="AN66" s="60">
        <f ca="1">AVERAGE(OFFSET($AM$3,0,0,'Données projet'!$E$10+1,1))-AVERAGE(OFFSET($H$3,0,0,'Données projet'!$E$10+1,1))</f>
        <v>201.39673092164992</v>
      </c>
      <c r="AO66" s="60">
        <f t="shared" si="36"/>
        <v>278.95637851890405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1.6365575990587931</v>
      </c>
      <c r="BD66" s="13">
        <f>IF('Données projet'!$A$88&gt;35,BD65+BC66-BL65,IF(A66&lt;'Données projet'!$A$88,$BA$205^A66,IF(A66='Données projet'!$A$88,'Données projet'!$B$88,BD65+BC66-BL65)))</f>
        <v>75.565634793081685</v>
      </c>
      <c r="BE66" s="14">
        <f>BD66*VLOOKUP('Données projet'!$B$11,Paramètres!$A$1:$I$89,3,0)*VLOOKUP('Données projet'!$B$11,Paramètres!$A$1:$I$89,5,0)</f>
        <v>75.444729777412761</v>
      </c>
      <c r="BF66" s="14">
        <f t="shared" si="37"/>
        <v>21.01962517724553</v>
      </c>
      <c r="BG66" s="22">
        <f t="shared" si="7"/>
        <v>168.00875154602983</v>
      </c>
      <c r="BH66" s="60">
        <f t="shared" si="8"/>
        <v>461.34208487936314</v>
      </c>
      <c r="BI66" s="60">
        <f ca="1">AVERAGE(OFFSET($BH$3,0,0,'Données projet'!$E$11+1,1))-AVERAGE(OFFSET($H$3,0,0,'Données projet'!$E$11+1,1))</f>
        <v>123.29894837876157</v>
      </c>
      <c r="BJ66" s="60">
        <f t="shared" si="38"/>
        <v>103.52963511757127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217.60439999999994</v>
      </c>
      <c r="CA66" s="14">
        <f t="shared" si="39"/>
        <v>53.593882578706356</v>
      </c>
      <c r="CB66" s="22">
        <f t="shared" si="10"/>
        <v>472.33700882458015</v>
      </c>
      <c r="CC66" s="60">
        <f t="shared" si="11"/>
        <v>765.67034215791341</v>
      </c>
      <c r="CD66" s="60">
        <f ca="1">AVERAGE(OFFSET($CC$3,0,0,'Données projet'!$E$12+1,1))-AVERAGE(OFFSET($H$3,0,0,'Données projet'!$E$12+1,1))</f>
        <v>428.49602929661046</v>
      </c>
      <c r="CE66" s="60">
        <f t="shared" si="40"/>
        <v>252.32489414103878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4.4871794871794801</v>
      </c>
      <c r="CT66" s="13">
        <f>IF('Données projet'!$A$140&gt;35,CT65+CS66-DB65,IF(A66&lt;'Données projet'!$A$140,$CQ$205^A66,IF(A66='Données projet'!$A$140,'Données projet'!$B$140,CT65+CS66-DB65)))</f>
        <v>189.74358974358972</v>
      </c>
      <c r="CU66" s="18">
        <f>CT66*VLOOKUP('Données projet'!$B$13,Paramètres!$A$1:$I$89,3,0)*VLOOKUP('Données projet'!$B$13,Paramètres!$A$1:$I$89,5,0)</f>
        <v>127.27999999999999</v>
      </c>
      <c r="CV66" s="14">
        <f t="shared" si="41"/>
        <v>33.367075813758639</v>
      </c>
      <c r="CW66" s="22">
        <f t="shared" si="13"/>
        <v>279.79365704229622</v>
      </c>
      <c r="CX66" s="60">
        <f t="shared" si="14"/>
        <v>573.12699037562948</v>
      </c>
      <c r="CY66" s="60">
        <f ca="1">AVERAGE(OFFSET($CX$3,0,0,'Données projet'!$E$13+1,1))-AVERAGE(OFFSET($H$3,0,0,'Données projet'!$E$13+1,1))</f>
        <v>226.5873967387837</v>
      </c>
      <c r="CZ66" s="60">
        <f t="shared" si="42"/>
        <v>188.57459946241204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>
        <f>VLOOKUP(A66,'Données projet'!$A$165:$I$185,2,0)</f>
        <v>350.76923076923077</v>
      </c>
      <c r="DM66" s="13">
        <f>VLOOKUP(A66,'Données projet'!$A$165:$I$185,9,0)</f>
        <v>10.769230769230768</v>
      </c>
      <c r="DN66" s="13">
        <f t="array" ref="DN66">INDEX(DM:DM,MIN(IF(ISNUMBER(DM66:DM262),ROW(DM66:DM262),"")))</f>
        <v>10.769230769230768</v>
      </c>
      <c r="DO66" s="13">
        <f>IF('Données projet'!$A$166&gt;35,DO65+DN66-DW65,IF(A66&lt;'Données projet'!$A$166,$DL$205^A66,IF(A66='Données projet'!$A$166,'Données projet'!$B$166,DO65+DN66-DW65)))</f>
        <v>350.76923076923072</v>
      </c>
      <c r="DP66" s="18">
        <f>DO66*VLOOKUP('Données projet'!$B$14,Paramètres!$A$1:$I$89,3,0)*VLOOKUP('Données projet'!$B$14,Paramètres!$A$1:$I$89,5,0)</f>
        <v>164.15999999999997</v>
      </c>
      <c r="DQ66" s="14">
        <f t="shared" si="43"/>
        <v>41.779408735262933</v>
      </c>
      <c r="DR66" s="22">
        <f t="shared" si="16"/>
        <v>358.67780354724954</v>
      </c>
      <c r="DS66" s="60">
        <f t="shared" si="17"/>
        <v>652.01113688058285</v>
      </c>
      <c r="DT66" s="60">
        <f ca="1">AVERAGE(OFFSET($DS$3,0,0,'Données projet'!$E$14+1,1))-AVERAGE(OFFSET($H$3,0,0,'Données projet'!$E$14+1,1))</f>
        <v>212.19771249416107</v>
      </c>
      <c r="DU66" s="60">
        <f t="shared" si="44"/>
        <v>125.93313963856127</v>
      </c>
      <c r="DV66" s="16">
        <f>IF(ISNA(VLOOKUP(A66,'Données projet'!$A$165:$I$185,3,0)),0,VLOOKUP(A66,'Données projet'!$A$165:$I$185,3,0))</f>
        <v>2</v>
      </c>
      <c r="DW66" s="16">
        <f>IF(ISNA(VLOOKUP(A66,'Données projet'!$A$165:$I$185,4,0)),0,VLOOKUP(A66,'Données projet'!$A$165:$I$185,4,0))</f>
        <v>108.46153846153845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17.471999999999987</v>
      </c>
      <c r="D67" s="12">
        <f t="shared" si="32"/>
        <v>5.7714641827626956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179.42323228799265</v>
      </c>
      <c r="H67" s="68">
        <f t="shared" si="1"/>
        <v>297.14903345164504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238.74551999999991</v>
      </c>
      <c r="P67" s="14">
        <f t="shared" si="33"/>
        <v>58.169540730060781</v>
      </c>
      <c r="Q67" s="22">
        <f t="shared" ref="Q67:Q98" si="54">(O67+P67)*0.475*44/12</f>
        <v>517.12706410485578</v>
      </c>
      <c r="R67" s="60">
        <f t="shared" ref="R67:R130" si="55">Q67+(I67+J67)*44/12</f>
        <v>810.46039743818915</v>
      </c>
      <c r="S67" s="60">
        <f ca="1">AVERAGE(OFFSET($R$3,0,0,'Données projet'!$E$9+1,1))-AVERAGE(OFFSET($H$3,0,0,'Données projet'!$E$9+1,1))</f>
        <v>455.09463986470064</v>
      </c>
      <c r="T67" s="60">
        <f t="shared" si="34"/>
        <v>266.42568447709669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1.4210854715202004E-13</v>
      </c>
      <c r="AJ67" s="14">
        <f>AI67*VLOOKUP('Données projet'!$B$10,Paramètres!$A$1:$I$89,3,0)*VLOOKUP('Données projet'!$B$10,Paramètres!$A$1:$I$89,5,0)</f>
        <v>1.2192913345643319E-13</v>
      </c>
      <c r="AK67" s="14">
        <f t="shared" si="35"/>
        <v>1.7899324464546674E-12</v>
      </c>
      <c r="AL67" s="22">
        <f t="shared" si="4"/>
        <v>3.3298255850118335E-12</v>
      </c>
      <c r="AM67" s="60">
        <f t="shared" si="5"/>
        <v>293.33333333333667</v>
      </c>
      <c r="AN67" s="60">
        <f ca="1">AVERAGE(OFFSET($AM$3,0,0,'Données projet'!$E$10+1,1))-AVERAGE(OFFSET($H$3,0,0,'Données projet'!$E$10+1,1))</f>
        <v>201.39673092164992</v>
      </c>
      <c r="AO67" s="60">
        <f t="shared" si="36"/>
        <v>278.95637851890405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1.6365575990587931</v>
      </c>
      <c r="BD67" s="13">
        <f>IF('Données projet'!$A$88&gt;35,BD66+BC67-BL66,IF(A67&lt;'Données projet'!$A$88,$BA$205^A67,IF(A67='Données projet'!$A$88,'Données projet'!$B$88,BD66+BC67-BL66)))</f>
        <v>77.202192392140475</v>
      </c>
      <c r="BE67" s="14">
        <f>BD67*VLOOKUP('Données projet'!$B$11,Paramètres!$A$1:$I$89,3,0)*VLOOKUP('Données projet'!$B$11,Paramètres!$A$1:$I$89,5,0)</f>
        <v>77.078668884313061</v>
      </c>
      <c r="BF67" s="14">
        <f t="shared" si="37"/>
        <v>21.421364409095336</v>
      </c>
      <c r="BG67" s="22">
        <f t="shared" si="7"/>
        <v>171.55422465268626</v>
      </c>
      <c r="BH67" s="60">
        <f t="shared" si="8"/>
        <v>464.8875579860196</v>
      </c>
      <c r="BI67" s="60">
        <f ca="1">AVERAGE(OFFSET($BH$3,0,0,'Données projet'!$E$11+1,1))-AVERAGE(OFFSET($H$3,0,0,'Données projet'!$E$11+1,1))</f>
        <v>123.29894837876157</v>
      </c>
      <c r="BJ67" s="60">
        <f t="shared" si="38"/>
        <v>103.52963511757127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224.90519999999995</v>
      </c>
      <c r="CA67" s="14">
        <f t="shared" si="39"/>
        <v>55.17963460003309</v>
      </c>
      <c r="CB67" s="22">
        <f t="shared" si="10"/>
        <v>487.81442026172425</v>
      </c>
      <c r="CC67" s="60">
        <f t="shared" si="11"/>
        <v>781.14775359505757</v>
      </c>
      <c r="CD67" s="60">
        <f ca="1">AVERAGE(OFFSET($CC$3,0,0,'Données projet'!$E$12+1,1))-AVERAGE(OFFSET($H$3,0,0,'Données projet'!$E$12+1,1))</f>
        <v>428.49602929661046</v>
      </c>
      <c r="CE67" s="60">
        <f t="shared" si="40"/>
        <v>252.32489414103878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4.4871794871794801</v>
      </c>
      <c r="CT67" s="13">
        <f>IF('Données projet'!$A$140&gt;35,CT66+CS67-DB66,IF(A67&lt;'Données projet'!$A$140,$CQ$205^A67,IF(A67='Données projet'!$A$140,'Données projet'!$B$140,CT66+CS67-DB66)))</f>
        <v>194.2307692307692</v>
      </c>
      <c r="CU67" s="18">
        <f>CT67*VLOOKUP('Données projet'!$B$13,Paramètres!$A$1:$I$89,3,0)*VLOOKUP('Données projet'!$B$13,Paramètres!$A$1:$I$89,5,0)</f>
        <v>130.29</v>
      </c>
      <c r="CV67" s="14">
        <f t="shared" si="41"/>
        <v>34.063361124931106</v>
      </c>
      <c r="CW67" s="22">
        <f t="shared" si="13"/>
        <v>286.24877062592162</v>
      </c>
      <c r="CX67" s="60">
        <f t="shared" si="14"/>
        <v>579.58210395925494</v>
      </c>
      <c r="CY67" s="60">
        <f ca="1">AVERAGE(OFFSET($CX$3,0,0,'Données projet'!$E$13+1,1))-AVERAGE(OFFSET($H$3,0,0,'Données projet'!$E$13+1,1))</f>
        <v>226.5873967387837</v>
      </c>
      <c r="CZ67" s="60">
        <f t="shared" si="42"/>
        <v>188.57459946241204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9.8717948717948705</v>
      </c>
      <c r="DO67" s="13">
        <f>IF('Données projet'!$A$166&gt;35,DO66+DN67-DW66,IF(A67&lt;'Données projet'!$A$166,$DL$205^A67,IF(A67='Données projet'!$A$166,'Données projet'!$B$166,DO66+DN67-DW66)))</f>
        <v>252.17948717948713</v>
      </c>
      <c r="DP67" s="18">
        <f>DO67*VLOOKUP('Données projet'!$B$14,Paramètres!$A$1:$I$89,3,0)*VLOOKUP('Données projet'!$B$14,Paramètres!$A$1:$I$89,5,0)</f>
        <v>118.01999999999998</v>
      </c>
      <c r="DQ67" s="14">
        <f t="shared" si="43"/>
        <v>31.212750593480965</v>
      </c>
      <c r="DR67" s="22">
        <f t="shared" si="16"/>
        <v>259.91370728364598</v>
      </c>
      <c r="DS67" s="60">
        <f t="shared" si="17"/>
        <v>553.24704061697935</v>
      </c>
      <c r="DT67" s="60">
        <f ca="1">AVERAGE(OFFSET($DS$3,0,0,'Données projet'!$E$14+1,1))-AVERAGE(OFFSET($H$3,0,0,'Données projet'!$E$14+1,1))</f>
        <v>212.19771249416107</v>
      </c>
      <c r="DU67" s="60">
        <f t="shared" si="44"/>
        <v>125.93313963856127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17.744999999999987</v>
      </c>
      <c r="D68" s="12">
        <f t="shared" si="32"/>
        <v>5.8510744169462496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182.1451358501113</v>
      </c>
      <c r="H68" s="68">
        <f t="shared" ref="H68:H131" si="56">(B68+E68+F68)*44/12+(C68+D68)*0.475*44/12</f>
        <v>297.76316294284806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246.49559999999991</v>
      </c>
      <c r="P68" s="14">
        <f t="shared" si="33"/>
        <v>59.834910912017278</v>
      </c>
      <c r="Q68" s="22">
        <f t="shared" si="54"/>
        <v>533.52563983842992</v>
      </c>
      <c r="R68" s="60">
        <f t="shared" si="55"/>
        <v>826.85897317176318</v>
      </c>
      <c r="S68" s="60">
        <f ca="1">AVERAGE(OFFSET($R$3,0,0,'Données projet'!$E$9+1,1))-AVERAGE(OFFSET($H$3,0,0,'Données projet'!$E$9+1,1))</f>
        <v>455.09463986470064</v>
      </c>
      <c r="T68" s="60">
        <f t="shared" si="34"/>
        <v>266.42568447709669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1.4210854715202004E-13</v>
      </c>
      <c r="AJ68" s="14">
        <f>AI68*VLOOKUP('Données projet'!$B$10,Paramètres!$A$1:$I$89,3,0)*VLOOKUP('Données projet'!$B$10,Paramètres!$A$1:$I$89,5,0)</f>
        <v>1.2192913345643319E-13</v>
      </c>
      <c r="AK68" s="14">
        <f t="shared" si="35"/>
        <v>1.7899324464546674E-12</v>
      </c>
      <c r="AL68" s="22">
        <f t="shared" ref="AL68:AL131" si="58">(AJ68+AK68)*0.475*44/12</f>
        <v>3.3298255850118335E-12</v>
      </c>
      <c r="AM68" s="60">
        <f t="shared" ref="AM68:AM131" si="59">AL68+(AD68+AE68)*44/12</f>
        <v>293.33333333333667</v>
      </c>
      <c r="AN68" s="60">
        <f ca="1">AVERAGE(OFFSET($AM$3,0,0,'Données projet'!$E$10+1,1))-AVERAGE(OFFSET($H$3,0,0,'Données projet'!$E$10+1,1))</f>
        <v>201.39673092164992</v>
      </c>
      <c r="AO68" s="60">
        <f t="shared" si="36"/>
        <v>278.95637851890405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1.6365575990587931</v>
      </c>
      <c r="BD68" s="13">
        <f>IF('Données projet'!$A$88&gt;35,BD67+BC68-BL67,IF(A68&lt;'Données projet'!$A$88,$BA$205^A68,IF(A68='Données projet'!$A$88,'Données projet'!$B$88,BD67+BC68-BL67)))</f>
        <v>78.838749991199265</v>
      </c>
      <c r="BE68" s="14">
        <f>BD68*VLOOKUP('Données projet'!$B$11,Paramètres!$A$1:$I$89,3,0)*VLOOKUP('Données projet'!$B$11,Paramètres!$A$1:$I$89,5,0)</f>
        <v>78.712607991213346</v>
      </c>
      <c r="BF68" s="14">
        <f t="shared" si="37"/>
        <v>21.822113498743917</v>
      </c>
      <c r="BG68" s="22">
        <f t="shared" ref="BG68:BG131" si="61">(BE68+BF68)*0.475*44/12</f>
        <v>175.09797326167555</v>
      </c>
      <c r="BH68" s="60">
        <f t="shared" ref="BH68:BH131" si="62">BG68+(AY68+AZ68)*44/12</f>
        <v>468.43130659500889</v>
      </c>
      <c r="BI68" s="60">
        <f ca="1">AVERAGE(OFFSET($BH$3,0,0,'Données projet'!$E$11+1,1))-AVERAGE(OFFSET($H$3,0,0,'Données projet'!$E$11+1,1))</f>
        <v>123.29894837876157</v>
      </c>
      <c r="BJ68" s="60">
        <f t="shared" si="38"/>
        <v>103.52963511757127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232.2059999999999</v>
      </c>
      <c r="CA68" s="14">
        <f t="shared" si="39"/>
        <v>56.759404991217522</v>
      </c>
      <c r="CB68" s="22">
        <f t="shared" ref="CB68:CB131" si="64">(BZ68+CA68)*0.475*44/12</f>
        <v>503.281413693037</v>
      </c>
      <c r="CC68" s="60">
        <f t="shared" ref="CC68:CC131" si="65">CB68+(BT68+BU68)*44/12</f>
        <v>796.61474702637031</v>
      </c>
      <c r="CD68" s="60">
        <f ca="1">AVERAGE(OFFSET($CC$3,0,0,'Données projet'!$E$12+1,1))-AVERAGE(OFFSET($H$3,0,0,'Données projet'!$E$12+1,1))</f>
        <v>428.49602929661046</v>
      </c>
      <c r="CE68" s="60">
        <f t="shared" si="40"/>
        <v>252.32489414103878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198.7179487179487</v>
      </c>
      <c r="CR68" s="13">
        <f>VLOOKUP(A68,'Données projet'!$A$139:$I$159,9,0)</f>
        <v>4.4871794871794801</v>
      </c>
      <c r="CS68" s="13">
        <f t="array" ref="CS68">INDEX(CR:CR,MIN(IF(ISNUMBER(CR68:CR264),ROW(CR68:CR264),"")))</f>
        <v>4.4871794871794801</v>
      </c>
      <c r="CT68" s="13">
        <f>IF('Données projet'!$A$140&gt;35,CT67+CS68-DB67,IF(A68&lt;'Données projet'!$A$140,$CQ$205^A68,IF(A68='Données projet'!$A$140,'Données projet'!$B$140,CT67+CS68-DB67)))</f>
        <v>198.71794871794867</v>
      </c>
      <c r="CU68" s="18">
        <f>CT68*VLOOKUP('Données projet'!$B$13,Paramètres!$A$1:$I$89,3,0)*VLOOKUP('Données projet'!$B$13,Paramètres!$A$1:$I$89,5,0)</f>
        <v>133.29999999999998</v>
      </c>
      <c r="CV68" s="14">
        <f t="shared" si="41"/>
        <v>34.757776388526544</v>
      </c>
      <c r="CW68" s="22">
        <f t="shared" ref="CW68:CW131" si="67">(CU68+CV68)*0.475*44/12</f>
        <v>292.70062721001705</v>
      </c>
      <c r="CX68" s="60">
        <f t="shared" ref="CX68:CX131" si="68">CW68+(CO68+CP68)*44/12</f>
        <v>586.0339605433503</v>
      </c>
      <c r="CY68" s="60">
        <f ca="1">AVERAGE(OFFSET($CX$3,0,0,'Données projet'!$E$13+1,1))-AVERAGE(OFFSET($H$3,0,0,'Données projet'!$E$13+1,1))</f>
        <v>226.5873967387837</v>
      </c>
      <c r="CZ68" s="60">
        <f t="shared" si="42"/>
        <v>188.57459946241204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9.8717948717948705</v>
      </c>
      <c r="DO68" s="13">
        <f>IF('Données projet'!$A$166&gt;35,DO67+DN68-DW67,IF(A68&lt;'Données projet'!$A$166,$DL$205^A68,IF(A68='Données projet'!$A$166,'Données projet'!$B$166,DO67+DN68-DW67)))</f>
        <v>262.05128205128199</v>
      </c>
      <c r="DP68" s="18">
        <f>DO68*VLOOKUP('Données projet'!$B$14,Paramètres!$A$1:$I$89,3,0)*VLOOKUP('Données projet'!$B$14,Paramètres!$A$1:$I$89,5,0)</f>
        <v>122.63999999999997</v>
      </c>
      <c r="DQ68" s="14">
        <f t="shared" si="43"/>
        <v>32.289953931572668</v>
      </c>
      <c r="DR68" s="22">
        <f t="shared" ref="DR68:DR131" si="70">(DP68+DQ68)*0.475*44/12</f>
        <v>269.83633643082231</v>
      </c>
      <c r="DS68" s="60">
        <f t="shared" ref="DS68:DS131" si="71">DR68+(DJ68+DK68)*44/12</f>
        <v>563.16966976415563</v>
      </c>
      <c r="DT68" s="60">
        <f ca="1">AVERAGE(OFFSET($DS$3,0,0,'Données projet'!$E$14+1,1))-AVERAGE(OFFSET($H$3,0,0,'Données projet'!$E$14+1,1))</f>
        <v>212.19771249416107</v>
      </c>
      <c r="DU68" s="60">
        <f t="shared" si="44"/>
        <v>125.93313963856127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18.017999999999986</v>
      </c>
      <c r="D69" s="12">
        <f t="shared" ref="D69:D132" si="86">IFERROR(EXP(-1.0587+0.8836*LN(C69)+0.284),0)</f>
        <v>5.9305422092039777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184.86593986052182</v>
      </c>
      <c r="H69" s="68">
        <f t="shared" si="56"/>
        <v>298.37704434769694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253.81511999999992</v>
      </c>
      <c r="P69" s="14">
        <f t="shared" ref="P69:P132" si="87">EXP(-1.0587+0.8836*LN(O69)+0.284)</f>
        <v>61.402169885153235</v>
      </c>
      <c r="Q69" s="22">
        <f t="shared" si="54"/>
        <v>549.00344654997514</v>
      </c>
      <c r="R69" s="60">
        <f t="shared" si="55"/>
        <v>842.33677988330851</v>
      </c>
      <c r="S69" s="60">
        <f ca="1">AVERAGE(OFFSET($R$3,0,0,'Données projet'!$E$9+1,1))-AVERAGE(OFFSET($H$3,0,0,'Données projet'!$E$9+1,1))</f>
        <v>455.09463986470064</v>
      </c>
      <c r="T69" s="60">
        <f t="shared" ref="T69:T132" si="88">$T$3</f>
        <v>266.42568447709669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1.4210854715202004E-13</v>
      </c>
      <c r="AJ69" s="14">
        <f>AI69*VLOOKUP('Données projet'!$B$10,Paramètres!$A$1:$I$89,3,0)*VLOOKUP('Données projet'!$B$10,Paramètres!$A$1:$I$89,5,0)</f>
        <v>1.2192913345643319E-13</v>
      </c>
      <c r="AK69" s="14">
        <f t="shared" ref="AK69:AK132" si="89">EXP(-1.0587+0.8836*LN(AJ69)+0.284)</f>
        <v>1.7899324464546674E-12</v>
      </c>
      <c r="AL69" s="22">
        <f t="shared" si="58"/>
        <v>3.3298255850118335E-12</v>
      </c>
      <c r="AM69" s="60">
        <f t="shared" si="59"/>
        <v>293.33333333333667</v>
      </c>
      <c r="AN69" s="60">
        <f ca="1">AVERAGE(OFFSET($AM$3,0,0,'Données projet'!$E$10+1,1))-AVERAGE(OFFSET($H$3,0,0,'Données projet'!$E$10+1,1))</f>
        <v>201.39673092164992</v>
      </c>
      <c r="AO69" s="60">
        <f t="shared" ref="AO69:AO132" si="90">$AO$3</f>
        <v>278.95637851890405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1.6365575990587931</v>
      </c>
      <c r="BD69" s="13">
        <f>IF('Données projet'!$A$88&gt;35,BD68+BC69-BL68,IF(A69&lt;'Données projet'!$A$88,$BA$205^A69,IF(A69='Données projet'!$A$88,'Données projet'!$B$88,BD68+BC69-BL68)))</f>
        <v>80.475307590258055</v>
      </c>
      <c r="BE69" s="14">
        <f>BD69*VLOOKUP('Données projet'!$B$11,Paramètres!$A$1:$I$89,3,0)*VLOOKUP('Données projet'!$B$11,Paramètres!$A$1:$I$89,5,0)</f>
        <v>80.346547098113646</v>
      </c>
      <c r="BF69" s="14">
        <f t="shared" ref="BF69:BF132" si="91">EXP(-1.0587+0.8836*LN(BE69)+0.284)</f>
        <v>22.221895367919622</v>
      </c>
      <c r="BG69" s="22">
        <f t="shared" si="61"/>
        <v>178.64003729500791</v>
      </c>
      <c r="BH69" s="60">
        <f t="shared" si="62"/>
        <v>471.97337062834123</v>
      </c>
      <c r="BI69" s="60">
        <f ca="1">AVERAGE(OFFSET($BH$3,0,0,'Données projet'!$E$11+1,1))-AVERAGE(OFFSET($H$3,0,0,'Données projet'!$E$11+1,1))</f>
        <v>123.29894837876157</v>
      </c>
      <c r="BJ69" s="60">
        <f t="shared" ref="BJ69:BJ132" si="92">$BJ$3</f>
        <v>103.52963511757127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239.10119999999995</v>
      </c>
      <c r="CA69" s="14">
        <f t="shared" ref="CA69:CA132" si="93">EXP(-1.0587+0.8836*LN(BZ69)+0.284)</f>
        <v>58.246107075777331</v>
      </c>
      <c r="CB69" s="22">
        <f t="shared" si="64"/>
        <v>517.87989315697871</v>
      </c>
      <c r="CC69" s="60">
        <f t="shared" si="65"/>
        <v>811.21322649031208</v>
      </c>
      <c r="CD69" s="60">
        <f ca="1">AVERAGE(OFFSET($CC$3,0,0,'Données projet'!$E$12+1,1))-AVERAGE(OFFSET($H$3,0,0,'Données projet'!$E$12+1,1))</f>
        <v>428.49602929661046</v>
      </c>
      <c r="CE69" s="60">
        <f t="shared" ref="CE69:CE132" si="94">$CE$3</f>
        <v>252.32489414103878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4.3589743589743595</v>
      </c>
      <c r="CT69" s="13">
        <f>IF('Données projet'!$A$140&gt;35,CT68+CS69-DB68,IF(A69&lt;'Données projet'!$A$140,$CQ$205^A69,IF(A69='Données projet'!$A$140,'Données projet'!$B$140,CT68+CS69-DB68)))</f>
        <v>203.07692307692304</v>
      </c>
      <c r="CU69" s="18">
        <f>CT69*VLOOKUP('Données projet'!$B$13,Paramètres!$A$1:$I$89,3,0)*VLOOKUP('Données projet'!$B$13,Paramètres!$A$1:$I$89,5,0)</f>
        <v>136.22399999999999</v>
      </c>
      <c r="CV69" s="14">
        <f t="shared" ref="CV69:CV132" si="95">EXP(-1.0587+0.8836*LN(CU69)+0.284)</f>
        <v>35.430605225162601</v>
      </c>
      <c r="CW69" s="22">
        <f t="shared" si="67"/>
        <v>298.96510410049149</v>
      </c>
      <c r="CX69" s="60">
        <f t="shared" si="68"/>
        <v>592.2984374338248</v>
      </c>
      <c r="CY69" s="60">
        <f ca="1">AVERAGE(OFFSET($CX$3,0,0,'Données projet'!$E$13+1,1))-AVERAGE(OFFSET($H$3,0,0,'Données projet'!$E$13+1,1))</f>
        <v>226.5873967387837</v>
      </c>
      <c r="CZ69" s="60">
        <f t="shared" ref="CZ69:CZ132" si="96">$CZ$3</f>
        <v>188.57459946241204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9.8717948717948705</v>
      </c>
      <c r="DO69" s="13">
        <f>IF('Données projet'!$A$166&gt;35,DO68+DN69-DW68,IF(A69&lt;'Données projet'!$A$166,$DL$205^A69,IF(A69='Données projet'!$A$166,'Données projet'!$B$166,DO68+DN69-DW68)))</f>
        <v>271.92307692307685</v>
      </c>
      <c r="DP69" s="18">
        <f>DO69*VLOOKUP('Données projet'!$B$14,Paramètres!$A$1:$I$89,3,0)*VLOOKUP('Données projet'!$B$14,Paramètres!$A$1:$I$89,5,0)</f>
        <v>127.25999999999998</v>
      </c>
      <c r="DQ69" s="14">
        <f t="shared" ref="DQ69:DQ132" si="97">EXP(-1.0587+0.8836*LN(DP69)+0.284)</f>
        <v>33.362442969975817</v>
      </c>
      <c r="DR69" s="22">
        <f t="shared" si="70"/>
        <v>279.75075483937445</v>
      </c>
      <c r="DS69" s="60">
        <f t="shared" si="71"/>
        <v>573.08408817270777</v>
      </c>
      <c r="DT69" s="60">
        <f ca="1">AVERAGE(OFFSET($DS$3,0,0,'Données projet'!$E$14+1,1))-AVERAGE(OFFSET($H$3,0,0,'Données projet'!$E$14+1,1))</f>
        <v>212.19771249416107</v>
      </c>
      <c r="DU69" s="60">
        <f t="shared" ref="DU69:DU132" si="98">$DU$3</f>
        <v>125.93313963856127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18.290999999999986</v>
      </c>
      <c r="D70" s="12">
        <f t="shared" si="86"/>
        <v>6.0098699670246898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187.58566290334838</v>
      </c>
      <c r="H70" s="68">
        <f t="shared" si="56"/>
        <v>298.99068185923466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261.13463999999993</v>
      </c>
      <c r="P70" s="14">
        <f t="shared" si="87"/>
        <v>62.964176023241265</v>
      </c>
      <c r="Q70" s="22">
        <f t="shared" si="54"/>
        <v>564.47210457381163</v>
      </c>
      <c r="R70" s="60">
        <f t="shared" si="55"/>
        <v>857.80543790714501</v>
      </c>
      <c r="S70" s="60">
        <f ca="1">AVERAGE(OFFSET($R$3,0,0,'Données projet'!$E$9+1,1))-AVERAGE(OFFSET($H$3,0,0,'Données projet'!$E$9+1,1))</f>
        <v>455.09463986470064</v>
      </c>
      <c r="T70" s="60">
        <f t="shared" si="88"/>
        <v>266.42568447709669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1.4210854715202004E-13</v>
      </c>
      <c r="AJ70" s="14">
        <f>AI70*VLOOKUP('Données projet'!$B$10,Paramètres!$A$1:$I$89,3,0)*VLOOKUP('Données projet'!$B$10,Paramètres!$A$1:$I$89,5,0)</f>
        <v>1.2192913345643319E-13</v>
      </c>
      <c r="AK70" s="14">
        <f t="shared" si="89"/>
        <v>1.7899324464546674E-12</v>
      </c>
      <c r="AL70" s="22">
        <f t="shared" si="58"/>
        <v>3.3298255850118335E-12</v>
      </c>
      <c r="AM70" s="60">
        <f t="shared" si="59"/>
        <v>293.33333333333667</v>
      </c>
      <c r="AN70" s="60">
        <f ca="1">AVERAGE(OFFSET($AM$3,0,0,'Données projet'!$E$10+1,1))-AVERAGE(OFFSET($H$3,0,0,'Données projet'!$E$10+1,1))</f>
        <v>201.39673092164992</v>
      </c>
      <c r="AO70" s="60">
        <f t="shared" si="90"/>
        <v>278.95637851890405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1.6365575990587931</v>
      </c>
      <c r="BD70" s="13">
        <f>IF('Données projet'!$A$88&gt;35,BD69+BC70-BL69,IF(A70&lt;'Données projet'!$A$88,$BA$205^A70,IF(A70='Données projet'!$A$88,'Données projet'!$B$88,BD69+BC70-BL69)))</f>
        <v>82.111865189316845</v>
      </c>
      <c r="BE70" s="14">
        <f>BD70*VLOOKUP('Données projet'!$B$11,Paramètres!$A$1:$I$89,3,0)*VLOOKUP('Données projet'!$B$11,Paramètres!$A$1:$I$89,5,0)</f>
        <v>81.980486205013946</v>
      </c>
      <c r="BF70" s="14">
        <f t="shared" si="91"/>
        <v>22.620731952775756</v>
      </c>
      <c r="BG70" s="22">
        <f t="shared" si="61"/>
        <v>182.18045495815036</v>
      </c>
      <c r="BH70" s="60">
        <f t="shared" si="62"/>
        <v>475.51378829148371</v>
      </c>
      <c r="BI70" s="60">
        <f ca="1">AVERAGE(OFFSET($BH$3,0,0,'Données projet'!$E$11+1,1))-AVERAGE(OFFSET($H$3,0,0,'Données projet'!$E$11+1,1))</f>
        <v>123.29894837876157</v>
      </c>
      <c r="BJ70" s="60">
        <f t="shared" si="92"/>
        <v>103.52963511757127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245.99639999999997</v>
      </c>
      <c r="CA70" s="14">
        <f t="shared" si="93"/>
        <v>59.72782632026442</v>
      </c>
      <c r="CB70" s="22">
        <f t="shared" si="64"/>
        <v>532.46969417446041</v>
      </c>
      <c r="CC70" s="60">
        <f t="shared" si="65"/>
        <v>825.80302750779379</v>
      </c>
      <c r="CD70" s="60">
        <f ca="1">AVERAGE(OFFSET($CC$3,0,0,'Données projet'!$E$12+1,1))-AVERAGE(OFFSET($H$3,0,0,'Données projet'!$E$12+1,1))</f>
        <v>428.49602929661046</v>
      </c>
      <c r="CE70" s="60">
        <f t="shared" si="94"/>
        <v>252.32489414103878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4.3589743589743595</v>
      </c>
      <c r="CT70" s="13">
        <f>IF('Données projet'!$A$140&gt;35,CT69+CS70-DB69,IF(A70&lt;'Données projet'!$A$140,$CQ$205^A70,IF(A70='Données projet'!$A$140,'Données projet'!$B$140,CT69+CS70-DB69)))</f>
        <v>207.4358974358974</v>
      </c>
      <c r="CU70" s="18">
        <f>CT70*VLOOKUP('Données projet'!$B$13,Paramètres!$A$1:$I$89,3,0)*VLOOKUP('Données projet'!$B$13,Paramètres!$A$1:$I$89,5,0)</f>
        <v>139.14799999999997</v>
      </c>
      <c r="CV70" s="14">
        <f t="shared" si="95"/>
        <v>36.101754971155358</v>
      </c>
      <c r="CW70" s="22">
        <f t="shared" si="67"/>
        <v>305.22665657476222</v>
      </c>
      <c r="CX70" s="60">
        <f t="shared" si="68"/>
        <v>598.55998990809553</v>
      </c>
      <c r="CY70" s="60">
        <f ca="1">AVERAGE(OFFSET($CX$3,0,0,'Données projet'!$E$13+1,1))-AVERAGE(OFFSET($H$3,0,0,'Données projet'!$E$13+1,1))</f>
        <v>226.5873967387837</v>
      </c>
      <c r="CZ70" s="60">
        <f t="shared" si="96"/>
        <v>188.57459946241204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9.8717948717948705</v>
      </c>
      <c r="DO70" s="13">
        <f>IF('Données projet'!$A$166&gt;35,DO69+DN70-DW69,IF(A70&lt;'Données projet'!$A$166,$DL$205^A70,IF(A70='Données projet'!$A$166,'Données projet'!$B$166,DO69+DN70-DW69)))</f>
        <v>281.79487179487171</v>
      </c>
      <c r="DP70" s="18">
        <f>DO70*VLOOKUP('Données projet'!$B$14,Paramètres!$A$1:$I$89,3,0)*VLOOKUP('Données projet'!$B$14,Paramètres!$A$1:$I$89,5,0)</f>
        <v>131.87999999999994</v>
      </c>
      <c r="DQ70" s="14">
        <f t="shared" si="97"/>
        <v>34.430408458396784</v>
      </c>
      <c r="DR70" s="22">
        <f t="shared" si="70"/>
        <v>289.65729473170762</v>
      </c>
      <c r="DS70" s="60">
        <f t="shared" si="71"/>
        <v>582.99062806504094</v>
      </c>
      <c r="DT70" s="60">
        <f ca="1">AVERAGE(OFFSET($DS$3,0,0,'Données projet'!$E$14+1,1))-AVERAGE(OFFSET($H$3,0,0,'Données projet'!$E$14+1,1))</f>
        <v>212.19771249416107</v>
      </c>
      <c r="DU70" s="60">
        <f t="shared" si="98"/>
        <v>125.93313963856127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18.563999999999986</v>
      </c>
      <c r="D71" s="12">
        <f t="shared" si="86"/>
        <v>6.0890600219069109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190.30432297612342</v>
      </c>
      <c r="H71" s="68">
        <f t="shared" si="56"/>
        <v>299.60407953815451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268.45415999999994</v>
      </c>
      <c r="P71" s="14">
        <f t="shared" si="87"/>
        <v>64.521093475436089</v>
      </c>
      <c r="Q71" s="22">
        <f t="shared" si="54"/>
        <v>579.93189980305101</v>
      </c>
      <c r="R71" s="60">
        <f t="shared" si="55"/>
        <v>873.26523313638427</v>
      </c>
      <c r="S71" s="60">
        <f ca="1">AVERAGE(OFFSET($R$3,0,0,'Données projet'!$E$9+1,1))-AVERAGE(OFFSET($H$3,0,0,'Données projet'!$E$9+1,1))</f>
        <v>455.09463986470064</v>
      </c>
      <c r="T71" s="60">
        <f t="shared" si="88"/>
        <v>266.42568447709669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1.4210854715202004E-13</v>
      </c>
      <c r="AJ71" s="14">
        <f>AI71*VLOOKUP('Données projet'!$B$10,Paramètres!$A$1:$I$89,3,0)*VLOOKUP('Données projet'!$B$10,Paramètres!$A$1:$I$89,5,0)</f>
        <v>1.2192913345643319E-13</v>
      </c>
      <c r="AK71" s="14">
        <f t="shared" si="89"/>
        <v>1.7899324464546674E-12</v>
      </c>
      <c r="AL71" s="22">
        <f t="shared" si="58"/>
        <v>3.3298255850118335E-12</v>
      </c>
      <c r="AM71" s="60">
        <f t="shared" si="59"/>
        <v>293.33333333333667</v>
      </c>
      <c r="AN71" s="60">
        <f ca="1">AVERAGE(OFFSET($AM$3,0,0,'Données projet'!$E$10+1,1))-AVERAGE(OFFSET($H$3,0,0,'Données projet'!$E$10+1,1))</f>
        <v>201.39673092164992</v>
      </c>
      <c r="AO71" s="60">
        <f t="shared" si="90"/>
        <v>278.95637851890405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1.6365575990587931</v>
      </c>
      <c r="BD71" s="13">
        <f>IF('Données projet'!$A$88&gt;35,BD70+BC71-BL70,IF(A71&lt;'Données projet'!$A$88,$BA$205^A71,IF(A71='Données projet'!$A$88,'Données projet'!$B$88,BD70+BC71-BL70)))</f>
        <v>83.748422788375635</v>
      </c>
      <c r="BE71" s="14">
        <f>BD71*VLOOKUP('Données projet'!$B$11,Paramètres!$A$1:$I$89,3,0)*VLOOKUP('Données projet'!$B$11,Paramètres!$A$1:$I$89,5,0)</f>
        <v>83.614425311914232</v>
      </c>
      <c r="BF71" s="14">
        <f t="shared" si="91"/>
        <v>23.018644265052373</v>
      </c>
      <c r="BG71" s="22">
        <f t="shared" si="61"/>
        <v>185.71926284655015</v>
      </c>
      <c r="BH71" s="60">
        <f t="shared" si="62"/>
        <v>479.05259617988349</v>
      </c>
      <c r="BI71" s="60">
        <f ca="1">AVERAGE(OFFSET($BH$3,0,0,'Données projet'!$E$11+1,1))-AVERAGE(OFFSET($H$3,0,0,'Données projet'!$E$11+1,1))</f>
        <v>123.29894837876157</v>
      </c>
      <c r="BJ71" s="60">
        <f t="shared" si="92"/>
        <v>103.52963511757127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252.89159999999998</v>
      </c>
      <c r="CA71" s="14">
        <f t="shared" si="93"/>
        <v>61.204718436590312</v>
      </c>
      <c r="CB71" s="22">
        <f t="shared" si="64"/>
        <v>547.05108794372802</v>
      </c>
      <c r="CC71" s="60">
        <f t="shared" si="65"/>
        <v>840.38442127706139</v>
      </c>
      <c r="CD71" s="60">
        <f ca="1">AVERAGE(OFFSET($CC$3,0,0,'Données projet'!$E$12+1,1))-AVERAGE(OFFSET($H$3,0,0,'Données projet'!$E$12+1,1))</f>
        <v>428.49602929661046</v>
      </c>
      <c r="CE71" s="60">
        <f t="shared" si="94"/>
        <v>252.32489414103878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4.3589743589743595</v>
      </c>
      <c r="CT71" s="13">
        <f>IF('Données projet'!$A$140&gt;35,CT70+CS71-DB70,IF(A71&lt;'Données projet'!$A$140,$CQ$205^A71,IF(A71='Données projet'!$A$140,'Données projet'!$B$140,CT70+CS71-DB70)))</f>
        <v>211.79487179487177</v>
      </c>
      <c r="CU71" s="18">
        <f>CT71*VLOOKUP('Données projet'!$B$13,Paramètres!$A$1:$I$89,3,0)*VLOOKUP('Données projet'!$B$13,Paramètres!$A$1:$I$89,5,0)</f>
        <v>142.072</v>
      </c>
      <c r="CV71" s="14">
        <f t="shared" si="95"/>
        <v>36.771264974977768</v>
      </c>
      <c r="CW71" s="22">
        <f t="shared" si="67"/>
        <v>311.48535316475295</v>
      </c>
      <c r="CX71" s="60">
        <f t="shared" si="68"/>
        <v>604.81868649808621</v>
      </c>
      <c r="CY71" s="60">
        <f ca="1">AVERAGE(OFFSET($CX$3,0,0,'Données projet'!$E$13+1,1))-AVERAGE(OFFSET($H$3,0,0,'Données projet'!$E$13+1,1))</f>
        <v>226.5873967387837</v>
      </c>
      <c r="CZ71" s="60">
        <f t="shared" si="96"/>
        <v>188.57459946241204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9.8717948717948705</v>
      </c>
      <c r="DO71" s="13">
        <f>IF('Données projet'!$A$166&gt;35,DO70+DN71-DW70,IF(A71&lt;'Données projet'!$A$166,$DL$205^A71,IF(A71='Données projet'!$A$166,'Données projet'!$B$166,DO70+DN71-DW70)))</f>
        <v>291.66666666666657</v>
      </c>
      <c r="DP71" s="18">
        <f>DO71*VLOOKUP('Données projet'!$B$14,Paramètres!$A$1:$I$89,3,0)*VLOOKUP('Données projet'!$B$14,Paramètres!$A$1:$I$89,5,0)</f>
        <v>136.49999999999994</v>
      </c>
      <c r="DQ71" s="14">
        <f t="shared" si="97"/>
        <v>35.494027024087352</v>
      </c>
      <c r="DR71" s="22">
        <f t="shared" si="70"/>
        <v>299.55626373361866</v>
      </c>
      <c r="DS71" s="60">
        <f t="shared" si="71"/>
        <v>592.88959706695198</v>
      </c>
      <c r="DT71" s="60">
        <f ca="1">AVERAGE(OFFSET($DS$3,0,0,'Données projet'!$E$14+1,1))-AVERAGE(OFFSET($H$3,0,0,'Données projet'!$E$14+1,1))</f>
        <v>212.19771249416107</v>
      </c>
      <c r="DU71" s="60">
        <f t="shared" si="98"/>
        <v>125.93313963856127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18.836999999999986</v>
      </c>
      <c r="D72" s="12">
        <f t="shared" si="86"/>
        <v>6.1681146328389715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193.02193751665163</v>
      </c>
      <c r="H72" s="68">
        <f t="shared" si="56"/>
        <v>300.21724131886117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275.7736799999999</v>
      </c>
      <c r="P72" s="14">
        <f t="shared" si="87"/>
        <v>66.073076930208813</v>
      </c>
      <c r="Q72" s="22">
        <f t="shared" si="54"/>
        <v>595.38310165344672</v>
      </c>
      <c r="R72" s="60">
        <f t="shared" si="55"/>
        <v>888.71643498678009</v>
      </c>
      <c r="S72" s="60">
        <f ca="1">AVERAGE(OFFSET($R$3,0,0,'Données projet'!$E$9+1,1))-AVERAGE(OFFSET($H$3,0,0,'Données projet'!$E$9+1,1))</f>
        <v>455.09463986470064</v>
      </c>
      <c r="T72" s="60">
        <f t="shared" si="88"/>
        <v>266.42568447709669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1.4210854715202004E-13</v>
      </c>
      <c r="AJ72" s="14">
        <f>AI72*VLOOKUP('Données projet'!$B$10,Paramètres!$A$1:$I$89,3,0)*VLOOKUP('Données projet'!$B$10,Paramètres!$A$1:$I$89,5,0)</f>
        <v>1.2192913345643319E-13</v>
      </c>
      <c r="AK72" s="14">
        <f t="shared" si="89"/>
        <v>1.7899324464546674E-12</v>
      </c>
      <c r="AL72" s="22">
        <f t="shared" si="58"/>
        <v>3.3298255850118335E-12</v>
      </c>
      <c r="AM72" s="60">
        <f t="shared" si="59"/>
        <v>293.33333333333667</v>
      </c>
      <c r="AN72" s="60">
        <f ca="1">AVERAGE(OFFSET($AM$3,0,0,'Données projet'!$E$10+1,1))-AVERAGE(OFFSET($H$3,0,0,'Données projet'!$E$10+1,1))</f>
        <v>201.39673092164992</v>
      </c>
      <c r="AO72" s="60">
        <f t="shared" si="90"/>
        <v>278.95637851890405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1.6365575990587931</v>
      </c>
      <c r="BD72" s="13">
        <f>IF('Données projet'!$A$88&gt;35,BD71+BC72-BL71,IF(A72&lt;'Données projet'!$A$88,$BA$205^A72,IF(A72='Données projet'!$A$88,'Données projet'!$B$88,BD71+BC72-BL71)))</f>
        <v>85.384980387434425</v>
      </c>
      <c r="BE72" s="14">
        <f>BD72*VLOOKUP('Données projet'!$B$11,Paramètres!$A$1:$I$89,3,0)*VLOOKUP('Données projet'!$B$11,Paramètres!$A$1:$I$89,5,0)</f>
        <v>85.248364418814532</v>
      </c>
      <c r="BF72" s="14">
        <f t="shared" si="91"/>
        <v>23.415652448322113</v>
      </c>
      <c r="BG72" s="22">
        <f t="shared" si="61"/>
        <v>189.25649604359629</v>
      </c>
      <c r="BH72" s="60">
        <f t="shared" si="62"/>
        <v>482.58982937692963</v>
      </c>
      <c r="BI72" s="60">
        <f ca="1">AVERAGE(OFFSET($BH$3,0,0,'Données projet'!$E$11+1,1))-AVERAGE(OFFSET($H$3,0,0,'Données projet'!$E$11+1,1))</f>
        <v>123.29894837876157</v>
      </c>
      <c r="BJ72" s="60">
        <f t="shared" si="92"/>
        <v>103.52963511757127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259.78679999999997</v>
      </c>
      <c r="CA72" s="14">
        <f t="shared" si="93"/>
        <v>62.676930162260739</v>
      </c>
      <c r="CB72" s="22">
        <f t="shared" si="64"/>
        <v>561.62433003260401</v>
      </c>
      <c r="CC72" s="60">
        <f t="shared" si="65"/>
        <v>854.95766336593738</v>
      </c>
      <c r="CD72" s="60">
        <f ca="1">AVERAGE(OFFSET($CC$3,0,0,'Données projet'!$E$12+1,1))-AVERAGE(OFFSET($H$3,0,0,'Données projet'!$E$12+1,1))</f>
        <v>428.49602929661046</v>
      </c>
      <c r="CE72" s="60">
        <f t="shared" si="94"/>
        <v>252.32489414103878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4.3589743589743595</v>
      </c>
      <c r="CT72" s="13">
        <f>IF('Données projet'!$A$140&gt;35,CT71+CS72-DB71,IF(A72&lt;'Données projet'!$A$140,$CQ$205^A72,IF(A72='Données projet'!$A$140,'Données projet'!$B$140,CT71+CS72-DB71)))</f>
        <v>216.15384615384613</v>
      </c>
      <c r="CU72" s="18">
        <f>CT72*VLOOKUP('Données projet'!$B$13,Paramètres!$A$1:$I$89,3,0)*VLOOKUP('Données projet'!$B$13,Paramètres!$A$1:$I$89,5,0)</f>
        <v>144.99599999999998</v>
      </c>
      <c r="CV72" s="14">
        <f t="shared" si="95"/>
        <v>37.439172872855487</v>
      </c>
      <c r="CW72" s="22">
        <f t="shared" si="67"/>
        <v>317.74125942022329</v>
      </c>
      <c r="CX72" s="60">
        <f t="shared" si="68"/>
        <v>611.07459275355654</v>
      </c>
      <c r="CY72" s="60">
        <f ca="1">AVERAGE(OFFSET($CX$3,0,0,'Données projet'!$E$13+1,1))-AVERAGE(OFFSET($H$3,0,0,'Données projet'!$E$13+1,1))</f>
        <v>226.5873967387837</v>
      </c>
      <c r="CZ72" s="60">
        <f t="shared" si="96"/>
        <v>188.57459946241204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9.8717948717948705</v>
      </c>
      <c r="DO72" s="13">
        <f>IF('Données projet'!$A$166&gt;35,DO71+DN72-DW71,IF(A72&lt;'Données projet'!$A$166,$DL$205^A72,IF(A72='Données projet'!$A$166,'Données projet'!$B$166,DO71+DN72-DW71)))</f>
        <v>301.53846153846143</v>
      </c>
      <c r="DP72" s="18">
        <f>DO72*VLOOKUP('Données projet'!$B$14,Paramètres!$A$1:$I$89,3,0)*VLOOKUP('Données projet'!$B$14,Paramètres!$A$1:$I$89,5,0)</f>
        <v>141.11999999999995</v>
      </c>
      <c r="DQ72" s="14">
        <f t="shared" si="97"/>
        <v>36.553462659686843</v>
      </c>
      <c r="DR72" s="22">
        <f t="shared" si="70"/>
        <v>309.4479474656211</v>
      </c>
      <c r="DS72" s="60">
        <f t="shared" si="71"/>
        <v>602.78128079895441</v>
      </c>
      <c r="DT72" s="60">
        <f ca="1">AVERAGE(OFFSET($DS$3,0,0,'Données projet'!$E$14+1,1))-AVERAGE(OFFSET($H$3,0,0,'Données projet'!$E$14+1,1))</f>
        <v>212.19771249416107</v>
      </c>
      <c r="DU72" s="60">
        <f t="shared" si="98"/>
        <v>125.93313963856127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19.109999999999985</v>
      </c>
      <c r="D73" s="12">
        <f t="shared" si="86"/>
        <v>6.2470359895716436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195.7385234282722</v>
      </c>
      <c r="H73" s="68">
        <f t="shared" si="56"/>
        <v>300.83017101517061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283.09319999999991</v>
      </c>
      <c r="P73" s="14">
        <f t="shared" si="87"/>
        <v>67.620272397048666</v>
      </c>
      <c r="Q73" s="22">
        <f t="shared" si="54"/>
        <v>610.82596442485954</v>
      </c>
      <c r="R73" s="60">
        <f t="shared" si="55"/>
        <v>904.15929775819291</v>
      </c>
      <c r="S73" s="60">
        <f ca="1">AVERAGE(OFFSET($R$3,0,0,'Données projet'!$E$9+1,1))-AVERAGE(OFFSET($H$3,0,0,'Données projet'!$E$9+1,1))</f>
        <v>455.09463986470064</v>
      </c>
      <c r="T73" s="60">
        <f t="shared" si="88"/>
        <v>266.42568447709669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1.4210854715202004E-13</v>
      </c>
      <c r="AJ73" s="14">
        <f>AI73*VLOOKUP('Données projet'!$B$10,Paramètres!$A$1:$I$89,3,0)*VLOOKUP('Données projet'!$B$10,Paramètres!$A$1:$I$89,5,0)</f>
        <v>1.2192913345643319E-13</v>
      </c>
      <c r="AK73" s="14">
        <f t="shared" si="89"/>
        <v>1.7899324464546674E-12</v>
      </c>
      <c r="AL73" s="22">
        <f t="shared" si="58"/>
        <v>3.3298255850118335E-12</v>
      </c>
      <c r="AM73" s="60">
        <f t="shared" si="59"/>
        <v>293.33333333333667</v>
      </c>
      <c r="AN73" s="60">
        <f ca="1">AVERAGE(OFFSET($AM$3,0,0,'Données projet'!$E$10+1,1))-AVERAGE(OFFSET($H$3,0,0,'Données projet'!$E$10+1,1))</f>
        <v>201.39673092164992</v>
      </c>
      <c r="AO73" s="60">
        <f t="shared" si="90"/>
        <v>278.95637851890405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1.6365575990587931</v>
      </c>
      <c r="BD73" s="13">
        <f>IF('Données projet'!$A$88&gt;35,BD72+BC73-BL72,IF(A73&lt;'Données projet'!$A$88,$BA$205^A73,IF(A73='Données projet'!$A$88,'Données projet'!$B$88,BD72+BC73-BL72)))</f>
        <v>87.021537986493215</v>
      </c>
      <c r="BE73" s="14">
        <f>BD73*VLOOKUP('Données projet'!$B$11,Paramètres!$A$1:$I$89,3,0)*VLOOKUP('Données projet'!$B$11,Paramètres!$A$1:$I$89,5,0)</f>
        <v>86.882303525714832</v>
      </c>
      <c r="BF73" s="14">
        <f t="shared" si="91"/>
        <v>23.811775829801984</v>
      </c>
      <c r="BG73" s="22">
        <f t="shared" si="61"/>
        <v>192.79218821085848</v>
      </c>
      <c r="BH73" s="60">
        <f t="shared" si="62"/>
        <v>486.12552154419177</v>
      </c>
      <c r="BI73" s="60">
        <f ca="1">AVERAGE(OFFSET($BH$3,0,0,'Données projet'!$E$11+1,1))-AVERAGE(OFFSET($H$3,0,0,'Données projet'!$E$11+1,1))</f>
        <v>123.29894837876157</v>
      </c>
      <c r="BJ73" s="60">
        <f t="shared" si="92"/>
        <v>103.52963511757127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266.68199999999996</v>
      </c>
      <c r="CA73" s="14">
        <f t="shared" si="93"/>
        <v>64.144600001897771</v>
      </c>
      <c r="CB73" s="22">
        <f t="shared" si="64"/>
        <v>576.189661669972</v>
      </c>
      <c r="CC73" s="60">
        <f t="shared" si="65"/>
        <v>869.52299500330537</v>
      </c>
      <c r="CD73" s="60">
        <f ca="1">AVERAGE(OFFSET($CC$3,0,0,'Données projet'!$E$12+1,1))-AVERAGE(OFFSET($H$3,0,0,'Données projet'!$E$12+1,1))</f>
        <v>428.49602929661046</v>
      </c>
      <c r="CE73" s="60">
        <f t="shared" si="94"/>
        <v>252.32489414103878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220.5128205128205</v>
      </c>
      <c r="CR73" s="13">
        <f>VLOOKUP(A73,'Données projet'!$A$139:$I$159,9,0)</f>
        <v>4.3589743589743595</v>
      </c>
      <c r="CS73" s="13">
        <f t="array" ref="CS73">INDEX(CR:CR,MIN(IF(ISNUMBER(CR73:CR269),ROW(CR73:CR269),"")))</f>
        <v>4.3589743589743595</v>
      </c>
      <c r="CT73" s="13">
        <f>IF('Données projet'!$A$140&gt;35,CT72+CS73-DB72,IF(A73&lt;'Données projet'!$A$140,$CQ$205^A73,IF(A73='Données projet'!$A$140,'Données projet'!$B$140,CT72+CS73-DB72)))</f>
        <v>220.5128205128205</v>
      </c>
      <c r="CU73" s="18">
        <f>CT73*VLOOKUP('Données projet'!$B$13,Paramètres!$A$1:$I$89,3,0)*VLOOKUP('Données projet'!$B$13,Paramètres!$A$1:$I$89,5,0)</f>
        <v>147.91999999999999</v>
      </c>
      <c r="CV73" s="14">
        <f t="shared" si="95"/>
        <v>38.105514696277361</v>
      </c>
      <c r="CW73" s="22">
        <f t="shared" si="67"/>
        <v>323.99443809601638</v>
      </c>
      <c r="CX73" s="60">
        <f t="shared" si="68"/>
        <v>617.3277714293497</v>
      </c>
      <c r="CY73" s="60">
        <f ca="1">AVERAGE(OFFSET($CX$3,0,0,'Données projet'!$E$13+1,1))-AVERAGE(OFFSET($H$3,0,0,'Données projet'!$E$13+1,1))</f>
        <v>226.5873967387837</v>
      </c>
      <c r="CZ73" s="60">
        <f t="shared" si="96"/>
        <v>188.57459946241204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25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9.8717948717948705</v>
      </c>
      <c r="DO73" s="13">
        <f>IF('Données projet'!$A$166&gt;35,DO72+DN73-DW72,IF(A73&lt;'Données projet'!$A$166,$DL$205^A73,IF(A73='Données projet'!$A$166,'Données projet'!$B$166,DO72+DN73-DW72)))</f>
        <v>311.4102564102563</v>
      </c>
      <c r="DP73" s="18">
        <f>DO73*VLOOKUP('Données projet'!$B$14,Paramètres!$A$1:$I$89,3,0)*VLOOKUP('Données projet'!$B$14,Paramètres!$A$1:$I$89,5,0)</f>
        <v>145.73999999999995</v>
      </c>
      <c r="DQ73" s="14">
        <f t="shared" si="97"/>
        <v>37.608868010754726</v>
      </c>
      <c r="DR73" s="22">
        <f t="shared" si="70"/>
        <v>319.33261178539772</v>
      </c>
      <c r="DS73" s="60">
        <f t="shared" si="71"/>
        <v>612.66594511873109</v>
      </c>
      <c r="DT73" s="60">
        <f ca="1">AVERAGE(OFFSET($DS$3,0,0,'Données projet'!$E$14+1,1))-AVERAGE(OFFSET($H$3,0,0,'Données projet'!$E$14+1,1))</f>
        <v>212.19771249416107</v>
      </c>
      <c r="DU73" s="60">
        <f t="shared" si="98"/>
        <v>125.93313963856127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19.382999999999985</v>
      </c>
      <c r="D74" s="12">
        <f t="shared" si="86"/>
        <v>6.3258262156984566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198.45409710363711</v>
      </c>
      <c r="H74" s="68">
        <f t="shared" si="56"/>
        <v>301.44287232567478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244.55807999999993</v>
      </c>
      <c r="P74" s="14">
        <f t="shared" si="87"/>
        <v>59.419147189674156</v>
      </c>
      <c r="Q74" s="22">
        <f t="shared" si="54"/>
        <v>529.42700402201569</v>
      </c>
      <c r="R74" s="60">
        <f t="shared" si="55"/>
        <v>822.76033735534907</v>
      </c>
      <c r="S74" s="60">
        <f ca="1">AVERAGE(OFFSET($R$3,0,0,'Données projet'!$E$9+1,1))-AVERAGE(OFFSET($H$3,0,0,'Données projet'!$E$9+1,1))</f>
        <v>455.09463986470064</v>
      </c>
      <c r="T74" s="60">
        <f t="shared" si="88"/>
        <v>266.42568447709669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1.4210854715202004E-13</v>
      </c>
      <c r="AJ74" s="14">
        <f>AI74*VLOOKUP('Données projet'!$B$10,Paramètres!$A$1:$I$89,3,0)*VLOOKUP('Données projet'!$B$10,Paramètres!$A$1:$I$89,5,0)</f>
        <v>1.2192913345643319E-13</v>
      </c>
      <c r="AK74" s="14">
        <f t="shared" si="89"/>
        <v>1.7899324464546674E-12</v>
      </c>
      <c r="AL74" s="22">
        <f t="shared" si="58"/>
        <v>3.3298255850118335E-12</v>
      </c>
      <c r="AM74" s="60">
        <f t="shared" si="59"/>
        <v>293.33333333333667</v>
      </c>
      <c r="AN74" s="60">
        <f ca="1">AVERAGE(OFFSET($AM$3,0,0,'Données projet'!$E$10+1,1))-AVERAGE(OFFSET($H$3,0,0,'Données projet'!$E$10+1,1))</f>
        <v>201.39673092164992</v>
      </c>
      <c r="AO74" s="60">
        <f t="shared" si="90"/>
        <v>278.95637851890405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1.6365575990587931</v>
      </c>
      <c r="BD74" s="13">
        <f>IF('Données projet'!$A$88&gt;35,BD73+BC74-BL73,IF(A74&lt;'Données projet'!$A$88,$BA$205^A74,IF(A74='Données projet'!$A$88,'Données projet'!$B$88,BD73+BC74-BL73)))</f>
        <v>88.658095585552005</v>
      </c>
      <c r="BE74" s="14">
        <f>BD74*VLOOKUP('Données projet'!$B$11,Paramètres!$A$1:$I$89,3,0)*VLOOKUP('Données projet'!$B$11,Paramètres!$A$1:$I$89,5,0)</f>
        <v>88.516242632615132</v>
      </c>
      <c r="BF74" s="14">
        <f t="shared" si="91"/>
        <v>24.207032968157339</v>
      </c>
      <c r="BG74" s="22">
        <f t="shared" si="61"/>
        <v>196.32637167134536</v>
      </c>
      <c r="BH74" s="60">
        <f t="shared" si="62"/>
        <v>489.6597050046787</v>
      </c>
      <c r="BI74" s="60">
        <f ca="1">AVERAGE(OFFSET($BH$3,0,0,'Données projet'!$E$11+1,1))-AVERAGE(OFFSET($H$3,0,0,'Données projet'!$E$11+1,1))</f>
        <v>123.29894837876157</v>
      </c>
      <c r="BJ74" s="60">
        <f t="shared" si="92"/>
        <v>103.52963511757127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230.38079999999994</v>
      </c>
      <c r="CA74" s="14">
        <f t="shared" si="93"/>
        <v>56.365011465139979</v>
      </c>
      <c r="CB74" s="22">
        <f t="shared" si="64"/>
        <v>499.41562163511867</v>
      </c>
      <c r="CC74" s="60">
        <f t="shared" si="65"/>
        <v>792.74895496845193</v>
      </c>
      <c r="CD74" s="60">
        <f ca="1">AVERAGE(OFFSET($CC$3,0,0,'Données projet'!$E$12+1,1))-AVERAGE(OFFSET($H$3,0,0,'Données projet'!$E$12+1,1))</f>
        <v>428.49602929661046</v>
      </c>
      <c r="CE74" s="60">
        <f t="shared" si="94"/>
        <v>252.32489414103878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3.974358974358978</v>
      </c>
      <c r="CT74" s="13">
        <f>IF('Données projet'!$A$140&gt;35,CT73+CS74-DB73,IF(A74&lt;'Données projet'!$A$140,$CQ$205^A74,IF(A74='Données projet'!$A$140,'Données projet'!$B$140,CT73+CS74-DB73)))</f>
        <v>199.48717948717947</v>
      </c>
      <c r="CU74" s="18">
        <f>CT74*VLOOKUP('Données projet'!$B$13,Paramètres!$A$1:$I$89,3,0)*VLOOKUP('Données projet'!$B$13,Paramètres!$A$1:$I$89,5,0)</f>
        <v>133.816</v>
      </c>
      <c r="CV74" s="14">
        <f t="shared" si="95"/>
        <v>34.876634693250608</v>
      </c>
      <c r="CW74" s="22">
        <f t="shared" si="67"/>
        <v>293.80633875741154</v>
      </c>
      <c r="CX74" s="60">
        <f t="shared" si="68"/>
        <v>587.13967209074485</v>
      </c>
      <c r="CY74" s="60">
        <f ca="1">AVERAGE(OFFSET($CX$3,0,0,'Données projet'!$E$13+1,1))-AVERAGE(OFFSET($H$3,0,0,'Données projet'!$E$13+1,1))</f>
        <v>226.5873967387837</v>
      </c>
      <c r="CZ74" s="60">
        <f t="shared" si="96"/>
        <v>188.57459946241204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9.8717948717948705</v>
      </c>
      <c r="DO74" s="13">
        <f>IF('Données projet'!$A$166&gt;35,DO73+DN74-DW73,IF(A74&lt;'Données projet'!$A$166,$DL$205^A74,IF(A74='Données projet'!$A$166,'Données projet'!$B$166,DO73+DN74-DW73)))</f>
        <v>321.28205128205116</v>
      </c>
      <c r="DP74" s="18">
        <f>DO74*VLOOKUP('Données projet'!$B$14,Paramètres!$A$1:$I$89,3,0)*VLOOKUP('Données projet'!$B$14,Paramètres!$A$1:$I$89,5,0)</f>
        <v>150.35999999999993</v>
      </c>
      <c r="DQ74" s="14">
        <f t="shared" si="97"/>
        <v>38.660385495456531</v>
      </c>
      <c r="DR74" s="22">
        <f t="shared" si="70"/>
        <v>329.21050473791996</v>
      </c>
      <c r="DS74" s="60">
        <f t="shared" si="71"/>
        <v>622.54383807125328</v>
      </c>
      <c r="DT74" s="60">
        <f ca="1">AVERAGE(OFFSET($DS$3,0,0,'Données projet'!$E$14+1,1))-AVERAGE(OFFSET($H$3,0,0,'Données projet'!$E$14+1,1))</f>
        <v>212.19771249416107</v>
      </c>
      <c r="DU74" s="60">
        <f t="shared" si="98"/>
        <v>125.93313963856127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19.655999999999985</v>
      </c>
      <c r="D75" s="12">
        <f t="shared" si="86"/>
        <v>6.4044873715575248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201.16867444711065</v>
      </c>
      <c r="H75" s="68">
        <f t="shared" si="56"/>
        <v>302.05534883879602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251.23175999999989</v>
      </c>
      <c r="P75" s="14">
        <f t="shared" si="87"/>
        <v>60.849628220886878</v>
      </c>
      <c r="Q75" s="22">
        <f t="shared" si="54"/>
        <v>543.54175115137775</v>
      </c>
      <c r="R75" s="60">
        <f t="shared" si="55"/>
        <v>836.87508448471112</v>
      </c>
      <c r="S75" s="60">
        <f ca="1">AVERAGE(OFFSET($R$3,0,0,'Données projet'!$E$9+1,1))-AVERAGE(OFFSET($H$3,0,0,'Données projet'!$E$9+1,1))</f>
        <v>455.09463986470064</v>
      </c>
      <c r="T75" s="60">
        <f t="shared" si="88"/>
        <v>266.42568447709669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1.4210854715202004E-13</v>
      </c>
      <c r="AJ75" s="14">
        <f>AI75*VLOOKUP('Données projet'!$B$10,Paramètres!$A$1:$I$89,3,0)*VLOOKUP('Données projet'!$B$10,Paramètres!$A$1:$I$89,5,0)</f>
        <v>1.2192913345643319E-13</v>
      </c>
      <c r="AK75" s="14">
        <f t="shared" si="89"/>
        <v>1.7899324464546674E-12</v>
      </c>
      <c r="AL75" s="22">
        <f t="shared" si="58"/>
        <v>3.3298255850118335E-12</v>
      </c>
      <c r="AM75" s="60">
        <f t="shared" si="59"/>
        <v>293.33333333333667</v>
      </c>
      <c r="AN75" s="60">
        <f ca="1">AVERAGE(OFFSET($AM$3,0,0,'Données projet'!$E$10+1,1))-AVERAGE(OFFSET($H$3,0,0,'Données projet'!$E$10+1,1))</f>
        <v>201.39673092164992</v>
      </c>
      <c r="AO75" s="60">
        <f t="shared" si="90"/>
        <v>278.95637851890405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1.6365575990587931</v>
      </c>
      <c r="BD75" s="13">
        <f>IF('Données projet'!$A$88&gt;35,BD74+BC75-BL74,IF(A75&lt;'Données projet'!$A$88,$BA$205^A75,IF(A75='Données projet'!$A$88,'Données projet'!$B$88,BD74+BC75-BL74)))</f>
        <v>90.294653184610794</v>
      </c>
      <c r="BE75" s="14">
        <f>BD75*VLOOKUP('Données projet'!$B$11,Paramètres!$A$1:$I$89,3,0)*VLOOKUP('Données projet'!$B$11,Paramètres!$A$1:$I$89,5,0)</f>
        <v>90.150181739515418</v>
      </c>
      <c r="BF75" s="14">
        <f t="shared" si="91"/>
        <v>24.601441697676357</v>
      </c>
      <c r="BG75" s="22">
        <f t="shared" si="61"/>
        <v>199.85907748644232</v>
      </c>
      <c r="BH75" s="60">
        <f t="shared" si="62"/>
        <v>493.19241081977566</v>
      </c>
      <c r="BI75" s="60">
        <f ca="1">AVERAGE(OFFSET($BH$3,0,0,'Données projet'!$E$11+1,1))-AVERAGE(OFFSET($H$3,0,0,'Données projet'!$E$11+1,1))</f>
        <v>123.29894837876157</v>
      </c>
      <c r="BJ75" s="60">
        <f t="shared" si="92"/>
        <v>103.52963511757127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236.66759999999994</v>
      </c>
      <c r="CA75" s="14">
        <f t="shared" si="93"/>
        <v>57.721965974560838</v>
      </c>
      <c r="CB75" s="22">
        <f t="shared" si="64"/>
        <v>512.72849407235992</v>
      </c>
      <c r="CC75" s="60">
        <f t="shared" si="65"/>
        <v>806.06182740569329</v>
      </c>
      <c r="CD75" s="60">
        <f ca="1">AVERAGE(OFFSET($CC$3,0,0,'Données projet'!$E$12+1,1))-AVERAGE(OFFSET($H$3,0,0,'Données projet'!$E$12+1,1))</f>
        <v>428.49602929661046</v>
      </c>
      <c r="CE75" s="60">
        <f t="shared" si="94"/>
        <v>252.32489414103878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3.974358974358978</v>
      </c>
      <c r="CT75" s="13">
        <f>IF('Données projet'!$A$140&gt;35,CT74+CS75-DB74,IF(A75&lt;'Données projet'!$A$140,$CQ$205^A75,IF(A75='Données projet'!$A$140,'Données projet'!$B$140,CT74+CS75-DB74)))</f>
        <v>203.46153846153845</v>
      </c>
      <c r="CU75" s="18">
        <f>CT75*VLOOKUP('Données projet'!$B$13,Paramètres!$A$1:$I$89,3,0)*VLOOKUP('Données projet'!$B$13,Paramètres!$A$1:$I$89,5,0)</f>
        <v>136.482</v>
      </c>
      <c r="CV75" s="14">
        <f t="shared" si="95"/>
        <v>35.489891275121778</v>
      </c>
      <c r="CW75" s="22">
        <f t="shared" si="67"/>
        <v>299.51771063750374</v>
      </c>
      <c r="CX75" s="60">
        <f t="shared" si="68"/>
        <v>592.85104397083705</v>
      </c>
      <c r="CY75" s="60">
        <f ca="1">AVERAGE(OFFSET($CX$3,0,0,'Données projet'!$E$13+1,1))-AVERAGE(OFFSET($H$3,0,0,'Données projet'!$E$13+1,1))</f>
        <v>226.5873967387837</v>
      </c>
      <c r="CZ75" s="60">
        <f t="shared" si="96"/>
        <v>188.57459946241204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9.8717948717948705</v>
      </c>
      <c r="DO75" s="13">
        <f>IF('Données projet'!$A$166&gt;35,DO74+DN75-DW74,IF(A75&lt;'Données projet'!$A$166,$DL$205^A75,IF(A75='Données projet'!$A$166,'Données projet'!$B$166,DO74+DN75-DW74)))</f>
        <v>331.15384615384602</v>
      </c>
      <c r="DP75" s="18">
        <f>DO75*VLOOKUP('Données projet'!$B$14,Paramètres!$A$1:$I$89,3,0)*VLOOKUP('Données projet'!$B$14,Paramètres!$A$1:$I$89,5,0)</f>
        <v>154.97999999999993</v>
      </c>
      <c r="DQ75" s="14">
        <f t="shared" si="97"/>
        <v>39.708148282768228</v>
      </c>
      <c r="DR75" s="22">
        <f t="shared" si="70"/>
        <v>339.08185825915456</v>
      </c>
      <c r="DS75" s="60">
        <f t="shared" si="71"/>
        <v>632.41519159248787</v>
      </c>
      <c r="DT75" s="60">
        <f ca="1">AVERAGE(OFFSET($DS$3,0,0,'Données projet'!$E$14+1,1))-AVERAGE(OFFSET($H$3,0,0,'Données projet'!$E$14+1,1))</f>
        <v>212.19771249416107</v>
      </c>
      <c r="DU75" s="60">
        <f t="shared" si="98"/>
        <v>125.93313963856127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19.928999999999984</v>
      </c>
      <c r="D76" s="12">
        <f t="shared" si="86"/>
        <v>6.4830214569676015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203.88227089589012</v>
      </c>
      <c r="H76" s="68">
        <f t="shared" si="56"/>
        <v>302.66760403755188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257.90543999999989</v>
      </c>
      <c r="P76" s="14">
        <f t="shared" si="87"/>
        <v>62.275692442827719</v>
      </c>
      <c r="Q76" s="22">
        <f t="shared" si="54"/>
        <v>557.64880567125817</v>
      </c>
      <c r="R76" s="60">
        <f t="shared" si="55"/>
        <v>850.98213900459155</v>
      </c>
      <c r="S76" s="60">
        <f ca="1">AVERAGE(OFFSET($R$3,0,0,'Données projet'!$E$9+1,1))-AVERAGE(OFFSET($H$3,0,0,'Données projet'!$E$9+1,1))</f>
        <v>455.09463986470064</v>
      </c>
      <c r="T76" s="60">
        <f t="shared" si="88"/>
        <v>266.42568447709669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1.4210854715202004E-13</v>
      </c>
      <c r="AJ76" s="14">
        <f>AI76*VLOOKUP('Données projet'!$B$10,Paramètres!$A$1:$I$89,3,0)*VLOOKUP('Données projet'!$B$10,Paramètres!$A$1:$I$89,5,0)</f>
        <v>1.2192913345643319E-13</v>
      </c>
      <c r="AK76" s="14">
        <f t="shared" si="89"/>
        <v>1.7899324464546674E-12</v>
      </c>
      <c r="AL76" s="22">
        <f t="shared" si="58"/>
        <v>3.3298255850118335E-12</v>
      </c>
      <c r="AM76" s="60">
        <f t="shared" si="59"/>
        <v>293.33333333333667</v>
      </c>
      <c r="AN76" s="60">
        <f ca="1">AVERAGE(OFFSET($AM$3,0,0,'Données projet'!$E$10+1,1))-AVERAGE(OFFSET($H$3,0,0,'Données projet'!$E$10+1,1))</f>
        <v>201.39673092164992</v>
      </c>
      <c r="AO76" s="60">
        <f t="shared" si="90"/>
        <v>278.95637851890405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1.6365575990587931</v>
      </c>
      <c r="BD76" s="13">
        <f>IF('Données projet'!$A$88&gt;35,BD75+BC76-BL75,IF(A76&lt;'Données projet'!$A$88,$BA$205^A76,IF(A76='Données projet'!$A$88,'Données projet'!$B$88,BD75+BC76-BL75)))</f>
        <v>91.931210783669584</v>
      </c>
      <c r="BE76" s="14">
        <f>BD76*VLOOKUP('Données projet'!$B$11,Paramètres!$A$1:$I$89,3,0)*VLOOKUP('Données projet'!$B$11,Paramètres!$A$1:$I$89,5,0)</f>
        <v>91.784120846415718</v>
      </c>
      <c r="BF76" s="14">
        <f t="shared" si="91"/>
        <v>24.995019169151245</v>
      </c>
      <c r="BG76" s="22">
        <f t="shared" si="61"/>
        <v>203.39033552711246</v>
      </c>
      <c r="BH76" s="60">
        <f t="shared" si="62"/>
        <v>496.72366886044574</v>
      </c>
      <c r="BI76" s="60">
        <f ca="1">AVERAGE(OFFSET($BH$3,0,0,'Données projet'!$E$11+1,1))-AVERAGE(OFFSET($H$3,0,0,'Données projet'!$E$11+1,1))</f>
        <v>123.29894837876157</v>
      </c>
      <c r="BJ76" s="60">
        <f t="shared" si="92"/>
        <v>103.52963511757127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242.95439999999994</v>
      </c>
      <c r="CA76" s="14">
        <f t="shared" si="93"/>
        <v>59.074730698078945</v>
      </c>
      <c r="CB76" s="22">
        <f t="shared" si="64"/>
        <v>526.034069299154</v>
      </c>
      <c r="CC76" s="60">
        <f t="shared" si="65"/>
        <v>819.36740263248726</v>
      </c>
      <c r="CD76" s="60">
        <f ca="1">AVERAGE(OFFSET($CC$3,0,0,'Données projet'!$E$12+1,1))-AVERAGE(OFFSET($H$3,0,0,'Données projet'!$E$12+1,1))</f>
        <v>428.49602929661046</v>
      </c>
      <c r="CE76" s="60">
        <f t="shared" si="94"/>
        <v>252.32489414103878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3.974358974358978</v>
      </c>
      <c r="CT76" s="13">
        <f>IF('Données projet'!$A$140&gt;35,CT75+CS76-DB75,IF(A76&lt;'Données projet'!$A$140,$CQ$205^A76,IF(A76='Données projet'!$A$140,'Données projet'!$B$140,CT75+CS76-DB75)))</f>
        <v>207.43589743589743</v>
      </c>
      <c r="CU76" s="18">
        <f>CT76*VLOOKUP('Données projet'!$B$13,Paramètres!$A$1:$I$89,3,0)*VLOOKUP('Données projet'!$B$13,Paramètres!$A$1:$I$89,5,0)</f>
        <v>139.148</v>
      </c>
      <c r="CV76" s="14">
        <f t="shared" si="95"/>
        <v>36.101754971155387</v>
      </c>
      <c r="CW76" s="22">
        <f t="shared" si="67"/>
        <v>305.22665657476222</v>
      </c>
      <c r="CX76" s="60">
        <f t="shared" si="68"/>
        <v>598.55998990809553</v>
      </c>
      <c r="CY76" s="60">
        <f ca="1">AVERAGE(OFFSET($CX$3,0,0,'Données projet'!$E$13+1,1))-AVERAGE(OFFSET($H$3,0,0,'Données projet'!$E$13+1,1))</f>
        <v>226.5873967387837</v>
      </c>
      <c r="CZ76" s="60">
        <f t="shared" si="96"/>
        <v>188.57459946241204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9.8717948717948705</v>
      </c>
      <c r="DO76" s="13">
        <f>IF('Données projet'!$A$166&gt;35,DO75+DN76-DW75,IF(A76&lt;'Données projet'!$A$166,$DL$205^A76,IF(A76='Données projet'!$A$166,'Données projet'!$B$166,DO75+DN76-DW75)))</f>
        <v>341.02564102564088</v>
      </c>
      <c r="DP76" s="18">
        <f>DO76*VLOOKUP('Données projet'!$B$14,Paramètres!$A$1:$I$89,3,0)*VLOOKUP('Données projet'!$B$14,Paramètres!$A$1:$I$89,5,0)</f>
        <v>159.59999999999994</v>
      </c>
      <c r="DQ76" s="14">
        <f t="shared" si="97"/>
        <v>40.752281150761135</v>
      </c>
      <c r="DR76" s="22">
        <f t="shared" si="70"/>
        <v>348.94688967090889</v>
      </c>
      <c r="DS76" s="60">
        <f t="shared" si="71"/>
        <v>642.2802230042422</v>
      </c>
      <c r="DT76" s="60">
        <f ca="1">AVERAGE(OFFSET($DS$3,0,0,'Données projet'!$E$14+1,1))-AVERAGE(OFFSET($H$3,0,0,'Données projet'!$E$14+1,1))</f>
        <v>212.19771249416107</v>
      </c>
      <c r="DU76" s="60">
        <f t="shared" si="98"/>
        <v>125.93313963856127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20.201999999999984</v>
      </c>
      <c r="D77" s="12">
        <f t="shared" si="86"/>
        <v>6.5614304138099282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206.59490143993619</v>
      </c>
      <c r="H77" s="68">
        <f t="shared" si="56"/>
        <v>303.27964130405229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264.57911999999988</v>
      </c>
      <c r="P77" s="14">
        <f t="shared" si="87"/>
        <v>63.697467287221869</v>
      </c>
      <c r="Q77" s="22">
        <f t="shared" si="54"/>
        <v>571.74838952524453</v>
      </c>
      <c r="R77" s="60">
        <f t="shared" si="55"/>
        <v>865.0817228585779</v>
      </c>
      <c r="S77" s="60">
        <f ca="1">AVERAGE(OFFSET($R$3,0,0,'Données projet'!$E$9+1,1))-AVERAGE(OFFSET($H$3,0,0,'Données projet'!$E$9+1,1))</f>
        <v>455.09463986470064</v>
      </c>
      <c r="T77" s="60">
        <f t="shared" si="88"/>
        <v>266.42568447709669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1.4210854715202004E-13</v>
      </c>
      <c r="AJ77" s="14">
        <f>AI77*VLOOKUP('Données projet'!$B$10,Paramètres!$A$1:$I$89,3,0)*VLOOKUP('Données projet'!$B$10,Paramètres!$A$1:$I$89,5,0)</f>
        <v>1.2192913345643319E-13</v>
      </c>
      <c r="AK77" s="14">
        <f t="shared" si="89"/>
        <v>1.7899324464546674E-12</v>
      </c>
      <c r="AL77" s="22">
        <f t="shared" si="58"/>
        <v>3.3298255850118335E-12</v>
      </c>
      <c r="AM77" s="60">
        <f t="shared" si="59"/>
        <v>293.33333333333667</v>
      </c>
      <c r="AN77" s="60">
        <f ca="1">AVERAGE(OFFSET($AM$3,0,0,'Données projet'!$E$10+1,1))-AVERAGE(OFFSET($H$3,0,0,'Données projet'!$E$10+1,1))</f>
        <v>201.39673092164992</v>
      </c>
      <c r="AO77" s="60">
        <f t="shared" si="90"/>
        <v>278.95637851890405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1.6365575990587931</v>
      </c>
      <c r="BD77" s="13">
        <f>IF('Données projet'!$A$88&gt;35,BD76+BC77-BL76,IF(A77&lt;'Données projet'!$A$88,$BA$205^A77,IF(A77='Données projet'!$A$88,'Données projet'!$B$88,BD76+BC77-BL76)))</f>
        <v>93.567768382728374</v>
      </c>
      <c r="BE77" s="14">
        <f>BD77*VLOOKUP('Données projet'!$B$11,Paramètres!$A$1:$I$89,3,0)*VLOOKUP('Données projet'!$B$11,Paramètres!$A$1:$I$89,5,0)</f>
        <v>93.418059953316018</v>
      </c>
      <c r="BF77" s="14">
        <f t="shared" si="91"/>
        <v>25.387781887766025</v>
      </c>
      <c r="BG77" s="22">
        <f t="shared" si="61"/>
        <v>206.92017453988456</v>
      </c>
      <c r="BH77" s="60">
        <f t="shared" si="62"/>
        <v>500.25350787321787</v>
      </c>
      <c r="BI77" s="60">
        <f ca="1">AVERAGE(OFFSET($BH$3,0,0,'Données projet'!$E$11+1,1))-AVERAGE(OFFSET($H$3,0,0,'Données projet'!$E$11+1,1))</f>
        <v>123.29894837876157</v>
      </c>
      <c r="BJ77" s="60">
        <f t="shared" si="92"/>
        <v>103.52963511757127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249.24119999999988</v>
      </c>
      <c r="CA77" s="14">
        <f t="shared" si="93"/>
        <v>60.42342651744687</v>
      </c>
      <c r="CB77" s="22">
        <f t="shared" si="64"/>
        <v>539.3325578512198</v>
      </c>
      <c r="CC77" s="60">
        <f t="shared" si="65"/>
        <v>832.66589118455317</v>
      </c>
      <c r="CD77" s="60">
        <f ca="1">AVERAGE(OFFSET($CC$3,0,0,'Données projet'!$E$12+1,1))-AVERAGE(OFFSET($H$3,0,0,'Données projet'!$E$12+1,1))</f>
        <v>428.49602929661046</v>
      </c>
      <c r="CE77" s="60">
        <f t="shared" si="94"/>
        <v>252.32489414103878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3.974358974358978</v>
      </c>
      <c r="CT77" s="13">
        <f>IF('Données projet'!$A$140&gt;35,CT76+CS77-DB76,IF(A77&lt;'Données projet'!$A$140,$CQ$205^A77,IF(A77='Données projet'!$A$140,'Données projet'!$B$140,CT76+CS77-DB76)))</f>
        <v>211.41025641025641</v>
      </c>
      <c r="CU77" s="18">
        <f>CT77*VLOOKUP('Données projet'!$B$13,Paramètres!$A$1:$I$89,3,0)*VLOOKUP('Données projet'!$B$13,Paramètres!$A$1:$I$89,5,0)</f>
        <v>141.81399999999999</v>
      </c>
      <c r="CV77" s="14">
        <f t="shared" si="95"/>
        <v>36.712255545122304</v>
      </c>
      <c r="CW77" s="22">
        <f t="shared" si="67"/>
        <v>310.93322840775465</v>
      </c>
      <c r="CX77" s="60">
        <f t="shared" si="68"/>
        <v>604.26656174108803</v>
      </c>
      <c r="CY77" s="60">
        <f ca="1">AVERAGE(OFFSET($CX$3,0,0,'Données projet'!$E$13+1,1))-AVERAGE(OFFSET($H$3,0,0,'Données projet'!$E$13+1,1))</f>
        <v>226.5873967387837</v>
      </c>
      <c r="CZ77" s="60">
        <f t="shared" si="96"/>
        <v>188.57459946241204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9.8717948717948705</v>
      </c>
      <c r="DO77" s="13">
        <f>IF('Données projet'!$A$166&gt;35,DO76+DN77-DW76,IF(A77&lt;'Données projet'!$A$166,$DL$205^A77,IF(A77='Données projet'!$A$166,'Données projet'!$B$166,DO76+DN77-DW76)))</f>
        <v>350.89743589743574</v>
      </c>
      <c r="DP77" s="18">
        <f>DO77*VLOOKUP('Données projet'!$B$14,Paramètres!$A$1:$I$89,3,0)*VLOOKUP('Données projet'!$B$14,Paramètres!$A$1:$I$89,5,0)</f>
        <v>164.21999999999994</v>
      </c>
      <c r="DQ77" s="14">
        <f t="shared" si="97"/>
        <v>41.792901242713462</v>
      </c>
      <c r="DR77" s="22">
        <f t="shared" si="70"/>
        <v>358.80580299772583</v>
      </c>
      <c r="DS77" s="60">
        <f t="shared" si="71"/>
        <v>652.13913633105915</v>
      </c>
      <c r="DT77" s="60">
        <f ca="1">AVERAGE(OFFSET($DS$3,0,0,'Données projet'!$E$14+1,1))-AVERAGE(OFFSET($H$3,0,0,'Données projet'!$E$14+1,1))</f>
        <v>212.19771249416107</v>
      </c>
      <c r="DU77" s="60">
        <f t="shared" si="98"/>
        <v>125.93313963856127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20.474999999999984</v>
      </c>
      <c r="D78" s="12">
        <f t="shared" si="86"/>
        <v>6.6397161284665636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209.30658064079441</v>
      </c>
      <c r="H78" s="68">
        <f t="shared" si="56"/>
        <v>303.8914639237459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271.25279999999987</v>
      </c>
      <c r="P78" s="14">
        <f t="shared" si="87"/>
        <v>65.115073390838859</v>
      </c>
      <c r="Q78" s="22">
        <f t="shared" si="54"/>
        <v>585.84071282237744</v>
      </c>
      <c r="R78" s="60">
        <f t="shared" si="55"/>
        <v>879.17404615571081</v>
      </c>
      <c r="S78" s="60">
        <f ca="1">AVERAGE(OFFSET($R$3,0,0,'Données projet'!$E$9+1,1))-AVERAGE(OFFSET($H$3,0,0,'Données projet'!$E$9+1,1))</f>
        <v>455.09463986470064</v>
      </c>
      <c r="T78" s="60">
        <f t="shared" si="88"/>
        <v>266.42568447709669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1.4210854715202004E-13</v>
      </c>
      <c r="AJ78" s="14">
        <f>AI78*VLOOKUP('Données projet'!$B$10,Paramètres!$A$1:$I$89,3,0)*VLOOKUP('Données projet'!$B$10,Paramètres!$A$1:$I$89,5,0)</f>
        <v>1.2192913345643319E-13</v>
      </c>
      <c r="AK78" s="14">
        <f t="shared" si="89"/>
        <v>1.7899324464546674E-12</v>
      </c>
      <c r="AL78" s="22">
        <f t="shared" si="58"/>
        <v>3.3298255850118335E-12</v>
      </c>
      <c r="AM78" s="60">
        <f t="shared" si="59"/>
        <v>293.33333333333667</v>
      </c>
      <c r="AN78" s="60">
        <f ca="1">AVERAGE(OFFSET($AM$3,0,0,'Données projet'!$E$10+1,1))-AVERAGE(OFFSET($H$3,0,0,'Données projet'!$E$10+1,1))</f>
        <v>201.39673092164992</v>
      </c>
      <c r="AO78" s="60">
        <f t="shared" si="90"/>
        <v>278.95637851890405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95.204325981787264</v>
      </c>
      <c r="BB78" s="13">
        <f>VLOOKUP(A78,'Données projet'!$A$87:$I$107,9,0)</f>
        <v>1.6365575990587931</v>
      </c>
      <c r="BC78" s="13">
        <f t="array" ref="BC78">INDEX(BB:BB,MIN(IF(ISNUMBER(BB78:BB274),ROW(BB78:BB274),"")))</f>
        <v>1.6365575990587931</v>
      </c>
      <c r="BD78" s="13">
        <f>IF('Données projet'!$A$88&gt;35,BD77+BC78-BL77,IF(A78&lt;'Données projet'!$A$88,$BA$205^A78,IF(A78='Données projet'!$A$88,'Données projet'!$B$88,BD77+BC78-BL77)))</f>
        <v>95.204325981787164</v>
      </c>
      <c r="BE78" s="14">
        <f>BD78*VLOOKUP('Données projet'!$B$11,Paramètres!$A$1:$I$89,3,0)*VLOOKUP('Données projet'!$B$11,Paramètres!$A$1:$I$89,5,0)</f>
        <v>95.051999060216303</v>
      </c>
      <c r="BF78" s="14">
        <f t="shared" si="91"/>
        <v>25.779745748258517</v>
      </c>
      <c r="BG78" s="22">
        <f t="shared" si="61"/>
        <v>210.44862220809364</v>
      </c>
      <c r="BH78" s="60">
        <f t="shared" si="62"/>
        <v>503.78195554142695</v>
      </c>
      <c r="BI78" s="60">
        <f ca="1">AVERAGE(OFFSET($BH$3,0,0,'Données projet'!$E$11+1,1))-AVERAGE(OFFSET($H$3,0,0,'Données projet'!$E$11+1,1))</f>
        <v>123.29894837876157</v>
      </c>
      <c r="BJ78" s="60">
        <f t="shared" si="92"/>
        <v>103.52963511757127</v>
      </c>
      <c r="BK78" s="16">
        <f>IF(ISNA(VLOOKUP(A78,'Données projet'!$A$87:$I$107,3,0)),0,VLOOKUP(A78,'Données projet'!$A$87:$I$107,3,0))</f>
        <v>4</v>
      </c>
      <c r="BL78" s="16">
        <f>IF(ISNA(VLOOKUP(A78,'Données projet'!$A$87:$I$107,4,0)),0,VLOOKUP(A78,'Données projet'!$A$87:$I$107,4,0))</f>
        <v>9.3672946007864581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255.52799999999991</v>
      </c>
      <c r="CA78" s="14">
        <f t="shared" si="93"/>
        <v>61.768167868721477</v>
      </c>
      <c r="CB78" s="22">
        <f t="shared" si="64"/>
        <v>552.62415903802309</v>
      </c>
      <c r="CC78" s="60">
        <f t="shared" si="65"/>
        <v>845.95749237135647</v>
      </c>
      <c r="CD78" s="60">
        <f ca="1">AVERAGE(OFFSET($CC$3,0,0,'Données projet'!$E$12+1,1))-AVERAGE(OFFSET($H$3,0,0,'Données projet'!$E$12+1,1))</f>
        <v>428.49602929661046</v>
      </c>
      <c r="CE78" s="60">
        <f t="shared" si="94"/>
        <v>252.32489414103878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215.38461538461539</v>
      </c>
      <c r="CR78" s="13">
        <f>VLOOKUP(A78,'Données projet'!$A$139:$I$159,9,0)</f>
        <v>3.974358974358978</v>
      </c>
      <c r="CS78" s="13">
        <f t="array" ref="CS78">INDEX(CR:CR,MIN(IF(ISNUMBER(CR78:CR274),ROW(CR78:CR274),"")))</f>
        <v>3.974358974358978</v>
      </c>
      <c r="CT78" s="13">
        <f>IF('Données projet'!$A$140&gt;35,CT77+CS78-DB77,IF(A78&lt;'Données projet'!$A$140,$CQ$205^A78,IF(A78='Données projet'!$A$140,'Données projet'!$B$140,CT77+CS78-DB77)))</f>
        <v>215.38461538461539</v>
      </c>
      <c r="CU78" s="18">
        <f>CT78*VLOOKUP('Données projet'!$B$13,Paramètres!$A$1:$I$89,3,0)*VLOOKUP('Données projet'!$B$13,Paramètres!$A$1:$I$89,5,0)</f>
        <v>144.47999999999999</v>
      </c>
      <c r="CV78" s="14">
        <f t="shared" si="95"/>
        <v>37.321421577674684</v>
      </c>
      <c r="CW78" s="22">
        <f t="shared" si="67"/>
        <v>316.63747591445002</v>
      </c>
      <c r="CX78" s="60">
        <f t="shared" si="68"/>
        <v>609.97080924778334</v>
      </c>
      <c r="CY78" s="60">
        <f ca="1">AVERAGE(OFFSET($CX$3,0,0,'Données projet'!$E$13+1,1))-AVERAGE(OFFSET($H$3,0,0,'Données projet'!$E$13+1,1))</f>
        <v>226.5873967387837</v>
      </c>
      <c r="CZ78" s="60">
        <f t="shared" si="96"/>
        <v>188.57459946241204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360.76923076923077</v>
      </c>
      <c r="DM78" s="13">
        <f>VLOOKUP(A78,'Données projet'!$A$165:$I$185,9,0)</f>
        <v>9.8717948717948705</v>
      </c>
      <c r="DN78" s="13">
        <f t="array" ref="DN78">INDEX(DM:DM,MIN(IF(ISNUMBER(DM78:DM274),ROW(DM78:DM274),"")))</f>
        <v>9.8717948717948705</v>
      </c>
      <c r="DO78" s="13">
        <f>IF('Données projet'!$A$166&gt;35,DO77+DN78-DW77,IF(A78&lt;'Données projet'!$A$166,$DL$205^A78,IF(A78='Données projet'!$A$166,'Données projet'!$B$166,DO77+DN78-DW77)))</f>
        <v>360.7692307692306</v>
      </c>
      <c r="DP78" s="18">
        <f>DO78*VLOOKUP('Données projet'!$B$14,Paramètres!$A$1:$I$89,3,0)*VLOOKUP('Données projet'!$B$14,Paramètres!$A$1:$I$89,5,0)</f>
        <v>168.83999999999995</v>
      </c>
      <c r="DQ78" s="14">
        <f t="shared" si="97"/>
        <v>42.830118735743163</v>
      </c>
      <c r="DR78" s="22">
        <f t="shared" si="70"/>
        <v>368.65879013141921</v>
      </c>
      <c r="DS78" s="60">
        <f t="shared" si="71"/>
        <v>661.99212346475247</v>
      </c>
      <c r="DT78" s="60">
        <f ca="1">AVERAGE(OFFSET($DS$3,0,0,'Données projet'!$E$14+1,1))-AVERAGE(OFFSET($H$3,0,0,'Données projet'!$E$14+1,1))</f>
        <v>212.19771249416107</v>
      </c>
      <c r="DU78" s="60">
        <f t="shared" si="98"/>
        <v>125.93313963856127</v>
      </c>
      <c r="DV78" s="16">
        <f>IF(ISNA(VLOOKUP(A78,'Données projet'!$A$165:$I$185,3,0)),0,VLOOKUP(A78,'Données projet'!$A$165:$I$185,3,0))</f>
        <v>3</v>
      </c>
      <c r="DW78" s="16">
        <f>IF(ISNA(VLOOKUP(A78,'Données projet'!$A$165:$I$185,4,0)),0,VLOOKUP(A78,'Données projet'!$A$165:$I$185,4,0))</f>
        <v>85.384615384615415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20.747999999999983</v>
      </c>
      <c r="D79" s="12">
        <f t="shared" si="86"/>
        <v>6.717880434124976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212.01732264938565</v>
      </c>
      <c r="H79" s="68">
        <f t="shared" si="56"/>
        <v>304.50307508943433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277.71119999999985</v>
      </c>
      <c r="P79" s="14">
        <f t="shared" si="87"/>
        <v>66.483088830893976</v>
      </c>
      <c r="Q79" s="22">
        <f t="shared" si="54"/>
        <v>599.47171971380669</v>
      </c>
      <c r="R79" s="60">
        <f t="shared" si="55"/>
        <v>892.80505304714006</v>
      </c>
      <c r="S79" s="60">
        <f ca="1">AVERAGE(OFFSET($R$3,0,0,'Données projet'!$E$9+1,1))-AVERAGE(OFFSET($H$3,0,0,'Données projet'!$E$9+1,1))</f>
        <v>455.09463986470064</v>
      </c>
      <c r="T79" s="60">
        <f t="shared" si="88"/>
        <v>266.42568447709669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1.4210854715202004E-13</v>
      </c>
      <c r="AJ79" s="14">
        <f>AI79*VLOOKUP('Données projet'!$B$10,Paramètres!$A$1:$I$89,3,0)*VLOOKUP('Données projet'!$B$10,Paramètres!$A$1:$I$89,5,0)</f>
        <v>1.2192913345643319E-13</v>
      </c>
      <c r="AK79" s="14">
        <f t="shared" si="89"/>
        <v>1.7899324464546674E-12</v>
      </c>
      <c r="AL79" s="22">
        <f t="shared" si="58"/>
        <v>3.3298255850118335E-12</v>
      </c>
      <c r="AM79" s="60">
        <f t="shared" si="59"/>
        <v>293.33333333333667</v>
      </c>
      <c r="AN79" s="60">
        <f ca="1">AVERAGE(OFFSET($AM$3,0,0,'Données projet'!$E$10+1,1))-AVERAGE(OFFSET($H$3,0,0,'Données projet'!$E$10+1,1))</f>
        <v>201.39673092164992</v>
      </c>
      <c r="AO79" s="60">
        <f t="shared" si="90"/>
        <v>278.95637851890405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0.85435052946188728</v>
      </c>
      <c r="BD79" s="13">
        <f>IF('Données projet'!$A$88&gt;35,BD78+BC79-BL78,IF(A79&lt;'Données projet'!$A$88,$BA$205^A79,IF(A79='Données projet'!$A$88,'Données projet'!$B$88,BD78+BC79-BL78)))</f>
        <v>86.691381910462582</v>
      </c>
      <c r="BE79" s="14">
        <f>BD79*VLOOKUP('Données projet'!$B$11,Paramètres!$A$1:$I$89,3,0)*VLOOKUP('Données projet'!$B$11,Paramètres!$A$1:$I$89,5,0)</f>
        <v>86.552675699405853</v>
      </c>
      <c r="BF79" s="14">
        <f t="shared" si="91"/>
        <v>23.7319329756962</v>
      </c>
      <c r="BG79" s="22">
        <f t="shared" si="61"/>
        <v>192.07902677580273</v>
      </c>
      <c r="BH79" s="60">
        <f t="shared" si="62"/>
        <v>485.41236010913605</v>
      </c>
      <c r="BI79" s="60">
        <f ca="1">AVERAGE(OFFSET($BH$3,0,0,'Données projet'!$E$11+1,1))-AVERAGE(OFFSET($H$3,0,0,'Données projet'!$E$11+1,1))</f>
        <v>123.29894837876157</v>
      </c>
      <c r="BJ79" s="60">
        <f t="shared" si="92"/>
        <v>103.52963511757127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261.61199999999991</v>
      </c>
      <c r="CA79" s="14">
        <f t="shared" si="93"/>
        <v>63.065867509496442</v>
      </c>
      <c r="CB79" s="22">
        <f t="shared" si="64"/>
        <v>565.48061924570618</v>
      </c>
      <c r="CC79" s="60">
        <f t="shared" si="65"/>
        <v>858.81395257903955</v>
      </c>
      <c r="CD79" s="60">
        <f ca="1">AVERAGE(OFFSET($CC$3,0,0,'Données projet'!$E$12+1,1))-AVERAGE(OFFSET($H$3,0,0,'Données projet'!$E$12+1,1))</f>
        <v>428.49602929661046</v>
      </c>
      <c r="CE79" s="60">
        <f t="shared" si="94"/>
        <v>252.32489414103878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3.7179487179487181</v>
      </c>
      <c r="CT79" s="13">
        <f>IF('Données projet'!$A$140&gt;35,CT78+CS79-DB78,IF(A79&lt;'Données projet'!$A$140,$CQ$205^A79,IF(A79='Données projet'!$A$140,'Données projet'!$B$140,CT78+CS79-DB78)))</f>
        <v>219.10256410256412</v>
      </c>
      <c r="CU79" s="18">
        <f>CT79*VLOOKUP('Données projet'!$B$13,Paramètres!$A$1:$I$89,3,0)*VLOOKUP('Données projet'!$B$13,Paramètres!$A$1:$I$89,5,0)</f>
        <v>146.97400000000002</v>
      </c>
      <c r="CV79" s="14">
        <f t="shared" si="95"/>
        <v>37.890102751431449</v>
      </c>
      <c r="CW79" s="22">
        <f t="shared" si="67"/>
        <v>321.97164562540979</v>
      </c>
      <c r="CX79" s="60">
        <f t="shared" si="68"/>
        <v>615.30497895874305</v>
      </c>
      <c r="CY79" s="60">
        <f ca="1">AVERAGE(OFFSET($CX$3,0,0,'Données projet'!$E$13+1,1))-AVERAGE(OFFSET($H$3,0,0,'Données projet'!$E$13+1,1))</f>
        <v>226.5873967387837</v>
      </c>
      <c r="CZ79" s="60">
        <f t="shared" si="96"/>
        <v>188.57459946241204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8.9743589743589727</v>
      </c>
      <c r="DO79" s="13">
        <f>IF('Données projet'!$A$166&gt;35,DO78+DN79-DW78,IF(A79&lt;'Données projet'!$A$166,$DL$205^A79,IF(A79='Données projet'!$A$166,'Données projet'!$B$166,DO78+DN79-DW78)))</f>
        <v>284.35897435897414</v>
      </c>
      <c r="DP79" s="18">
        <f>DO79*VLOOKUP('Données projet'!$B$14,Paramètres!$A$1:$I$89,3,0)*VLOOKUP('Données projet'!$B$14,Paramètres!$A$1:$I$89,5,0)</f>
        <v>133.0799999999999</v>
      </c>
      <c r="DQ79" s="14">
        <f t="shared" si="97"/>
        <v>34.707084092439132</v>
      </c>
      <c r="DR79" s="22">
        <f t="shared" si="70"/>
        <v>292.22917146099797</v>
      </c>
      <c r="DS79" s="60">
        <f t="shared" si="71"/>
        <v>585.56250479433129</v>
      </c>
      <c r="DT79" s="60">
        <f ca="1">AVERAGE(OFFSET($DS$3,0,0,'Données projet'!$E$14+1,1))-AVERAGE(OFFSET($H$3,0,0,'Données projet'!$E$14+1,1))</f>
        <v>212.19771249416107</v>
      </c>
      <c r="DU79" s="60">
        <f t="shared" si="98"/>
        <v>125.93313963856127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21.020999999999983</v>
      </c>
      <c r="D80" s="12">
        <f t="shared" si="86"/>
        <v>6.7959251129578675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214.72714122283253</v>
      </c>
      <c r="H80" s="68">
        <f t="shared" si="56"/>
        <v>305.11447790506827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284.16959999999989</v>
      </c>
      <c r="P80" s="14">
        <f t="shared" si="87"/>
        <v>67.847405740313874</v>
      </c>
      <c r="Q80" s="22">
        <f t="shared" si="54"/>
        <v>613.09628499771316</v>
      </c>
      <c r="R80" s="60">
        <f t="shared" si="55"/>
        <v>906.42961833104641</v>
      </c>
      <c r="S80" s="60">
        <f ca="1">AVERAGE(OFFSET($R$3,0,0,'Données projet'!$E$9+1,1))-AVERAGE(OFFSET($H$3,0,0,'Données projet'!$E$9+1,1))</f>
        <v>455.09463986470064</v>
      </c>
      <c r="T80" s="60">
        <f t="shared" si="88"/>
        <v>266.42568447709669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1.4210854715202004E-13</v>
      </c>
      <c r="AJ80" s="14">
        <f>AI80*VLOOKUP('Données projet'!$B$10,Paramètres!$A$1:$I$89,3,0)*VLOOKUP('Données projet'!$B$10,Paramètres!$A$1:$I$89,5,0)</f>
        <v>1.2192913345643319E-13</v>
      </c>
      <c r="AK80" s="14">
        <f t="shared" si="89"/>
        <v>1.7899324464546674E-12</v>
      </c>
      <c r="AL80" s="22">
        <f t="shared" si="58"/>
        <v>3.3298255850118335E-12</v>
      </c>
      <c r="AM80" s="60">
        <f t="shared" si="59"/>
        <v>293.33333333333667</v>
      </c>
      <c r="AN80" s="60">
        <f ca="1">AVERAGE(OFFSET($AM$3,0,0,'Données projet'!$E$10+1,1))-AVERAGE(OFFSET($H$3,0,0,'Données projet'!$E$10+1,1))</f>
        <v>201.39673092164992</v>
      </c>
      <c r="AO80" s="60">
        <f t="shared" si="90"/>
        <v>278.95637851890405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0.85435052946188728</v>
      </c>
      <c r="BD80" s="13">
        <f>IF('Données projet'!$A$88&gt;35,BD79+BC80-BL79,IF(A80&lt;'Données projet'!$A$88,$BA$205^A80,IF(A80='Données projet'!$A$88,'Données projet'!$B$88,BD79+BC80-BL79)))</f>
        <v>87.545732439924464</v>
      </c>
      <c r="BE80" s="14">
        <f>BD80*VLOOKUP('Données projet'!$B$11,Paramètres!$A$1:$I$89,3,0)*VLOOKUP('Données projet'!$B$11,Paramètres!$A$1:$I$89,5,0)</f>
        <v>87.405659268020585</v>
      </c>
      <c r="BF80" s="14">
        <f t="shared" si="91"/>
        <v>23.938471337861657</v>
      </c>
      <c r="BG80" s="22">
        <f t="shared" si="61"/>
        <v>193.9243608052449</v>
      </c>
      <c r="BH80" s="60">
        <f t="shared" si="62"/>
        <v>487.25769413857824</v>
      </c>
      <c r="BI80" s="60">
        <f ca="1">AVERAGE(OFFSET($BH$3,0,0,'Données projet'!$E$11+1,1))-AVERAGE(OFFSET($H$3,0,0,'Données projet'!$E$11+1,1))</f>
        <v>123.29894837876157</v>
      </c>
      <c r="BJ80" s="60">
        <f t="shared" si="92"/>
        <v>103.52963511757127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267.69599999999991</v>
      </c>
      <c r="CA80" s="14">
        <f t="shared" si="93"/>
        <v>64.360058723585439</v>
      </c>
      <c r="CB80" s="22">
        <f t="shared" si="64"/>
        <v>578.33096894357777</v>
      </c>
      <c r="CC80" s="60">
        <f t="shared" si="65"/>
        <v>871.66430227691103</v>
      </c>
      <c r="CD80" s="60">
        <f ca="1">AVERAGE(OFFSET($CC$3,0,0,'Données projet'!$E$12+1,1))-AVERAGE(OFFSET($H$3,0,0,'Données projet'!$E$12+1,1))</f>
        <v>428.49602929661046</v>
      </c>
      <c r="CE80" s="60">
        <f t="shared" si="94"/>
        <v>252.32489414103878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3.7179487179487181</v>
      </c>
      <c r="CT80" s="13">
        <f>IF('Données projet'!$A$140&gt;35,CT79+CS80-DB79,IF(A80&lt;'Données projet'!$A$140,$CQ$205^A80,IF(A80='Données projet'!$A$140,'Données projet'!$B$140,CT79+CS80-DB79)))</f>
        <v>222.82051282051285</v>
      </c>
      <c r="CU80" s="18">
        <f>CT80*VLOOKUP('Données projet'!$B$13,Paramètres!$A$1:$I$89,3,0)*VLOOKUP('Données projet'!$B$13,Paramètres!$A$1:$I$89,5,0)</f>
        <v>149.46800000000002</v>
      </c>
      <c r="CV80" s="14">
        <f t="shared" si="95"/>
        <v>38.457661723375892</v>
      </c>
      <c r="CW80" s="22">
        <f t="shared" si="67"/>
        <v>327.30386083487969</v>
      </c>
      <c r="CX80" s="60">
        <f t="shared" si="68"/>
        <v>620.637194168213</v>
      </c>
      <c r="CY80" s="60">
        <f ca="1">AVERAGE(OFFSET($CX$3,0,0,'Données projet'!$E$13+1,1))-AVERAGE(OFFSET($H$3,0,0,'Données projet'!$E$13+1,1))</f>
        <v>226.5873967387837</v>
      </c>
      <c r="CZ80" s="60">
        <f t="shared" si="96"/>
        <v>188.57459946241204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8.9743589743589727</v>
      </c>
      <c r="DO80" s="13">
        <f>IF('Données projet'!$A$166&gt;35,DO79+DN80-DW79,IF(A80&lt;'Données projet'!$A$166,$DL$205^A80,IF(A80='Données projet'!$A$166,'Données projet'!$B$166,DO79+DN80-DW79)))</f>
        <v>293.33333333333309</v>
      </c>
      <c r="DP80" s="18">
        <f>DO80*VLOOKUP('Données projet'!$B$14,Paramètres!$A$1:$I$89,3,0)*VLOOKUP('Données projet'!$B$14,Paramètres!$A$1:$I$89,5,0)</f>
        <v>137.27999999999989</v>
      </c>
      <c r="DQ80" s="14">
        <f t="shared" si="97"/>
        <v>35.673181961873411</v>
      </c>
      <c r="DR80" s="22">
        <f t="shared" si="70"/>
        <v>301.22679191692936</v>
      </c>
      <c r="DS80" s="60">
        <f t="shared" si="71"/>
        <v>594.56012525026267</v>
      </c>
      <c r="DT80" s="60">
        <f ca="1">AVERAGE(OFFSET($DS$3,0,0,'Données projet'!$E$14+1,1))-AVERAGE(OFFSET($H$3,0,0,'Données projet'!$E$14+1,1))</f>
        <v>212.19771249416107</v>
      </c>
      <c r="DU80" s="60">
        <f t="shared" si="98"/>
        <v>125.93313963856127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21.293999999999983</v>
      </c>
      <c r="D81" s="12">
        <f t="shared" si="86"/>
        <v>6.8738518981865644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217.4360497403874</v>
      </c>
      <c r="H81" s="68">
        <f t="shared" si="56"/>
        <v>305.72567538934157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290.62799999999987</v>
      </c>
      <c r="P81" s="14">
        <f t="shared" si="87"/>
        <v>69.208117853196882</v>
      </c>
      <c r="Q81" s="22">
        <f t="shared" si="54"/>
        <v>626.71457192765104</v>
      </c>
      <c r="R81" s="60">
        <f t="shared" si="55"/>
        <v>920.04790526098441</v>
      </c>
      <c r="S81" s="60">
        <f ca="1">AVERAGE(OFFSET($R$3,0,0,'Données projet'!$E$9+1,1))-AVERAGE(OFFSET($H$3,0,0,'Données projet'!$E$9+1,1))</f>
        <v>455.09463986470064</v>
      </c>
      <c r="T81" s="60">
        <f t="shared" si="88"/>
        <v>266.42568447709669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1.4210854715202004E-13</v>
      </c>
      <c r="AJ81" s="14">
        <f>AI81*VLOOKUP('Données projet'!$B$10,Paramètres!$A$1:$I$89,3,0)*VLOOKUP('Données projet'!$B$10,Paramètres!$A$1:$I$89,5,0)</f>
        <v>1.2192913345643319E-13</v>
      </c>
      <c r="AK81" s="14">
        <f t="shared" si="89"/>
        <v>1.7899324464546674E-12</v>
      </c>
      <c r="AL81" s="22">
        <f t="shared" si="58"/>
        <v>3.3298255850118335E-12</v>
      </c>
      <c r="AM81" s="60">
        <f t="shared" si="59"/>
        <v>293.33333333333667</v>
      </c>
      <c r="AN81" s="60">
        <f ca="1">AVERAGE(OFFSET($AM$3,0,0,'Données projet'!$E$10+1,1))-AVERAGE(OFFSET($H$3,0,0,'Données projet'!$E$10+1,1))</f>
        <v>201.39673092164992</v>
      </c>
      <c r="AO81" s="60">
        <f t="shared" si="90"/>
        <v>278.95637851890405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0.85435052946188728</v>
      </c>
      <c r="BD81" s="13">
        <f>IF('Données projet'!$A$88&gt;35,BD80+BC81-BL80,IF(A81&lt;'Données projet'!$A$88,$BA$205^A81,IF(A81='Données projet'!$A$88,'Données projet'!$B$88,BD80+BC81-BL80)))</f>
        <v>88.400082969386347</v>
      </c>
      <c r="BE81" s="14">
        <f>BD81*VLOOKUP('Données projet'!$B$11,Paramètres!$A$1:$I$89,3,0)*VLOOKUP('Données projet'!$B$11,Paramètres!$A$1:$I$89,5,0)</f>
        <v>88.258642836635332</v>
      </c>
      <c r="BF81" s="14">
        <f t="shared" si="91"/>
        <v>24.144775214809055</v>
      </c>
      <c r="BG81" s="22">
        <f t="shared" si="61"/>
        <v>195.76928643959897</v>
      </c>
      <c r="BH81" s="60">
        <f t="shared" si="62"/>
        <v>489.10261977293226</v>
      </c>
      <c r="BI81" s="60">
        <f ca="1">AVERAGE(OFFSET($BH$3,0,0,'Données projet'!$E$11+1,1))-AVERAGE(OFFSET($H$3,0,0,'Données projet'!$E$11+1,1))</f>
        <v>123.29894837876157</v>
      </c>
      <c r="BJ81" s="60">
        <f t="shared" si="92"/>
        <v>103.52963511757127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273.77999999999992</v>
      </c>
      <c r="CA81" s="14">
        <f t="shared" si="93"/>
        <v>65.650830427167435</v>
      </c>
      <c r="CB81" s="22">
        <f t="shared" si="64"/>
        <v>591.17536299398307</v>
      </c>
      <c r="CC81" s="60">
        <f t="shared" si="65"/>
        <v>884.50869632731633</v>
      </c>
      <c r="CD81" s="60">
        <f ca="1">AVERAGE(OFFSET($CC$3,0,0,'Données projet'!$E$12+1,1))-AVERAGE(OFFSET($H$3,0,0,'Données projet'!$E$12+1,1))</f>
        <v>428.49602929661046</v>
      </c>
      <c r="CE81" s="60">
        <f t="shared" si="94"/>
        <v>252.32489414103878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3.7179487179487181</v>
      </c>
      <c r="CT81" s="13">
        <f>IF('Données projet'!$A$140&gt;35,CT80+CS81-DB80,IF(A81&lt;'Données projet'!$A$140,$CQ$205^A81,IF(A81='Données projet'!$A$140,'Données projet'!$B$140,CT80+CS81-DB80)))</f>
        <v>226.53846153846158</v>
      </c>
      <c r="CU81" s="18">
        <f>CT81*VLOOKUP('Données projet'!$B$13,Paramètres!$A$1:$I$89,3,0)*VLOOKUP('Données projet'!$B$13,Paramètres!$A$1:$I$89,5,0)</f>
        <v>151.96200000000002</v>
      </c>
      <c r="CV81" s="14">
        <f t="shared" si="95"/>
        <v>39.024119379636694</v>
      </c>
      <c r="CW81" s="22">
        <f t="shared" si="67"/>
        <v>332.63415791953389</v>
      </c>
      <c r="CX81" s="60">
        <f t="shared" si="68"/>
        <v>625.96749125286715</v>
      </c>
      <c r="CY81" s="60">
        <f ca="1">AVERAGE(OFFSET($CX$3,0,0,'Données projet'!$E$13+1,1))-AVERAGE(OFFSET($H$3,0,0,'Données projet'!$E$13+1,1))</f>
        <v>226.5873967387837</v>
      </c>
      <c r="CZ81" s="60">
        <f t="shared" si="96"/>
        <v>188.57459946241204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8.9743589743589727</v>
      </c>
      <c r="DO81" s="13">
        <f>IF('Données projet'!$A$166&gt;35,DO80+DN81-DW80,IF(A81&lt;'Données projet'!$A$166,$DL$205^A81,IF(A81='Données projet'!$A$166,'Données projet'!$B$166,DO80+DN81-DW80)))</f>
        <v>302.30769230769204</v>
      </c>
      <c r="DP81" s="18">
        <f>DO81*VLOOKUP('Données projet'!$B$14,Paramètres!$A$1:$I$89,3,0)*VLOOKUP('Données projet'!$B$14,Paramètres!$A$1:$I$89,5,0)</f>
        <v>141.47999999999988</v>
      </c>
      <c r="DQ81" s="14">
        <f t="shared" si="97"/>
        <v>36.635844927016009</v>
      </c>
      <c r="DR81" s="22">
        <f t="shared" si="70"/>
        <v>310.21842991455259</v>
      </c>
      <c r="DS81" s="60">
        <f t="shared" si="71"/>
        <v>603.5517632478859</v>
      </c>
      <c r="DT81" s="60">
        <f ca="1">AVERAGE(OFFSET($DS$3,0,0,'Données projet'!$E$14+1,1))-AVERAGE(OFFSET($H$3,0,0,'Données projet'!$E$14+1,1))</f>
        <v>212.19771249416107</v>
      </c>
      <c r="DU81" s="60">
        <f t="shared" si="98"/>
        <v>125.93313963856127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21.566999999999982</v>
      </c>
      <c r="D82" s="12">
        <f t="shared" si="86"/>
        <v>6.9516624760355539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220.14406121851994</v>
      </c>
      <c r="H82" s="68">
        <f t="shared" si="56"/>
        <v>306.33667047909523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297.08639999999986</v>
      </c>
      <c r="P82" s="14">
        <f t="shared" si="87"/>
        <v>70.565314499829583</v>
      </c>
      <c r="Q82" s="22">
        <f t="shared" si="54"/>
        <v>640.3267360872029</v>
      </c>
      <c r="R82" s="60">
        <f t="shared" si="55"/>
        <v>933.66006942053627</v>
      </c>
      <c r="S82" s="60">
        <f ca="1">AVERAGE(OFFSET($R$3,0,0,'Données projet'!$E$9+1,1))-AVERAGE(OFFSET($H$3,0,0,'Données projet'!$E$9+1,1))</f>
        <v>455.09463986470064</v>
      </c>
      <c r="T82" s="60">
        <f t="shared" si="88"/>
        <v>266.42568447709669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1.4210854715202004E-13</v>
      </c>
      <c r="AJ82" s="14">
        <f>AI82*VLOOKUP('Données projet'!$B$10,Paramètres!$A$1:$I$89,3,0)*VLOOKUP('Données projet'!$B$10,Paramètres!$A$1:$I$89,5,0)</f>
        <v>1.2192913345643319E-13</v>
      </c>
      <c r="AK82" s="14">
        <f t="shared" si="89"/>
        <v>1.7899324464546674E-12</v>
      </c>
      <c r="AL82" s="22">
        <f t="shared" si="58"/>
        <v>3.3298255850118335E-12</v>
      </c>
      <c r="AM82" s="60">
        <f t="shared" si="59"/>
        <v>293.33333333333667</v>
      </c>
      <c r="AN82" s="60">
        <f ca="1">AVERAGE(OFFSET($AM$3,0,0,'Données projet'!$E$10+1,1))-AVERAGE(OFFSET($H$3,0,0,'Données projet'!$E$10+1,1))</f>
        <v>201.39673092164992</v>
      </c>
      <c r="AO82" s="60">
        <f t="shared" si="90"/>
        <v>278.95637851890405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0.85435052946188728</v>
      </c>
      <c r="BD82" s="13">
        <f>IF('Données projet'!$A$88&gt;35,BD81+BC82-BL81,IF(A82&lt;'Données projet'!$A$88,$BA$205^A82,IF(A82='Données projet'!$A$88,'Données projet'!$B$88,BD81+BC82-BL81)))</f>
        <v>89.254433498848229</v>
      </c>
      <c r="BE82" s="14">
        <f>BD82*VLOOKUP('Données projet'!$B$11,Paramètres!$A$1:$I$89,3,0)*VLOOKUP('Données projet'!$B$11,Paramètres!$A$1:$I$89,5,0)</f>
        <v>89.111626405250078</v>
      </c>
      <c r="BF82" s="14">
        <f t="shared" si="91"/>
        <v>24.350847135184434</v>
      </c>
      <c r="BG82" s="22">
        <f t="shared" si="61"/>
        <v>197.61380808292344</v>
      </c>
      <c r="BH82" s="60">
        <f t="shared" si="62"/>
        <v>490.94714141625673</v>
      </c>
      <c r="BI82" s="60">
        <f ca="1">AVERAGE(OFFSET($BH$3,0,0,'Données projet'!$E$11+1,1))-AVERAGE(OFFSET($H$3,0,0,'Données projet'!$E$11+1,1))</f>
        <v>123.29894837876157</v>
      </c>
      <c r="BJ82" s="60">
        <f t="shared" si="92"/>
        <v>103.52963511757127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279.86399999999986</v>
      </c>
      <c r="CA82" s="14">
        <f t="shared" si="93"/>
        <v>66.938267358965007</v>
      </c>
      <c r="CB82" s="22">
        <f t="shared" si="64"/>
        <v>604.01394898353044</v>
      </c>
      <c r="CC82" s="60">
        <f t="shared" si="65"/>
        <v>897.34728231686381</v>
      </c>
      <c r="CD82" s="60">
        <f ca="1">AVERAGE(OFFSET($CC$3,0,0,'Données projet'!$E$12+1,1))-AVERAGE(OFFSET($H$3,0,0,'Données projet'!$E$12+1,1))</f>
        <v>428.49602929661046</v>
      </c>
      <c r="CE82" s="60">
        <f t="shared" si="94"/>
        <v>252.32489414103878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3.7179487179487181</v>
      </c>
      <c r="CT82" s="13">
        <f>IF('Données projet'!$A$140&gt;35,CT81+CS82-DB81,IF(A82&lt;'Données projet'!$A$140,$CQ$205^A82,IF(A82='Données projet'!$A$140,'Données projet'!$B$140,CT81+CS82-DB81)))</f>
        <v>230.25641025641031</v>
      </c>
      <c r="CU82" s="18">
        <f>CT82*VLOOKUP('Données projet'!$B$13,Paramètres!$A$1:$I$89,3,0)*VLOOKUP('Données projet'!$B$13,Paramètres!$A$1:$I$89,5,0)</f>
        <v>154.45600000000005</v>
      </c>
      <c r="CV82" s="14">
        <f t="shared" si="95"/>
        <v>39.589495881471649</v>
      </c>
      <c r="CW82" s="22">
        <f t="shared" si="67"/>
        <v>337.96257199356324</v>
      </c>
      <c r="CX82" s="60">
        <f t="shared" si="68"/>
        <v>631.29590532689656</v>
      </c>
      <c r="CY82" s="60">
        <f ca="1">AVERAGE(OFFSET($CX$3,0,0,'Données projet'!$E$13+1,1))-AVERAGE(OFFSET($H$3,0,0,'Données projet'!$E$13+1,1))</f>
        <v>226.5873967387837</v>
      </c>
      <c r="CZ82" s="60">
        <f t="shared" si="96"/>
        <v>188.57459946241204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8.9743589743589727</v>
      </c>
      <c r="DO82" s="13">
        <f>IF('Données projet'!$A$166&gt;35,DO81+DN82-DW81,IF(A82&lt;'Données projet'!$A$166,$DL$205^A82,IF(A82='Données projet'!$A$166,'Données projet'!$B$166,DO81+DN82-DW81)))</f>
        <v>311.28205128205099</v>
      </c>
      <c r="DP82" s="18">
        <f>DO82*VLOOKUP('Données projet'!$B$14,Paramètres!$A$1:$I$89,3,0)*VLOOKUP('Données projet'!$B$14,Paramètres!$A$1:$I$89,5,0)</f>
        <v>145.67999999999986</v>
      </c>
      <c r="DQ82" s="14">
        <f t="shared" si="97"/>
        <v>37.595186663644121</v>
      </c>
      <c r="DR82" s="22">
        <f t="shared" si="70"/>
        <v>319.2042834391799</v>
      </c>
      <c r="DS82" s="60">
        <f t="shared" si="71"/>
        <v>612.53761677251327</v>
      </c>
      <c r="DT82" s="60">
        <f ca="1">AVERAGE(OFFSET($DS$3,0,0,'Données projet'!$E$14+1,1))-AVERAGE(OFFSET($H$3,0,0,'Données projet'!$E$14+1,1))</f>
        <v>212.19771249416107</v>
      </c>
      <c r="DU82" s="60">
        <f t="shared" si="98"/>
        <v>125.93313963856127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21.839999999999982</v>
      </c>
      <c r="D83" s="12">
        <f t="shared" si="86"/>
        <v>7.0293584875852551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222.8511883252194</v>
      </c>
      <c r="H83" s="68">
        <f t="shared" si="56"/>
        <v>306.9474660325443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303.54479999999984</v>
      </c>
      <c r="P83" s="14">
        <f t="shared" si="87"/>
        <v>71.919080904752505</v>
      </c>
      <c r="Q83" s="22">
        <f t="shared" si="54"/>
        <v>653.93292590911028</v>
      </c>
      <c r="R83" s="60">
        <f t="shared" si="55"/>
        <v>947.26625924244354</v>
      </c>
      <c r="S83" s="60">
        <f ca="1">AVERAGE(OFFSET($R$3,0,0,'Données projet'!$E$9+1,1))-AVERAGE(OFFSET($H$3,0,0,'Données projet'!$E$9+1,1))</f>
        <v>455.09463986470064</v>
      </c>
      <c r="T83" s="60">
        <f t="shared" si="88"/>
        <v>266.42568447709669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1.4210854715202004E-13</v>
      </c>
      <c r="AJ83" s="14">
        <f>AI83*VLOOKUP('Données projet'!$B$10,Paramètres!$A$1:$I$89,3,0)*VLOOKUP('Données projet'!$B$10,Paramètres!$A$1:$I$89,5,0)</f>
        <v>1.2192913345643319E-13</v>
      </c>
      <c r="AK83" s="14">
        <f t="shared" si="89"/>
        <v>1.7899324464546674E-12</v>
      </c>
      <c r="AL83" s="22">
        <f t="shared" si="58"/>
        <v>3.3298255850118335E-12</v>
      </c>
      <c r="AM83" s="60">
        <f t="shared" si="59"/>
        <v>293.33333333333667</v>
      </c>
      <c r="AN83" s="60">
        <f ca="1">AVERAGE(OFFSET($AM$3,0,0,'Données projet'!$E$10+1,1))-AVERAGE(OFFSET($H$3,0,0,'Données projet'!$E$10+1,1))</f>
        <v>201.39673092164992</v>
      </c>
      <c r="AO83" s="60">
        <f t="shared" si="90"/>
        <v>278.95637851890405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0.85435052946188728</v>
      </c>
      <c r="BD83" s="13">
        <f>IF('Données projet'!$A$88&gt;35,BD82+BC83-BL82,IF(A83&lt;'Données projet'!$A$88,$BA$205^A83,IF(A83='Données projet'!$A$88,'Données projet'!$B$88,BD82+BC83-BL82)))</f>
        <v>90.108784028310112</v>
      </c>
      <c r="BE83" s="14">
        <f>BD83*VLOOKUP('Données projet'!$B$11,Paramètres!$A$1:$I$89,3,0)*VLOOKUP('Données projet'!$B$11,Paramètres!$A$1:$I$89,5,0)</f>
        <v>89.964609973864825</v>
      </c>
      <c r="BF83" s="14">
        <f t="shared" si="91"/>
        <v>24.556689576433808</v>
      </c>
      <c r="BG83" s="22">
        <f t="shared" si="61"/>
        <v>199.45793005010344</v>
      </c>
      <c r="BH83" s="60">
        <f t="shared" si="62"/>
        <v>492.79126338343679</v>
      </c>
      <c r="BI83" s="60">
        <f ca="1">AVERAGE(OFFSET($BH$3,0,0,'Données projet'!$E$11+1,1))-AVERAGE(OFFSET($H$3,0,0,'Données projet'!$E$11+1,1))</f>
        <v>123.29894837876157</v>
      </c>
      <c r="BJ83" s="60">
        <f t="shared" si="92"/>
        <v>103.52963511757127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285.94799999999992</v>
      </c>
      <c r="CA83" s="14">
        <f t="shared" si="93"/>
        <v>68.222450362989363</v>
      </c>
      <c r="CB83" s="22">
        <f t="shared" si="64"/>
        <v>616.84686771553959</v>
      </c>
      <c r="CC83" s="60">
        <f t="shared" si="65"/>
        <v>910.18020104887296</v>
      </c>
      <c r="CD83" s="60">
        <f ca="1">AVERAGE(OFFSET($CC$3,0,0,'Données projet'!$E$12+1,1))-AVERAGE(OFFSET($H$3,0,0,'Données projet'!$E$12+1,1))</f>
        <v>428.49602929661046</v>
      </c>
      <c r="CE83" s="60">
        <f t="shared" si="94"/>
        <v>252.32489414103878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233.97435897435898</v>
      </c>
      <c r="CR83" s="13">
        <f>VLOOKUP(A83,'Données projet'!$A$139:$I$159,9,0)</f>
        <v>3.7179487179487181</v>
      </c>
      <c r="CS83" s="13">
        <f t="array" ref="CS83">INDEX(CR:CR,MIN(IF(ISNUMBER(CR83:CR279),ROW(CR83:CR279),"")))</f>
        <v>3.7179487179487181</v>
      </c>
      <c r="CT83" s="13">
        <f>IF('Données projet'!$A$140&gt;35,CT82+CS83-DB82,IF(A83&lt;'Données projet'!$A$140,$CQ$205^A83,IF(A83='Données projet'!$A$140,'Données projet'!$B$140,CT82+CS83-DB82)))</f>
        <v>233.97435897435903</v>
      </c>
      <c r="CU83" s="18">
        <f>CT83*VLOOKUP('Données projet'!$B$13,Paramètres!$A$1:$I$89,3,0)*VLOOKUP('Données projet'!$B$13,Paramètres!$A$1:$I$89,5,0)</f>
        <v>156.95000000000005</v>
      </c>
      <c r="CV83" s="14">
        <f t="shared" si="95"/>
        <v>40.153810701715507</v>
      </c>
      <c r="CW83" s="22">
        <f t="shared" si="67"/>
        <v>343.28913697215461</v>
      </c>
      <c r="CX83" s="60">
        <f t="shared" si="68"/>
        <v>636.62247030548792</v>
      </c>
      <c r="CY83" s="60">
        <f ca="1">AVERAGE(OFFSET($CX$3,0,0,'Données projet'!$E$13+1,1))-AVERAGE(OFFSET($H$3,0,0,'Données projet'!$E$13+1,1))</f>
        <v>226.5873967387837</v>
      </c>
      <c r="CZ83" s="60">
        <f t="shared" si="96"/>
        <v>188.57459946241204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22.435897435897434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8.9743589743589727</v>
      </c>
      <c r="DO83" s="13">
        <f>IF('Données projet'!$A$166&gt;35,DO82+DN83-DW82,IF(A83&lt;'Données projet'!$A$166,$DL$205^A83,IF(A83='Données projet'!$A$166,'Données projet'!$B$166,DO82+DN83-DW82)))</f>
        <v>320.25641025640994</v>
      </c>
      <c r="DP83" s="18">
        <f>DO83*VLOOKUP('Données projet'!$B$14,Paramètres!$A$1:$I$89,3,0)*VLOOKUP('Données projet'!$B$14,Paramètres!$A$1:$I$89,5,0)</f>
        <v>149.87999999999985</v>
      </c>
      <c r="DQ83" s="14">
        <f t="shared" si="97"/>
        <v>38.551313920160567</v>
      </c>
      <c r="DR83" s="22">
        <f t="shared" si="70"/>
        <v>328.18453841094606</v>
      </c>
      <c r="DS83" s="60">
        <f t="shared" si="71"/>
        <v>621.51787174427932</v>
      </c>
      <c r="DT83" s="60">
        <f ca="1">AVERAGE(OFFSET($DS$3,0,0,'Données projet'!$E$14+1,1))-AVERAGE(OFFSET($H$3,0,0,'Données projet'!$E$14+1,1))</f>
        <v>212.19771249416107</v>
      </c>
      <c r="DU83" s="60">
        <f t="shared" si="98"/>
        <v>125.93313963856127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22.112999999999982</v>
      </c>
      <c r="D84" s="12">
        <f t="shared" si="86"/>
        <v>7.1069415305295216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225.5574433935611</v>
      </c>
      <c r="H84" s="68">
        <f t="shared" si="56"/>
        <v>307.55806483233891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264.36383999999987</v>
      </c>
      <c r="P84" s="14">
        <f t="shared" si="87"/>
        <v>63.651669282160768</v>
      </c>
      <c r="Q84" s="22">
        <f t="shared" si="54"/>
        <v>571.29367866642974</v>
      </c>
      <c r="R84" s="60">
        <f t="shared" si="55"/>
        <v>864.627011999763</v>
      </c>
      <c r="S84" s="60">
        <f ca="1">AVERAGE(OFFSET($R$3,0,0,'Données projet'!$E$9+1,1))-AVERAGE(OFFSET($H$3,0,0,'Données projet'!$E$9+1,1))</f>
        <v>455.09463986470064</v>
      </c>
      <c r="T84" s="60">
        <f t="shared" si="88"/>
        <v>266.42568447709669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1.4210854715202004E-13</v>
      </c>
      <c r="AJ84" s="14">
        <f>AI84*VLOOKUP('Données projet'!$B$10,Paramètres!$A$1:$I$89,3,0)*VLOOKUP('Données projet'!$B$10,Paramètres!$A$1:$I$89,5,0)</f>
        <v>1.2192913345643319E-13</v>
      </c>
      <c r="AK84" s="14">
        <f t="shared" si="89"/>
        <v>1.7899324464546674E-12</v>
      </c>
      <c r="AL84" s="22">
        <f t="shared" si="58"/>
        <v>3.3298255850118335E-12</v>
      </c>
      <c r="AM84" s="60">
        <f t="shared" si="59"/>
        <v>293.33333333333667</v>
      </c>
      <c r="AN84" s="60">
        <f ca="1">AVERAGE(OFFSET($AM$3,0,0,'Données projet'!$E$10+1,1))-AVERAGE(OFFSET($H$3,0,0,'Données projet'!$E$10+1,1))</f>
        <v>201.39673092164992</v>
      </c>
      <c r="AO84" s="60">
        <f t="shared" si="90"/>
        <v>278.95637851890405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0.85435052946188728</v>
      </c>
      <c r="BD84" s="13">
        <f>IF('Données projet'!$A$88&gt;35,BD83+BC84-BL83,IF(A84&lt;'Données projet'!$A$88,$BA$205^A84,IF(A84='Données projet'!$A$88,'Données projet'!$B$88,BD83+BC84-BL83)))</f>
        <v>90.963134557771994</v>
      </c>
      <c r="BE84" s="14">
        <f>BD84*VLOOKUP('Données projet'!$B$11,Paramètres!$A$1:$I$89,3,0)*VLOOKUP('Données projet'!$B$11,Paramètres!$A$1:$I$89,5,0)</f>
        <v>90.817593542479571</v>
      </c>
      <c r="BF84" s="14">
        <f t="shared" si="91"/>
        <v>24.76230496631533</v>
      </c>
      <c r="BG84" s="22">
        <f t="shared" si="61"/>
        <v>201.30165656948444</v>
      </c>
      <c r="BH84" s="60">
        <f t="shared" si="62"/>
        <v>494.63498990281778</v>
      </c>
      <c r="BI84" s="60">
        <f ca="1">AVERAGE(OFFSET($BH$3,0,0,'Données projet'!$E$11+1,1))-AVERAGE(OFFSET($H$3,0,0,'Données projet'!$E$11+1,1))</f>
        <v>123.29894837876157</v>
      </c>
      <c r="BJ84" s="60">
        <f t="shared" si="92"/>
        <v>103.52963511757127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249.03839999999994</v>
      </c>
      <c r="CA84" s="14">
        <f t="shared" si="93"/>
        <v>60.379982523339947</v>
      </c>
      <c r="CB84" s="22">
        <f t="shared" si="64"/>
        <v>538.90368289481694</v>
      </c>
      <c r="CC84" s="60">
        <f t="shared" si="65"/>
        <v>832.2370162281502</v>
      </c>
      <c r="CD84" s="60">
        <f ca="1">AVERAGE(OFFSET($CC$3,0,0,'Données projet'!$E$12+1,1))-AVERAGE(OFFSET($H$3,0,0,'Données projet'!$E$12+1,1))</f>
        <v>428.49602929661046</v>
      </c>
      <c r="CE84" s="60">
        <f t="shared" si="94"/>
        <v>252.32489414103878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3.5897435897435854</v>
      </c>
      <c r="CT84" s="13">
        <f>IF('Données projet'!$A$140&gt;35,CT83+CS84-DB83,IF(A84&lt;'Données projet'!$A$140,$CQ$205^A84,IF(A84='Données projet'!$A$140,'Données projet'!$B$140,CT83+CS84-DB83)))</f>
        <v>215.1282051282052</v>
      </c>
      <c r="CU84" s="18">
        <f>CT84*VLOOKUP('Données projet'!$B$13,Paramètres!$A$1:$I$89,3,0)*VLOOKUP('Données projet'!$B$13,Paramètres!$A$1:$I$89,5,0)</f>
        <v>144.30800000000005</v>
      </c>
      <c r="CV84" s="14">
        <f t="shared" si="95"/>
        <v>37.282160275331499</v>
      </c>
      <c r="CW84" s="22">
        <f t="shared" si="67"/>
        <v>316.26952914620239</v>
      </c>
      <c r="CX84" s="60">
        <f t="shared" si="68"/>
        <v>609.6028624795357</v>
      </c>
      <c r="CY84" s="60">
        <f ca="1">AVERAGE(OFFSET($CX$3,0,0,'Données projet'!$E$13+1,1))-AVERAGE(OFFSET($H$3,0,0,'Données projet'!$E$13+1,1))</f>
        <v>226.5873967387837</v>
      </c>
      <c r="CZ84" s="60">
        <f t="shared" si="96"/>
        <v>188.57459946241204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8.9743589743589727</v>
      </c>
      <c r="DO84" s="13">
        <f>IF('Données projet'!$A$166&gt;35,DO83+DN84-DW83,IF(A84&lt;'Données projet'!$A$166,$DL$205^A84,IF(A84='Données projet'!$A$166,'Données projet'!$B$166,DO83+DN84-DW83)))</f>
        <v>329.23076923076889</v>
      </c>
      <c r="DP84" s="18">
        <f>DO84*VLOOKUP('Données projet'!$B$14,Paramètres!$A$1:$I$89,3,0)*VLOOKUP('Données projet'!$B$14,Paramètres!$A$1:$I$89,5,0)</f>
        <v>154.07999999999984</v>
      </c>
      <c r="DQ84" s="14">
        <f t="shared" si="97"/>
        <v>39.504327121889887</v>
      </c>
      <c r="DR84" s="22">
        <f t="shared" si="70"/>
        <v>337.15936973729123</v>
      </c>
      <c r="DS84" s="60">
        <f t="shared" si="71"/>
        <v>630.49270307062454</v>
      </c>
      <c r="DT84" s="60">
        <f ca="1">AVERAGE(OFFSET($DS$3,0,0,'Données projet'!$E$14+1,1))-AVERAGE(OFFSET($H$3,0,0,'Données projet'!$E$14+1,1))</f>
        <v>212.19771249416107</v>
      </c>
      <c r="DU84" s="60">
        <f t="shared" si="98"/>
        <v>125.93313963856127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22.385999999999981</v>
      </c>
      <c r="D85" s="12">
        <f t="shared" si="86"/>
        <v>7.1844131608438371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228.26283843458387</v>
      </c>
      <c r="H85" s="68">
        <f t="shared" si="56"/>
        <v>308.16846958846969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270.39167999999989</v>
      </c>
      <c r="P85" s="14">
        <f t="shared" si="87"/>
        <v>64.932386654872516</v>
      </c>
      <c r="Q85" s="22">
        <f t="shared" si="54"/>
        <v>584.02274942390272</v>
      </c>
      <c r="R85" s="60">
        <f t="shared" si="55"/>
        <v>877.35608275723598</v>
      </c>
      <c r="S85" s="60">
        <f ca="1">AVERAGE(OFFSET($R$3,0,0,'Données projet'!$E$9+1,1))-AVERAGE(OFFSET($H$3,0,0,'Données projet'!$E$9+1,1))</f>
        <v>455.09463986470064</v>
      </c>
      <c r="T85" s="60">
        <f t="shared" si="88"/>
        <v>266.42568447709669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1.4210854715202004E-13</v>
      </c>
      <c r="AJ85" s="14">
        <f>AI85*VLOOKUP('Données projet'!$B$10,Paramètres!$A$1:$I$89,3,0)*VLOOKUP('Données projet'!$B$10,Paramètres!$A$1:$I$89,5,0)</f>
        <v>1.2192913345643319E-13</v>
      </c>
      <c r="AK85" s="14">
        <f t="shared" si="89"/>
        <v>1.7899324464546674E-12</v>
      </c>
      <c r="AL85" s="22">
        <f t="shared" si="58"/>
        <v>3.3298255850118335E-12</v>
      </c>
      <c r="AM85" s="60">
        <f t="shared" si="59"/>
        <v>293.33333333333667</v>
      </c>
      <c r="AN85" s="60">
        <f ca="1">AVERAGE(OFFSET($AM$3,0,0,'Données projet'!$E$10+1,1))-AVERAGE(OFFSET($H$3,0,0,'Données projet'!$E$10+1,1))</f>
        <v>201.39673092164992</v>
      </c>
      <c r="AO85" s="60">
        <f t="shared" si="90"/>
        <v>278.95637851890405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0.85435052946188728</v>
      </c>
      <c r="BD85" s="13">
        <f>IF('Données projet'!$A$88&gt;35,BD84+BC85-BL84,IF(A85&lt;'Données projet'!$A$88,$BA$205^A85,IF(A85='Données projet'!$A$88,'Données projet'!$B$88,BD84+BC85-BL84)))</f>
        <v>91.817485087233877</v>
      </c>
      <c r="BE85" s="14">
        <f>BD85*VLOOKUP('Données projet'!$B$11,Paramètres!$A$1:$I$89,3,0)*VLOOKUP('Données projet'!$B$11,Paramètres!$A$1:$I$89,5,0)</f>
        <v>91.670577111094303</v>
      </c>
      <c r="BF85" s="14">
        <f t="shared" si="91"/>
        <v>24.967695684352929</v>
      </c>
      <c r="BG85" s="22">
        <f t="shared" si="61"/>
        <v>203.14499178540393</v>
      </c>
      <c r="BH85" s="60">
        <f t="shared" si="62"/>
        <v>496.47832511873725</v>
      </c>
      <c r="BI85" s="60">
        <f ca="1">AVERAGE(OFFSET($BH$3,0,0,'Données projet'!$E$11+1,1))-AVERAGE(OFFSET($H$3,0,0,'Données projet'!$E$11+1,1))</f>
        <v>123.29894837876157</v>
      </c>
      <c r="BJ85" s="60">
        <f t="shared" si="92"/>
        <v>103.52963511757127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254.71679999999992</v>
      </c>
      <c r="CA85" s="14">
        <f t="shared" si="93"/>
        <v>61.594871205031538</v>
      </c>
      <c r="CB85" s="22">
        <f t="shared" si="64"/>
        <v>550.9094940154298</v>
      </c>
      <c r="CC85" s="60">
        <f t="shared" si="65"/>
        <v>844.24282734876306</v>
      </c>
      <c r="CD85" s="60">
        <f ca="1">AVERAGE(OFFSET($CC$3,0,0,'Données projet'!$E$12+1,1))-AVERAGE(OFFSET($H$3,0,0,'Données projet'!$E$12+1,1))</f>
        <v>428.49602929661046</v>
      </c>
      <c r="CE85" s="60">
        <f t="shared" si="94"/>
        <v>252.32489414103878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3.5897435897435854</v>
      </c>
      <c r="CT85" s="13">
        <f>IF('Données projet'!$A$140&gt;35,CT84+CS85-DB84,IF(A85&lt;'Données projet'!$A$140,$CQ$205^A85,IF(A85='Données projet'!$A$140,'Données projet'!$B$140,CT84+CS85-DB84)))</f>
        <v>218.71794871794879</v>
      </c>
      <c r="CU85" s="18">
        <f>CT85*VLOOKUP('Données projet'!$B$13,Paramètres!$A$1:$I$89,3,0)*VLOOKUP('Données projet'!$B$13,Paramètres!$A$1:$I$89,5,0)</f>
        <v>146.71600000000007</v>
      </c>
      <c r="CV85" s="14">
        <f t="shared" si="95"/>
        <v>37.831326067731702</v>
      </c>
      <c r="CW85" s="22">
        <f t="shared" si="67"/>
        <v>321.41992623463284</v>
      </c>
      <c r="CX85" s="60">
        <f t="shared" si="68"/>
        <v>614.7532595679661</v>
      </c>
      <c r="CY85" s="60">
        <f ca="1">AVERAGE(OFFSET($CX$3,0,0,'Données projet'!$E$13+1,1))-AVERAGE(OFFSET($H$3,0,0,'Données projet'!$E$13+1,1))</f>
        <v>226.5873967387837</v>
      </c>
      <c r="CZ85" s="60">
        <f t="shared" si="96"/>
        <v>188.57459946241204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8.9743589743589727</v>
      </c>
      <c r="DO85" s="13">
        <f>IF('Données projet'!$A$166&gt;35,DO84+DN85-DW84,IF(A85&lt;'Données projet'!$A$166,$DL$205^A85,IF(A85='Données projet'!$A$166,'Données projet'!$B$166,DO84+DN85-DW84)))</f>
        <v>338.20512820512783</v>
      </c>
      <c r="DP85" s="18">
        <f>DO85*VLOOKUP('Données projet'!$B$14,Paramètres!$A$1:$I$89,3,0)*VLOOKUP('Données projet'!$B$14,Paramètres!$A$1:$I$89,5,0)</f>
        <v>158.27999999999983</v>
      </c>
      <c r="DQ85" s="14">
        <f t="shared" si="97"/>
        <v>40.454320907632543</v>
      </c>
      <c r="DR85" s="22">
        <f t="shared" si="70"/>
        <v>346.12894224745969</v>
      </c>
      <c r="DS85" s="60">
        <f t="shared" si="71"/>
        <v>639.46227558079295</v>
      </c>
      <c r="DT85" s="60">
        <f ca="1">AVERAGE(OFFSET($DS$3,0,0,'Données projet'!$E$14+1,1))-AVERAGE(OFFSET($H$3,0,0,'Données projet'!$E$14+1,1))</f>
        <v>212.19771249416107</v>
      </c>
      <c r="DU85" s="60">
        <f t="shared" si="98"/>
        <v>125.93313963856127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22.658999999999981</v>
      </c>
      <c r="D86" s="12">
        <f t="shared" si="86"/>
        <v>7.2617748943698812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230.96738514952176</v>
      </c>
      <c r="H86" s="68">
        <f t="shared" si="56"/>
        <v>308.77868294102751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276.41951999999986</v>
      </c>
      <c r="P86" s="14">
        <f t="shared" si="87"/>
        <v>66.209784705913108</v>
      </c>
      <c r="Q86" s="22">
        <f t="shared" si="54"/>
        <v>596.74603902946512</v>
      </c>
      <c r="R86" s="60">
        <f t="shared" si="55"/>
        <v>890.07937236279849</v>
      </c>
      <c r="S86" s="60">
        <f ca="1">AVERAGE(OFFSET($R$3,0,0,'Données projet'!$E$9+1,1))-AVERAGE(OFFSET($H$3,0,0,'Données projet'!$E$9+1,1))</f>
        <v>455.09463986470064</v>
      </c>
      <c r="T86" s="60">
        <f t="shared" si="88"/>
        <v>266.42568447709669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1.4210854715202004E-13</v>
      </c>
      <c r="AJ86" s="14">
        <f>AI86*VLOOKUP('Données projet'!$B$10,Paramètres!$A$1:$I$89,3,0)*VLOOKUP('Données projet'!$B$10,Paramètres!$A$1:$I$89,5,0)</f>
        <v>1.2192913345643319E-13</v>
      </c>
      <c r="AK86" s="14">
        <f t="shared" si="89"/>
        <v>1.7899324464546674E-12</v>
      </c>
      <c r="AL86" s="22">
        <f t="shared" si="58"/>
        <v>3.3298255850118335E-12</v>
      </c>
      <c r="AM86" s="60">
        <f t="shared" si="59"/>
        <v>293.33333333333667</v>
      </c>
      <c r="AN86" s="60">
        <f ca="1">AVERAGE(OFFSET($AM$3,0,0,'Données projet'!$E$10+1,1))-AVERAGE(OFFSET($H$3,0,0,'Données projet'!$E$10+1,1))</f>
        <v>201.39673092164992</v>
      </c>
      <c r="AO86" s="60">
        <f t="shared" si="90"/>
        <v>278.95637851890405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0.85435052946188728</v>
      </c>
      <c r="BD86" s="13">
        <f>IF('Données projet'!$A$88&gt;35,BD85+BC86-BL85,IF(A86&lt;'Données projet'!$A$88,$BA$205^A86,IF(A86='Données projet'!$A$88,'Données projet'!$B$88,BD85+BC86-BL85)))</f>
        <v>92.671835616695759</v>
      </c>
      <c r="BE86" s="14">
        <f>BD86*VLOOKUP('Données projet'!$B$11,Paramètres!$A$1:$I$89,3,0)*VLOOKUP('Données projet'!$B$11,Paramètres!$A$1:$I$89,5,0)</f>
        <v>92.52356067970905</v>
      </c>
      <c r="BF86" s="14">
        <f t="shared" si="91"/>
        <v>25.172864063234289</v>
      </c>
      <c r="BG86" s="22">
        <f t="shared" si="61"/>
        <v>204.98793976062629</v>
      </c>
      <c r="BH86" s="60">
        <f t="shared" si="62"/>
        <v>498.32127309395958</v>
      </c>
      <c r="BI86" s="60">
        <f ca="1">AVERAGE(OFFSET($BH$3,0,0,'Données projet'!$E$11+1,1))-AVERAGE(OFFSET($H$3,0,0,'Données projet'!$E$11+1,1))</f>
        <v>123.29894837876157</v>
      </c>
      <c r="BJ86" s="60">
        <f t="shared" si="92"/>
        <v>103.52963511757127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260.39519999999987</v>
      </c>
      <c r="CA86" s="14">
        <f t="shared" si="93"/>
        <v>62.806611177714331</v>
      </c>
      <c r="CB86" s="22">
        <f t="shared" si="64"/>
        <v>562.90982113451889</v>
      </c>
      <c r="CC86" s="60">
        <f t="shared" si="65"/>
        <v>856.24315446785226</v>
      </c>
      <c r="CD86" s="60">
        <f ca="1">AVERAGE(OFFSET($CC$3,0,0,'Données projet'!$E$12+1,1))-AVERAGE(OFFSET($H$3,0,0,'Données projet'!$E$12+1,1))</f>
        <v>428.49602929661046</v>
      </c>
      <c r="CE86" s="60">
        <f t="shared" si="94"/>
        <v>252.32489414103878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3.5897435897435854</v>
      </c>
      <c r="CT86" s="13">
        <f>IF('Données projet'!$A$140&gt;35,CT85+CS86-DB85,IF(A86&lt;'Données projet'!$A$140,$CQ$205^A86,IF(A86='Données projet'!$A$140,'Données projet'!$B$140,CT85+CS86-DB85)))</f>
        <v>222.30769230769238</v>
      </c>
      <c r="CU86" s="18">
        <f>CT86*VLOOKUP('Données projet'!$B$13,Paramètres!$A$1:$I$89,3,0)*VLOOKUP('Données projet'!$B$13,Paramètres!$A$1:$I$89,5,0)</f>
        <v>149.12400000000005</v>
      </c>
      <c r="CV86" s="14">
        <f t="shared" si="95"/>
        <v>38.379443667029406</v>
      </c>
      <c r="CW86" s="22">
        <f t="shared" si="67"/>
        <v>326.56849772007627</v>
      </c>
      <c r="CX86" s="60">
        <f t="shared" si="68"/>
        <v>619.90183105340952</v>
      </c>
      <c r="CY86" s="60">
        <f ca="1">AVERAGE(OFFSET($CX$3,0,0,'Données projet'!$E$13+1,1))-AVERAGE(OFFSET($H$3,0,0,'Données projet'!$E$13+1,1))</f>
        <v>226.5873967387837</v>
      </c>
      <c r="CZ86" s="60">
        <f t="shared" si="96"/>
        <v>188.57459946241204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8.9743589743589727</v>
      </c>
      <c r="DO86" s="13">
        <f>IF('Données projet'!$A$166&gt;35,DO85+DN86-DW85,IF(A86&lt;'Données projet'!$A$166,$DL$205^A86,IF(A86='Données projet'!$A$166,'Données projet'!$B$166,DO85+DN86-DW85)))</f>
        <v>347.17948717948678</v>
      </c>
      <c r="DP86" s="18">
        <f>DO86*VLOOKUP('Données projet'!$B$14,Paramètres!$A$1:$I$89,3,0)*VLOOKUP('Données projet'!$B$14,Paramètres!$A$1:$I$89,5,0)</f>
        <v>162.47999999999982</v>
      </c>
      <c r="DQ86" s="14">
        <f t="shared" si="97"/>
        <v>41.401384607667218</v>
      </c>
      <c r="DR86" s="22">
        <f t="shared" si="70"/>
        <v>355.09341152502003</v>
      </c>
      <c r="DS86" s="60">
        <f t="shared" si="71"/>
        <v>648.42674485835335</v>
      </c>
      <c r="DT86" s="60">
        <f ca="1">AVERAGE(OFFSET($DS$3,0,0,'Données projet'!$E$14+1,1))-AVERAGE(OFFSET($H$3,0,0,'Données projet'!$E$14+1,1))</f>
        <v>212.19771249416107</v>
      </c>
      <c r="DU86" s="60">
        <f t="shared" si="98"/>
        <v>125.93313963856127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22.931999999999981</v>
      </c>
      <c r="D87" s="12">
        <f t="shared" si="86"/>
        <v>7.3390282083215013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233.671094941429</v>
      </c>
      <c r="H87" s="68">
        <f t="shared" si="56"/>
        <v>309.38870746282657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282.44735999999989</v>
      </c>
      <c r="P87" s="14">
        <f t="shared" si="87"/>
        <v>67.48394415518699</v>
      </c>
      <c r="Q87" s="22">
        <f t="shared" si="54"/>
        <v>609.46368807028375</v>
      </c>
      <c r="R87" s="60">
        <f t="shared" si="55"/>
        <v>902.79702140361701</v>
      </c>
      <c r="S87" s="60">
        <f ca="1">AVERAGE(OFFSET($R$3,0,0,'Données projet'!$E$9+1,1))-AVERAGE(OFFSET($H$3,0,0,'Données projet'!$E$9+1,1))</f>
        <v>455.09463986470064</v>
      </c>
      <c r="T87" s="60">
        <f t="shared" si="88"/>
        <v>266.42568447709669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1.4210854715202004E-13</v>
      </c>
      <c r="AJ87" s="14">
        <f>AI87*VLOOKUP('Données projet'!$B$10,Paramètres!$A$1:$I$89,3,0)*VLOOKUP('Données projet'!$B$10,Paramètres!$A$1:$I$89,5,0)</f>
        <v>1.2192913345643319E-13</v>
      </c>
      <c r="AK87" s="14">
        <f t="shared" si="89"/>
        <v>1.7899324464546674E-12</v>
      </c>
      <c r="AL87" s="22">
        <f t="shared" si="58"/>
        <v>3.3298255850118335E-12</v>
      </c>
      <c r="AM87" s="60">
        <f t="shared" si="59"/>
        <v>293.33333333333667</v>
      </c>
      <c r="AN87" s="60">
        <f ca="1">AVERAGE(OFFSET($AM$3,0,0,'Données projet'!$E$10+1,1))-AVERAGE(OFFSET($H$3,0,0,'Données projet'!$E$10+1,1))</f>
        <v>201.39673092164992</v>
      </c>
      <c r="AO87" s="60">
        <f t="shared" si="90"/>
        <v>278.95637851890405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0.85435052946188728</v>
      </c>
      <c r="BD87" s="13">
        <f>IF('Données projet'!$A$88&gt;35,BD86+BC87-BL86,IF(A87&lt;'Données projet'!$A$88,$BA$205^A87,IF(A87='Données projet'!$A$88,'Données projet'!$B$88,BD86+BC87-BL86)))</f>
        <v>93.526186146157642</v>
      </c>
      <c r="BE87" s="14">
        <f>BD87*VLOOKUP('Données projet'!$B$11,Paramètres!$A$1:$I$89,3,0)*VLOOKUP('Données projet'!$B$11,Paramètres!$A$1:$I$89,5,0)</f>
        <v>93.376544248323796</v>
      </c>
      <c r="BF87" s="14">
        <f t="shared" si="91"/>
        <v>25.377812390155803</v>
      </c>
      <c r="BG87" s="22">
        <f t="shared" si="61"/>
        <v>206.8305044786853</v>
      </c>
      <c r="BH87" s="60">
        <f t="shared" si="62"/>
        <v>500.16383781201864</v>
      </c>
      <c r="BI87" s="60">
        <f ca="1">AVERAGE(OFFSET($BH$3,0,0,'Données projet'!$E$11+1,1))-AVERAGE(OFFSET($H$3,0,0,'Données projet'!$E$11+1,1))</f>
        <v>123.29894837876157</v>
      </c>
      <c r="BJ87" s="60">
        <f t="shared" si="92"/>
        <v>103.52963511757127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266.07359999999994</v>
      </c>
      <c r="CA87" s="14">
        <f t="shared" si="93"/>
        <v>64.015279012301136</v>
      </c>
      <c r="CB87" s="22">
        <f t="shared" si="64"/>
        <v>574.90479761309098</v>
      </c>
      <c r="CC87" s="60">
        <f t="shared" si="65"/>
        <v>868.23813094642423</v>
      </c>
      <c r="CD87" s="60">
        <f ca="1">AVERAGE(OFFSET($CC$3,0,0,'Données projet'!$E$12+1,1))-AVERAGE(OFFSET($H$3,0,0,'Données projet'!$E$12+1,1))</f>
        <v>428.49602929661046</v>
      </c>
      <c r="CE87" s="60">
        <f t="shared" si="94"/>
        <v>252.32489414103878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3.5897435897435854</v>
      </c>
      <c r="CT87" s="13">
        <f>IF('Données projet'!$A$140&gt;35,CT86+CS87-DB86,IF(A87&lt;'Données projet'!$A$140,$CQ$205^A87,IF(A87='Données projet'!$A$140,'Données projet'!$B$140,CT86+CS87-DB86)))</f>
        <v>225.89743589743597</v>
      </c>
      <c r="CU87" s="18">
        <f>CT87*VLOOKUP('Données projet'!$B$13,Paramètres!$A$1:$I$89,3,0)*VLOOKUP('Données projet'!$B$13,Paramètres!$A$1:$I$89,5,0)</f>
        <v>151.53200000000004</v>
      </c>
      <c r="CV87" s="14">
        <f t="shared" si="95"/>
        <v>38.926531953138308</v>
      </c>
      <c r="CW87" s="22">
        <f t="shared" si="67"/>
        <v>331.71527648504929</v>
      </c>
      <c r="CX87" s="60">
        <f t="shared" si="68"/>
        <v>625.0486098183826</v>
      </c>
      <c r="CY87" s="60">
        <f ca="1">AVERAGE(OFFSET($CX$3,0,0,'Données projet'!$E$13+1,1))-AVERAGE(OFFSET($H$3,0,0,'Données projet'!$E$13+1,1))</f>
        <v>226.5873967387837</v>
      </c>
      <c r="CZ87" s="60">
        <f t="shared" si="96"/>
        <v>188.57459946241204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8.9743589743589727</v>
      </c>
      <c r="DO87" s="13">
        <f>IF('Données projet'!$A$166&gt;35,DO86+DN87-DW86,IF(A87&lt;'Données projet'!$A$166,$DL$205^A87,IF(A87='Données projet'!$A$166,'Données projet'!$B$166,DO86+DN87-DW86)))</f>
        <v>356.15384615384573</v>
      </c>
      <c r="DP87" s="18">
        <f>DO87*VLOOKUP('Données projet'!$B$14,Paramètres!$A$1:$I$89,3,0)*VLOOKUP('Données projet'!$B$14,Paramètres!$A$1:$I$89,5,0)</f>
        <v>166.67999999999981</v>
      </c>
      <c r="DQ87" s="14">
        <f t="shared" si="97"/>
        <v>42.345602670937915</v>
      </c>
      <c r="DR87" s="22">
        <f t="shared" si="70"/>
        <v>364.05292465188319</v>
      </c>
      <c r="DS87" s="60">
        <f t="shared" si="71"/>
        <v>657.3862579852165</v>
      </c>
      <c r="DT87" s="60">
        <f ca="1">AVERAGE(OFFSET($DS$3,0,0,'Données projet'!$E$14+1,1))-AVERAGE(OFFSET($H$3,0,0,'Données projet'!$E$14+1,1))</f>
        <v>212.19771249416107</v>
      </c>
      <c r="DU87" s="60">
        <f t="shared" si="98"/>
        <v>125.93313963856127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23.204999999999981</v>
      </c>
      <c r="D88" s="12">
        <f t="shared" si="86"/>
        <v>7.4161745427169539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236.37397892623599</v>
      </c>
      <c r="H88" s="68">
        <f t="shared" si="56"/>
        <v>309.99854566189867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288.47519999999997</v>
      </c>
      <c r="P88" s="14">
        <f t="shared" si="87"/>
        <v>68.754942080410842</v>
      </c>
      <c r="Q88" s="22">
        <f t="shared" si="54"/>
        <v>622.17583079004874</v>
      </c>
      <c r="R88" s="60">
        <f t="shared" si="55"/>
        <v>915.50916412338211</v>
      </c>
      <c r="S88" s="60">
        <f ca="1">AVERAGE(OFFSET($R$3,0,0,'Données projet'!$E$9+1,1))-AVERAGE(OFFSET($H$3,0,0,'Données projet'!$E$9+1,1))</f>
        <v>455.09463986470064</v>
      </c>
      <c r="T88" s="60">
        <f t="shared" si="88"/>
        <v>266.42568447709669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1.4210854715202004E-13</v>
      </c>
      <c r="AJ88" s="14">
        <f>AI88*VLOOKUP('Données projet'!$B$10,Paramètres!$A$1:$I$89,3,0)*VLOOKUP('Données projet'!$B$10,Paramètres!$A$1:$I$89,5,0)</f>
        <v>1.2192913345643319E-13</v>
      </c>
      <c r="AK88" s="14">
        <f t="shared" si="89"/>
        <v>1.7899324464546674E-12</v>
      </c>
      <c r="AL88" s="22">
        <f t="shared" si="58"/>
        <v>3.3298255850118335E-12</v>
      </c>
      <c r="AM88" s="60">
        <f t="shared" si="59"/>
        <v>293.33333333333667</v>
      </c>
      <c r="AN88" s="60">
        <f ca="1">AVERAGE(OFFSET($AM$3,0,0,'Données projet'!$E$10+1,1))-AVERAGE(OFFSET($H$3,0,0,'Données projet'!$E$10+1,1))</f>
        <v>201.39673092164992</v>
      </c>
      <c r="AO88" s="60">
        <f t="shared" si="90"/>
        <v>278.95637851890405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0.85435052946188728</v>
      </c>
      <c r="BD88" s="13">
        <f>IF('Données projet'!$A$88&gt;35,BD87+BC88-BL87,IF(A88&lt;'Données projet'!$A$88,$BA$205^A88,IF(A88='Données projet'!$A$88,'Données projet'!$B$88,BD87+BC88-BL87)))</f>
        <v>94.380536675619524</v>
      </c>
      <c r="BE88" s="14">
        <f>BD88*VLOOKUP('Données projet'!$B$11,Paramètres!$A$1:$I$89,3,0)*VLOOKUP('Données projet'!$B$11,Paramètres!$A$1:$I$89,5,0)</f>
        <v>94.229527816938543</v>
      </c>
      <c r="BF88" s="14">
        <f t="shared" si="91"/>
        <v>25.582542908117048</v>
      </c>
      <c r="BG88" s="22">
        <f t="shared" si="61"/>
        <v>208.67268984613847</v>
      </c>
      <c r="BH88" s="60">
        <f t="shared" si="62"/>
        <v>502.00602317947175</v>
      </c>
      <c r="BI88" s="60">
        <f ca="1">AVERAGE(OFFSET($BH$3,0,0,'Données projet'!$E$11+1,1))-AVERAGE(OFFSET($H$3,0,0,'Données projet'!$E$11+1,1))</f>
        <v>123.29894837876157</v>
      </c>
      <c r="BJ88" s="60">
        <f t="shared" si="92"/>
        <v>103.52963511757127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271.75199999999995</v>
      </c>
      <c r="CA88" s="14">
        <f t="shared" si="93"/>
        <v>65.220947824724931</v>
      </c>
      <c r="CB88" s="22">
        <f t="shared" si="64"/>
        <v>586.89455079472907</v>
      </c>
      <c r="CC88" s="60">
        <f t="shared" si="65"/>
        <v>880.22788412806244</v>
      </c>
      <c r="CD88" s="60">
        <f ca="1">AVERAGE(OFFSET($CC$3,0,0,'Données projet'!$E$12+1,1))-AVERAGE(OFFSET($H$3,0,0,'Données projet'!$E$12+1,1))</f>
        <v>428.49602929661046</v>
      </c>
      <c r="CE88" s="60">
        <f t="shared" si="94"/>
        <v>252.32489414103878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229.48717948717947</v>
      </c>
      <c r="CR88" s="13">
        <f>VLOOKUP(A88,'Données projet'!$A$139:$I$159,9,0)</f>
        <v>3.5897435897435854</v>
      </c>
      <c r="CS88" s="13">
        <f t="array" ref="CS88">INDEX(CR:CR,MIN(IF(ISNUMBER(CR88:CR284),ROW(CR88:CR284),"")))</f>
        <v>3.5897435897435854</v>
      </c>
      <c r="CT88" s="13">
        <f>IF('Données projet'!$A$140&gt;35,CT87+CS88-DB87,IF(A88&lt;'Données projet'!$A$140,$CQ$205^A88,IF(A88='Données projet'!$A$140,'Données projet'!$B$140,CT87+CS88-DB87)))</f>
        <v>229.48717948717956</v>
      </c>
      <c r="CU88" s="18">
        <f>CT88*VLOOKUP('Données projet'!$B$13,Paramètres!$A$1:$I$89,3,0)*VLOOKUP('Données projet'!$B$13,Paramètres!$A$1:$I$89,5,0)</f>
        <v>153.94000000000005</v>
      </c>
      <c r="CV88" s="14">
        <f t="shared" si="95"/>
        <v>39.472609171514129</v>
      </c>
      <c r="CW88" s="22">
        <f t="shared" si="67"/>
        <v>336.86029430705389</v>
      </c>
      <c r="CX88" s="60">
        <f t="shared" si="68"/>
        <v>630.19362764038715</v>
      </c>
      <c r="CY88" s="60">
        <f ca="1">AVERAGE(OFFSET($CX$3,0,0,'Données projet'!$E$13+1,1))-AVERAGE(OFFSET($H$3,0,0,'Données projet'!$E$13+1,1))</f>
        <v>226.5873967387837</v>
      </c>
      <c r="CZ88" s="60">
        <f t="shared" si="96"/>
        <v>188.57459946241204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8.9743589743589727</v>
      </c>
      <c r="DO88" s="13">
        <f>IF('Données projet'!$A$166&gt;35,DO87+DN88-DW87,IF(A88&lt;'Données projet'!$A$166,$DL$205^A88,IF(A88='Données projet'!$A$166,'Données projet'!$B$166,DO87+DN88-DW87)))</f>
        <v>365.12820512820468</v>
      </c>
      <c r="DP88" s="18">
        <f>DO88*VLOOKUP('Données projet'!$B$14,Paramètres!$A$1:$I$89,3,0)*VLOOKUP('Données projet'!$B$14,Paramètres!$A$1:$I$89,5,0)</f>
        <v>170.8799999999998</v>
      </c>
      <c r="DQ88" s="14">
        <f t="shared" si="97"/>
        <v>43.287055047972629</v>
      </c>
      <c r="DR88" s="22">
        <f t="shared" si="70"/>
        <v>373.00762087521866</v>
      </c>
      <c r="DS88" s="60">
        <f t="shared" si="71"/>
        <v>666.34095420855192</v>
      </c>
      <c r="DT88" s="60">
        <f ca="1">AVERAGE(OFFSET($DS$3,0,0,'Données projet'!$E$14+1,1))-AVERAGE(OFFSET($H$3,0,0,'Données projet'!$E$14+1,1))</f>
        <v>212.19771249416107</v>
      </c>
      <c r="DU88" s="60">
        <f t="shared" si="98"/>
        <v>125.93313963856127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</v>
      </c>
      <c r="D89" s="12">
        <f t="shared" si="86"/>
        <v>7.4932153017418131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239.07604794326997</v>
      </c>
      <c r="H89" s="68">
        <f t="shared" si="56"/>
        <v>310.60819998386694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294.50303999999994</v>
      </c>
      <c r="P89" s="14">
        <f t="shared" si="87"/>
        <v>70.022852154069838</v>
      </c>
      <c r="Q89" s="22">
        <f t="shared" si="54"/>
        <v>634.88259550167152</v>
      </c>
      <c r="R89" s="60">
        <f t="shared" si="55"/>
        <v>928.21592883500489</v>
      </c>
      <c r="S89" s="60">
        <f ca="1">AVERAGE(OFFSET($R$3,0,0,'Données projet'!$E$9+1,1))-AVERAGE(OFFSET($H$3,0,0,'Données projet'!$E$9+1,1))</f>
        <v>455.09463986470064</v>
      </c>
      <c r="T89" s="60">
        <f t="shared" si="88"/>
        <v>266.42568447709669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1.4210854715202004E-13</v>
      </c>
      <c r="AJ89" s="14">
        <f>AI89*VLOOKUP('Données projet'!$B$10,Paramètres!$A$1:$I$89,3,0)*VLOOKUP('Données projet'!$B$10,Paramètres!$A$1:$I$89,5,0)</f>
        <v>1.2192913345643319E-13</v>
      </c>
      <c r="AK89" s="14">
        <f t="shared" si="89"/>
        <v>1.7899324464546674E-12</v>
      </c>
      <c r="AL89" s="22">
        <f t="shared" si="58"/>
        <v>3.3298255850118335E-12</v>
      </c>
      <c r="AM89" s="60">
        <f t="shared" si="59"/>
        <v>293.33333333333667</v>
      </c>
      <c r="AN89" s="60">
        <f ca="1">AVERAGE(OFFSET($AM$3,0,0,'Données projet'!$E$10+1,1))-AVERAGE(OFFSET($H$3,0,0,'Données projet'!$E$10+1,1))</f>
        <v>201.39673092164992</v>
      </c>
      <c r="AO89" s="60">
        <f t="shared" si="90"/>
        <v>278.95637851890405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0.85435052946188728</v>
      </c>
      <c r="BD89" s="13">
        <f>IF('Données projet'!$A$88&gt;35,BD88+BC89-BL88,IF(A89&lt;'Données projet'!$A$88,$BA$205^A89,IF(A89='Données projet'!$A$88,'Données projet'!$B$88,BD88+BC89-BL88)))</f>
        <v>95.234887205081407</v>
      </c>
      <c r="BE89" s="14">
        <f>BD89*VLOOKUP('Données projet'!$B$11,Paramètres!$A$1:$I$89,3,0)*VLOOKUP('Données projet'!$B$11,Paramètres!$A$1:$I$89,5,0)</f>
        <v>95.082511385553275</v>
      </c>
      <c r="BF89" s="14">
        <f t="shared" si="91"/>
        <v>25.78705781716706</v>
      </c>
      <c r="BG89" s="22">
        <f t="shared" si="61"/>
        <v>210.51449969473791</v>
      </c>
      <c r="BH89" s="60">
        <f t="shared" si="62"/>
        <v>503.84783302807125</v>
      </c>
      <c r="BI89" s="60">
        <f ca="1">AVERAGE(OFFSET($BH$3,0,0,'Données projet'!$E$11+1,1))-AVERAGE(OFFSET($H$3,0,0,'Données projet'!$E$11+1,1))</f>
        <v>123.29894837876157</v>
      </c>
      <c r="BJ89" s="60">
        <f t="shared" si="92"/>
        <v>103.52963511757127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277.43039999999996</v>
      </c>
      <c r="CA89" s="14">
        <f t="shared" si="93"/>
        <v>66.423687500715673</v>
      </c>
      <c r="CB89" s="22">
        <f t="shared" si="64"/>
        <v>598.87920239707967</v>
      </c>
      <c r="CC89" s="60">
        <f t="shared" si="65"/>
        <v>892.21253573041304</v>
      </c>
      <c r="CD89" s="60">
        <f ca="1">AVERAGE(OFFSET($CC$3,0,0,'Données projet'!$E$12+1,1))-AVERAGE(OFFSET($H$3,0,0,'Données projet'!$E$12+1,1))</f>
        <v>428.49602929661046</v>
      </c>
      <c r="CE89" s="60">
        <f t="shared" si="94"/>
        <v>252.32489414103878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3.3333333333333313</v>
      </c>
      <c r="CT89" s="13">
        <f>IF('Données projet'!$A$140&gt;35,CT88+CS89-DB88,IF(A89&lt;'Données projet'!$A$140,$CQ$205^A89,IF(A89='Données projet'!$A$140,'Données projet'!$B$140,CT88+CS89-DB88)))</f>
        <v>232.8205128205129</v>
      </c>
      <c r="CU89" s="18">
        <f>CT89*VLOOKUP('Données projet'!$B$13,Paramètres!$A$1:$I$89,3,0)*VLOOKUP('Données projet'!$B$13,Paramètres!$A$1:$I$89,5,0)</f>
        <v>156.17600000000007</v>
      </c>
      <c r="CV89" s="14">
        <f t="shared" si="95"/>
        <v>39.978790985643677</v>
      </c>
      <c r="CW89" s="22">
        <f t="shared" si="67"/>
        <v>341.63626096666286</v>
      </c>
      <c r="CX89" s="60">
        <f t="shared" si="68"/>
        <v>634.96959429999617</v>
      </c>
      <c r="CY89" s="60">
        <f ca="1">AVERAGE(OFFSET($CX$3,0,0,'Données projet'!$E$13+1,1))-AVERAGE(OFFSET($H$3,0,0,'Données projet'!$E$13+1,1))</f>
        <v>226.5873967387837</v>
      </c>
      <c r="CZ89" s="60">
        <f t="shared" si="96"/>
        <v>188.57459946241204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8.9743589743589727</v>
      </c>
      <c r="DO89" s="13">
        <f>IF('Données projet'!$A$166&gt;35,DO88+DN89-DW88,IF(A89&lt;'Données projet'!$A$166,$DL$205^A89,IF(A89='Données projet'!$A$166,'Données projet'!$B$166,DO88+DN89-DW88)))</f>
        <v>374.10256410256363</v>
      </c>
      <c r="DP89" s="18">
        <f>DO89*VLOOKUP('Données projet'!$B$14,Paramètres!$A$1:$I$89,3,0)*VLOOKUP('Données projet'!$B$14,Paramètres!$A$1:$I$89,5,0)</f>
        <v>175.07999999999976</v>
      </c>
      <c r="DQ89" s="14">
        <f t="shared" si="97"/>
        <v>44.225817535095111</v>
      </c>
      <c r="DR89" s="22">
        <f t="shared" si="70"/>
        <v>381.95763220695682</v>
      </c>
      <c r="DS89" s="60">
        <f t="shared" si="71"/>
        <v>675.29096554029013</v>
      </c>
      <c r="DT89" s="60">
        <f ca="1">AVERAGE(OFFSET($DS$3,0,0,'Données projet'!$E$14+1,1))-AVERAGE(OFFSET($H$3,0,0,'Données projet'!$E$14+1,1))</f>
        <v>212.19771249416107</v>
      </c>
      <c r="DU89" s="60">
        <f t="shared" si="98"/>
        <v>125.93313963856127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23.75099999999998</v>
      </c>
      <c r="D90" s="12">
        <f t="shared" si="86"/>
        <v>7.5701518550466886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241.77731256527258</v>
      </c>
      <c r="H90" s="68">
        <f t="shared" si="56"/>
        <v>311.21767281420631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300.53087999999997</v>
      </c>
      <c r="P90" s="14">
        <f t="shared" si="87"/>
        <v>71.287744860425462</v>
      </c>
      <c r="Q90" s="22">
        <f t="shared" si="54"/>
        <v>647.58410496524095</v>
      </c>
      <c r="R90" s="60">
        <f t="shared" si="55"/>
        <v>940.91743829857433</v>
      </c>
      <c r="S90" s="60">
        <f ca="1">AVERAGE(OFFSET($R$3,0,0,'Données projet'!$E$9+1,1))-AVERAGE(OFFSET($H$3,0,0,'Données projet'!$E$9+1,1))</f>
        <v>455.09463986470064</v>
      </c>
      <c r="T90" s="60">
        <f t="shared" si="88"/>
        <v>266.42568447709669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1.4210854715202004E-13</v>
      </c>
      <c r="AJ90" s="14">
        <f>AI90*VLOOKUP('Données projet'!$B$10,Paramètres!$A$1:$I$89,3,0)*VLOOKUP('Données projet'!$B$10,Paramètres!$A$1:$I$89,5,0)</f>
        <v>1.2192913345643319E-13</v>
      </c>
      <c r="AK90" s="14">
        <f t="shared" si="89"/>
        <v>1.7899324464546674E-12</v>
      </c>
      <c r="AL90" s="22">
        <f t="shared" si="58"/>
        <v>3.3298255850118335E-12</v>
      </c>
      <c r="AM90" s="60">
        <f t="shared" si="59"/>
        <v>293.33333333333667</v>
      </c>
      <c r="AN90" s="60">
        <f ca="1">AVERAGE(OFFSET($AM$3,0,0,'Données projet'!$E$10+1,1))-AVERAGE(OFFSET($H$3,0,0,'Données projet'!$E$10+1,1))</f>
        <v>201.39673092164992</v>
      </c>
      <c r="AO90" s="60">
        <f t="shared" si="90"/>
        <v>278.95637851890405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0.85435052946188728</v>
      </c>
      <c r="BD90" s="13">
        <f>IF('Données projet'!$A$88&gt;35,BD89+BC90-BL89,IF(A90&lt;'Données projet'!$A$88,$BA$205^A90,IF(A90='Données projet'!$A$88,'Données projet'!$B$88,BD89+BC90-BL89)))</f>
        <v>96.089237734543289</v>
      </c>
      <c r="BE90" s="14">
        <f>BD90*VLOOKUP('Données projet'!$B$11,Paramètres!$A$1:$I$89,3,0)*VLOOKUP('Données projet'!$B$11,Paramètres!$A$1:$I$89,5,0)</f>
        <v>95.935494954168021</v>
      </c>
      <c r="BF90" s="14">
        <f t="shared" si="91"/>
        <v>25.991359275604342</v>
      </c>
      <c r="BG90" s="22">
        <f t="shared" si="61"/>
        <v>212.35593778352018</v>
      </c>
      <c r="BH90" s="60">
        <f t="shared" si="62"/>
        <v>505.68927111685349</v>
      </c>
      <c r="BI90" s="60">
        <f ca="1">AVERAGE(OFFSET($BH$3,0,0,'Données projet'!$E$11+1,1))-AVERAGE(OFFSET($H$3,0,0,'Données projet'!$E$11+1,1))</f>
        <v>123.29894837876157</v>
      </c>
      <c r="BJ90" s="60">
        <f t="shared" si="92"/>
        <v>103.52963511757127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283.10879999999997</v>
      </c>
      <c r="CA90" s="14">
        <f t="shared" si="93"/>
        <v>67.623564901653808</v>
      </c>
      <c r="CB90" s="22">
        <f t="shared" si="64"/>
        <v>610.85886887038032</v>
      </c>
      <c r="CC90" s="60">
        <f t="shared" si="65"/>
        <v>904.19220220371358</v>
      </c>
      <c r="CD90" s="60">
        <f ca="1">AVERAGE(OFFSET($CC$3,0,0,'Données projet'!$E$12+1,1))-AVERAGE(OFFSET($H$3,0,0,'Données projet'!$E$12+1,1))</f>
        <v>428.49602929661046</v>
      </c>
      <c r="CE90" s="60">
        <f t="shared" si="94"/>
        <v>252.32489414103878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3.3333333333333313</v>
      </c>
      <c r="CT90" s="13">
        <f>IF('Données projet'!$A$140&gt;35,CT89+CS90-DB89,IF(A90&lt;'Données projet'!$A$140,$CQ$205^A90,IF(A90='Données projet'!$A$140,'Données projet'!$B$140,CT89+CS90-DB89)))</f>
        <v>236.15384615384625</v>
      </c>
      <c r="CU90" s="18">
        <f>CT90*VLOOKUP('Données projet'!$B$13,Paramètres!$A$1:$I$89,3,0)*VLOOKUP('Données projet'!$B$13,Paramètres!$A$1:$I$89,5,0)</f>
        <v>158.41200000000006</v>
      </c>
      <c r="CV90" s="14">
        <f t="shared" si="95"/>
        <v>40.484129909813426</v>
      </c>
      <c r="CW90" s="22">
        <f t="shared" si="67"/>
        <v>346.4107595929251</v>
      </c>
      <c r="CX90" s="60">
        <f t="shared" si="68"/>
        <v>639.74409292625842</v>
      </c>
      <c r="CY90" s="60">
        <f ca="1">AVERAGE(OFFSET($CX$3,0,0,'Données projet'!$E$13+1,1))-AVERAGE(OFFSET($H$3,0,0,'Données projet'!$E$13+1,1))</f>
        <v>226.5873967387837</v>
      </c>
      <c r="CZ90" s="60">
        <f t="shared" si="96"/>
        <v>188.57459946241204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>
        <f>VLOOKUP(A90,'Données projet'!$A$165:$I$185,2,0)</f>
        <v>383.07692307692304</v>
      </c>
      <c r="DM90" s="13">
        <f>VLOOKUP(A90,'Données projet'!$A$165:$I$185,9,0)</f>
        <v>8.9743589743589727</v>
      </c>
      <c r="DN90" s="13">
        <f t="array" ref="DN90">INDEX(DM:DM,MIN(IF(ISNUMBER(DM90:DM286),ROW(DM90:DM286),"")))</f>
        <v>8.9743589743589727</v>
      </c>
      <c r="DO90" s="13">
        <f>IF('Données projet'!$A$166&gt;35,DO89+DN90-DW89,IF(A90&lt;'Données projet'!$A$166,$DL$205^A90,IF(A90='Données projet'!$A$166,'Données projet'!$B$166,DO89+DN90-DW89)))</f>
        <v>383.07692307692258</v>
      </c>
      <c r="DP90" s="18">
        <f>DO90*VLOOKUP('Données projet'!$B$14,Paramètres!$A$1:$I$89,3,0)*VLOOKUP('Données projet'!$B$14,Paramètres!$A$1:$I$89,5,0)</f>
        <v>179.27999999999975</v>
      </c>
      <c r="DQ90" s="14">
        <f t="shared" si="97"/>
        <v>45.161962084677604</v>
      </c>
      <c r="DR90" s="22">
        <f t="shared" si="70"/>
        <v>390.90308396414639</v>
      </c>
      <c r="DS90" s="60">
        <f t="shared" si="71"/>
        <v>684.23641729747965</v>
      </c>
      <c r="DT90" s="60">
        <f ca="1">AVERAGE(OFFSET($DS$3,0,0,'Données projet'!$E$14+1,1))-AVERAGE(OFFSET($H$3,0,0,'Données projet'!$E$14+1,1))</f>
        <v>212.19771249416107</v>
      </c>
      <c r="DU90" s="60">
        <f t="shared" si="98"/>
        <v>125.93313963856127</v>
      </c>
      <c r="DV90" s="16">
        <f>IF(ISNA(VLOOKUP(A90,'Données projet'!$A$165:$I$185,3,0)),0,VLOOKUP(A90,'Données projet'!$A$165:$I$185,3,0))</f>
        <v>4</v>
      </c>
      <c r="DW90" s="16">
        <f>IF(ISNA(VLOOKUP(A90,'Données projet'!$A$165:$I$185,4,0)),0,VLOOKUP(A90,'Données projet'!$A$165:$I$185,4,0))</f>
        <v>83.076923076923038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</v>
      </c>
      <c r="D91" s="12">
        <f t="shared" si="86"/>
        <v>7.6469855389835546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244.47778310794308</v>
      </c>
      <c r="H91" s="68">
        <f t="shared" si="56"/>
        <v>311.82696648039632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306.55871999999999</v>
      </c>
      <c r="P91" s="14">
        <f t="shared" si="87"/>
        <v>72.549687694621639</v>
      </c>
      <c r="Q91" s="22">
        <f t="shared" si="54"/>
        <v>660.28047673479932</v>
      </c>
      <c r="R91" s="60">
        <f t="shared" si="55"/>
        <v>953.61381006813258</v>
      </c>
      <c r="S91" s="60">
        <f ca="1">AVERAGE(OFFSET($R$3,0,0,'Données projet'!$E$9+1,1))-AVERAGE(OFFSET($H$3,0,0,'Données projet'!$E$9+1,1))</f>
        <v>455.09463986470064</v>
      </c>
      <c r="T91" s="60">
        <f t="shared" si="88"/>
        <v>266.42568447709669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1.4210854715202004E-13</v>
      </c>
      <c r="AJ91" s="14">
        <f>AI91*VLOOKUP('Données projet'!$B$10,Paramètres!$A$1:$I$89,3,0)*VLOOKUP('Données projet'!$B$10,Paramètres!$A$1:$I$89,5,0)</f>
        <v>1.2192913345643319E-13</v>
      </c>
      <c r="AK91" s="14">
        <f t="shared" si="89"/>
        <v>1.7899324464546674E-12</v>
      </c>
      <c r="AL91" s="22">
        <f t="shared" si="58"/>
        <v>3.3298255850118335E-12</v>
      </c>
      <c r="AM91" s="60">
        <f t="shared" si="59"/>
        <v>293.33333333333667</v>
      </c>
      <c r="AN91" s="60">
        <f ca="1">AVERAGE(OFFSET($AM$3,0,0,'Données projet'!$E$10+1,1))-AVERAGE(OFFSET($H$3,0,0,'Données projet'!$E$10+1,1))</f>
        <v>201.39673092164992</v>
      </c>
      <c r="AO91" s="60">
        <f t="shared" si="90"/>
        <v>278.95637851890405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0.85435052946188728</v>
      </c>
      <c r="BD91" s="13">
        <f>IF('Données projet'!$A$88&gt;35,BD90+BC91-BL90,IF(A91&lt;'Données projet'!$A$88,$BA$205^A91,IF(A91='Données projet'!$A$88,'Données projet'!$B$88,BD90+BC91-BL90)))</f>
        <v>96.943588264005172</v>
      </c>
      <c r="BE91" s="14">
        <f>BD91*VLOOKUP('Données projet'!$B$11,Paramètres!$A$1:$I$89,3,0)*VLOOKUP('Données projet'!$B$11,Paramètres!$A$1:$I$89,5,0)</f>
        <v>96.788478522782768</v>
      </c>
      <c r="BF91" s="14">
        <f t="shared" si="91"/>
        <v>26.195449401133406</v>
      </c>
      <c r="BG91" s="22">
        <f t="shared" si="61"/>
        <v>214.19700780082064</v>
      </c>
      <c r="BH91" s="60">
        <f t="shared" si="62"/>
        <v>507.53034113415396</v>
      </c>
      <c r="BI91" s="60">
        <f ca="1">AVERAGE(OFFSET($BH$3,0,0,'Données projet'!$E$11+1,1))-AVERAGE(OFFSET($H$3,0,0,'Données projet'!$E$11+1,1))</f>
        <v>123.29894837876157</v>
      </c>
      <c r="BJ91" s="60">
        <f t="shared" si="92"/>
        <v>103.52963511757127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288.78720000000004</v>
      </c>
      <c r="CA91" s="14">
        <f t="shared" si="93"/>
        <v>68.820644053442436</v>
      </c>
      <c r="CB91" s="22">
        <f t="shared" si="64"/>
        <v>622.83366172641229</v>
      </c>
      <c r="CC91" s="60">
        <f t="shared" si="65"/>
        <v>916.16699505974566</v>
      </c>
      <c r="CD91" s="60">
        <f ca="1">AVERAGE(OFFSET($CC$3,0,0,'Données projet'!$E$12+1,1))-AVERAGE(OFFSET($H$3,0,0,'Données projet'!$E$12+1,1))</f>
        <v>428.49602929661046</v>
      </c>
      <c r="CE91" s="60">
        <f t="shared" si="94"/>
        <v>252.32489414103878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3.3333333333333313</v>
      </c>
      <c r="CT91" s="13">
        <f>IF('Données projet'!$A$140&gt;35,CT90+CS91-DB90,IF(A91&lt;'Données projet'!$A$140,$CQ$205^A91,IF(A91='Données projet'!$A$140,'Données projet'!$B$140,CT90+CS91-DB90)))</f>
        <v>239.48717948717959</v>
      </c>
      <c r="CU91" s="18">
        <f>CT91*VLOOKUP('Données projet'!$B$13,Paramètres!$A$1:$I$89,3,0)*VLOOKUP('Données projet'!$B$13,Paramètres!$A$1:$I$89,5,0)</f>
        <v>160.64800000000008</v>
      </c>
      <c r="CV91" s="14">
        <f t="shared" si="95"/>
        <v>40.988639216339969</v>
      </c>
      <c r="CW91" s="22">
        <f t="shared" si="67"/>
        <v>351.18381330179227</v>
      </c>
      <c r="CX91" s="60">
        <f t="shared" si="68"/>
        <v>644.51714663512553</v>
      </c>
      <c r="CY91" s="60">
        <f ca="1">AVERAGE(OFFSET($CX$3,0,0,'Données projet'!$E$13+1,1))-AVERAGE(OFFSET($H$3,0,0,'Données projet'!$E$13+1,1))</f>
        <v>226.5873967387837</v>
      </c>
      <c r="CZ91" s="60">
        <f t="shared" si="96"/>
        <v>188.57459946241204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8.1410256410256405</v>
      </c>
      <c r="DO91" s="13">
        <f>IF('Données projet'!$A$166&gt;35,DO90+DN91-DW90,IF(A91&lt;'Données projet'!$A$166,$DL$205^A91,IF(A91='Données projet'!$A$166,'Données projet'!$B$166,DO90+DN91-DW90)))</f>
        <v>308.14102564102518</v>
      </c>
      <c r="DP91" s="18">
        <f>DO91*VLOOKUP('Données projet'!$B$14,Paramètres!$A$1:$I$89,3,0)*VLOOKUP('Données projet'!$B$14,Paramètres!$A$1:$I$89,5,0)</f>
        <v>144.20999999999978</v>
      </c>
      <c r="DQ91" s="14">
        <f t="shared" si="97"/>
        <v>37.259788027931044</v>
      </c>
      <c r="DR91" s="22">
        <f t="shared" si="70"/>
        <v>316.05988081531285</v>
      </c>
      <c r="DS91" s="60">
        <f t="shared" si="71"/>
        <v>609.39321414864617</v>
      </c>
      <c r="DT91" s="60">
        <f ca="1">AVERAGE(OFFSET($DS$3,0,0,'Données projet'!$E$14+1,1))-AVERAGE(OFFSET($H$3,0,0,'Données projet'!$E$14+1,1))</f>
        <v>212.19771249416107</v>
      </c>
      <c r="DU91" s="60">
        <f t="shared" si="98"/>
        <v>125.93313963856127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24.296999999999979</v>
      </c>
      <c r="D92" s="12">
        <f t="shared" si="86"/>
        <v>7.7237176577843316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247.17746963903679</v>
      </c>
      <c r="H92" s="68">
        <f t="shared" si="56"/>
        <v>312.43608325397435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312.58656000000002</v>
      </c>
      <c r="P92" s="14">
        <f t="shared" si="87"/>
        <v>73.808745345687967</v>
      </c>
      <c r="Q92" s="22">
        <f t="shared" si="54"/>
        <v>672.97182347707314</v>
      </c>
      <c r="R92" s="60">
        <f t="shared" si="55"/>
        <v>966.30515681040652</v>
      </c>
      <c r="S92" s="60">
        <f ca="1">AVERAGE(OFFSET($R$3,0,0,'Données projet'!$E$9+1,1))-AVERAGE(OFFSET($H$3,0,0,'Données projet'!$E$9+1,1))</f>
        <v>455.09463986470064</v>
      </c>
      <c r="T92" s="60">
        <f t="shared" si="88"/>
        <v>266.42568447709669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1.4210854715202004E-13</v>
      </c>
      <c r="AJ92" s="14">
        <f>AI92*VLOOKUP('Données projet'!$B$10,Paramètres!$A$1:$I$89,3,0)*VLOOKUP('Données projet'!$B$10,Paramètres!$A$1:$I$89,5,0)</f>
        <v>1.2192913345643319E-13</v>
      </c>
      <c r="AK92" s="14">
        <f t="shared" si="89"/>
        <v>1.7899324464546674E-12</v>
      </c>
      <c r="AL92" s="22">
        <f t="shared" si="58"/>
        <v>3.3298255850118335E-12</v>
      </c>
      <c r="AM92" s="60">
        <f t="shared" si="59"/>
        <v>293.33333333333667</v>
      </c>
      <c r="AN92" s="60">
        <f ca="1">AVERAGE(OFFSET($AM$3,0,0,'Données projet'!$E$10+1,1))-AVERAGE(OFFSET($H$3,0,0,'Données projet'!$E$10+1,1))</f>
        <v>201.39673092164992</v>
      </c>
      <c r="AO92" s="60">
        <f t="shared" si="90"/>
        <v>278.95637851890405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0.85435052946188728</v>
      </c>
      <c r="BD92" s="13">
        <f>IF('Données projet'!$A$88&gt;35,BD91+BC92-BL91,IF(A92&lt;'Données projet'!$A$88,$BA$205^A92,IF(A92='Données projet'!$A$88,'Données projet'!$B$88,BD91+BC92-BL91)))</f>
        <v>97.797938793467054</v>
      </c>
      <c r="BE92" s="14">
        <f>BD92*VLOOKUP('Données projet'!$B$11,Paramètres!$A$1:$I$89,3,0)*VLOOKUP('Données projet'!$B$11,Paramètres!$A$1:$I$89,5,0)</f>
        <v>97.641462091397514</v>
      </c>
      <c r="BF92" s="14">
        <f t="shared" si="91"/>
        <v>26.399330271978979</v>
      </c>
      <c r="BG92" s="22">
        <f t="shared" si="61"/>
        <v>216.03771336621404</v>
      </c>
      <c r="BH92" s="60">
        <f t="shared" si="62"/>
        <v>509.37104669954738</v>
      </c>
      <c r="BI92" s="60">
        <f ca="1">AVERAGE(OFFSET($BH$3,0,0,'Données projet'!$E$11+1,1))-AVERAGE(OFFSET($H$3,0,0,'Données projet'!$E$11+1,1))</f>
        <v>123.29894837876157</v>
      </c>
      <c r="BJ92" s="60">
        <f t="shared" si="92"/>
        <v>103.52963511757127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294.46560000000005</v>
      </c>
      <c r="CA92" s="14">
        <f t="shared" si="93"/>
        <v>70.014986320104285</v>
      </c>
      <c r="CB92" s="22">
        <f t="shared" si="64"/>
        <v>634.8036878408484</v>
      </c>
      <c r="CC92" s="60">
        <f t="shared" si="65"/>
        <v>928.13702117418165</v>
      </c>
      <c r="CD92" s="60">
        <f ca="1">AVERAGE(OFFSET($CC$3,0,0,'Données projet'!$E$12+1,1))-AVERAGE(OFFSET($H$3,0,0,'Données projet'!$E$12+1,1))</f>
        <v>428.49602929661046</v>
      </c>
      <c r="CE92" s="60">
        <f t="shared" si="94"/>
        <v>252.32489414103878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3.3333333333333313</v>
      </c>
      <c r="CT92" s="13">
        <f>IF('Données projet'!$A$140&gt;35,CT91+CS92-DB91,IF(A92&lt;'Données projet'!$A$140,$CQ$205^A92,IF(A92='Données projet'!$A$140,'Données projet'!$B$140,CT91+CS92-DB91)))</f>
        <v>242.82051282051293</v>
      </c>
      <c r="CU92" s="18">
        <f>CT92*VLOOKUP('Données projet'!$B$13,Paramètres!$A$1:$I$89,3,0)*VLOOKUP('Données projet'!$B$13,Paramètres!$A$1:$I$89,5,0)</f>
        <v>162.88400000000007</v>
      </c>
      <c r="CV92" s="14">
        <f t="shared" si="95"/>
        <v>41.492331786851203</v>
      </c>
      <c r="CW92" s="22">
        <f t="shared" si="67"/>
        <v>355.95544452876601</v>
      </c>
      <c r="CX92" s="60">
        <f t="shared" si="68"/>
        <v>649.28877786209932</v>
      </c>
      <c r="CY92" s="60">
        <f ca="1">AVERAGE(OFFSET($CX$3,0,0,'Données projet'!$E$13+1,1))-AVERAGE(OFFSET($H$3,0,0,'Données projet'!$E$13+1,1))</f>
        <v>226.5873967387837</v>
      </c>
      <c r="CZ92" s="60">
        <f t="shared" si="96"/>
        <v>188.57459946241204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8.1410256410256405</v>
      </c>
      <c r="DO92" s="13">
        <f>IF('Données projet'!$A$166&gt;35,DO91+DN92-DW91,IF(A92&lt;'Données projet'!$A$166,$DL$205^A92,IF(A92='Données projet'!$A$166,'Données projet'!$B$166,DO91+DN92-DW91)))</f>
        <v>316.28205128205082</v>
      </c>
      <c r="DP92" s="18">
        <f>DO92*VLOOKUP('Données projet'!$B$14,Paramètres!$A$1:$I$89,3,0)*VLOOKUP('Données projet'!$B$14,Paramètres!$A$1:$I$89,5,0)</f>
        <v>148.01999999999978</v>
      </c>
      <c r="DQ92" s="14">
        <f t="shared" si="97"/>
        <v>38.12827612701787</v>
      </c>
      <c r="DR92" s="22">
        <f t="shared" si="70"/>
        <v>324.20824758788905</v>
      </c>
      <c r="DS92" s="60">
        <f t="shared" si="71"/>
        <v>617.54158092122236</v>
      </c>
      <c r="DT92" s="60">
        <f ca="1">AVERAGE(OFFSET($DS$3,0,0,'Données projet'!$E$14+1,1))-AVERAGE(OFFSET($H$3,0,0,'Données projet'!$E$14+1,1))</f>
        <v>212.19771249416107</v>
      </c>
      <c r="DU92" s="60">
        <f t="shared" si="98"/>
        <v>125.93313963856127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24.569999999999979</v>
      </c>
      <c r="D93" s="12">
        <f t="shared" si="86"/>
        <v>7.8003494846849248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249.87638198704133</v>
      </c>
      <c r="H93" s="68">
        <f t="shared" si="56"/>
        <v>313.04502535249287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318.61440000000005</v>
      </c>
      <c r="P93" s="14">
        <f t="shared" si="87"/>
        <v>75.06497986502842</v>
      </c>
      <c r="Q93" s="22">
        <f t="shared" si="54"/>
        <v>685.6582532649245</v>
      </c>
      <c r="R93" s="60">
        <f t="shared" si="55"/>
        <v>978.99158659825775</v>
      </c>
      <c r="S93" s="60">
        <f ca="1">AVERAGE(OFFSET($R$3,0,0,'Données projet'!$E$9+1,1))-AVERAGE(OFFSET($H$3,0,0,'Données projet'!$E$9+1,1))</f>
        <v>455.09463986470064</v>
      </c>
      <c r="T93" s="60">
        <f t="shared" si="88"/>
        <v>266.42568447709669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1.4210854715202004E-13</v>
      </c>
      <c r="AJ93" s="14">
        <f>AI93*VLOOKUP('Données projet'!$B$10,Paramètres!$A$1:$I$89,3,0)*VLOOKUP('Données projet'!$B$10,Paramètres!$A$1:$I$89,5,0)</f>
        <v>1.2192913345643319E-13</v>
      </c>
      <c r="AK93" s="14">
        <f t="shared" si="89"/>
        <v>1.7899324464546674E-12</v>
      </c>
      <c r="AL93" s="22">
        <f t="shared" si="58"/>
        <v>3.3298255850118335E-12</v>
      </c>
      <c r="AM93" s="60">
        <f t="shared" si="59"/>
        <v>293.33333333333667</v>
      </c>
      <c r="AN93" s="60">
        <f ca="1">AVERAGE(OFFSET($AM$3,0,0,'Données projet'!$E$10+1,1))-AVERAGE(OFFSET($H$3,0,0,'Données projet'!$E$10+1,1))</f>
        <v>201.39673092164992</v>
      </c>
      <c r="AO93" s="60">
        <f t="shared" si="90"/>
        <v>278.95637851890405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98.652289322929107</v>
      </c>
      <c r="BB93" s="13">
        <f>VLOOKUP(A93,'Données projet'!$A$87:$I$107,9,0)</f>
        <v>0.85435052946188728</v>
      </c>
      <c r="BC93" s="13">
        <f t="array" ref="BC93">INDEX(BB:BB,MIN(IF(ISNUMBER(BB93:BB289),ROW(BB93:BB289),"")))</f>
        <v>0.85435052946188728</v>
      </c>
      <c r="BD93" s="13">
        <f>IF('Données projet'!$A$88&gt;35,BD92+BC93-BL92,IF(A93&lt;'Données projet'!$A$88,$BA$205^A93,IF(A93='Données projet'!$A$88,'Données projet'!$B$88,BD92+BC93-BL92)))</f>
        <v>98.652289322928937</v>
      </c>
      <c r="BE93" s="14">
        <f>BD93*VLOOKUP('Données projet'!$B$11,Paramètres!$A$1:$I$89,3,0)*VLOOKUP('Données projet'!$B$11,Paramètres!$A$1:$I$89,5,0)</f>
        <v>98.494445660012261</v>
      </c>
      <c r="BF93" s="14">
        <f t="shared" si="91"/>
        <v>26.60300392796043</v>
      </c>
      <c r="BG93" s="22">
        <f t="shared" si="61"/>
        <v>217.87805803238575</v>
      </c>
      <c r="BH93" s="60">
        <f t="shared" si="62"/>
        <v>511.21139136571907</v>
      </c>
      <c r="BI93" s="60">
        <f ca="1">AVERAGE(OFFSET($BH$3,0,0,'Données projet'!$E$11+1,1))-AVERAGE(OFFSET($H$3,0,0,'Données projet'!$E$11+1,1))</f>
        <v>123.29894837876157</v>
      </c>
      <c r="BJ93" s="60">
        <f t="shared" si="92"/>
        <v>103.52963511757127</v>
      </c>
      <c r="BK93" s="16">
        <f>IF(ISNA(VLOOKUP(A93,'Données projet'!$A$87:$I$107,3,0)),0,VLOOKUP(A93,'Données projet'!$A$87:$I$107,3,0))</f>
        <v>5</v>
      </c>
      <c r="BL93" s="16">
        <f>IF(ISNA(VLOOKUP(A93,'Données projet'!$A$87:$I$107,4,0)),0,VLOOKUP(A93,'Données projet'!$A$87:$I$107,4,0))</f>
        <v>98.652289322929107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300.14400000000006</v>
      </c>
      <c r="CA93" s="14">
        <f t="shared" si="93"/>
        <v>71.206650563609855</v>
      </c>
      <c r="CB93" s="22">
        <f t="shared" si="64"/>
        <v>646.76904973162061</v>
      </c>
      <c r="CC93" s="60">
        <f t="shared" si="65"/>
        <v>940.10238306495398</v>
      </c>
      <c r="CD93" s="60">
        <f ca="1">AVERAGE(OFFSET($CC$3,0,0,'Données projet'!$E$12+1,1))-AVERAGE(OFFSET($H$3,0,0,'Données projet'!$E$12+1,1))</f>
        <v>428.49602929661046</v>
      </c>
      <c r="CE93" s="60">
        <f t="shared" si="94"/>
        <v>252.32489414103878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246.15384615384613</v>
      </c>
      <c r="CR93" s="13">
        <f>VLOOKUP(A93,'Données projet'!$A$139:$I$159,9,0)</f>
        <v>3.3333333333333313</v>
      </c>
      <c r="CS93" s="13">
        <f t="array" ref="CS93">INDEX(CR:CR,MIN(IF(ISNUMBER(CR93:CR289),ROW(CR93:CR289),"")))</f>
        <v>3.3333333333333313</v>
      </c>
      <c r="CT93" s="13">
        <f>IF('Données projet'!$A$140&gt;35,CT92+CS93-DB92,IF(A93&lt;'Données projet'!$A$140,$CQ$205^A93,IF(A93='Données projet'!$A$140,'Données projet'!$B$140,CT92+CS93-DB92)))</f>
        <v>246.15384615384627</v>
      </c>
      <c r="CU93" s="18">
        <f>CT93*VLOOKUP('Données projet'!$B$13,Paramètres!$A$1:$I$89,3,0)*VLOOKUP('Données projet'!$B$13,Paramètres!$A$1:$I$89,5,0)</f>
        <v>165.12000000000009</v>
      </c>
      <c r="CV93" s="14">
        <f t="shared" si="95"/>
        <v>41.995220128988628</v>
      </c>
      <c r="CW93" s="22">
        <f t="shared" si="67"/>
        <v>360.72567505798861</v>
      </c>
      <c r="CX93" s="60">
        <f t="shared" si="68"/>
        <v>654.05900839132187</v>
      </c>
      <c r="CY93" s="60">
        <f ca="1">AVERAGE(OFFSET($CX$3,0,0,'Données projet'!$E$13+1,1))-AVERAGE(OFFSET($H$3,0,0,'Données projet'!$E$13+1,1))</f>
        <v>226.5873967387837</v>
      </c>
      <c r="CZ93" s="60">
        <f t="shared" si="96"/>
        <v>188.57459946241204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21.153846153846153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8.1410256410256405</v>
      </c>
      <c r="DO93" s="13">
        <f>IF('Données projet'!$A$166&gt;35,DO92+DN93-DW92,IF(A93&lt;'Données projet'!$A$166,$DL$205^A93,IF(A93='Données projet'!$A$166,'Données projet'!$B$166,DO92+DN93-DW92)))</f>
        <v>324.42307692307645</v>
      </c>
      <c r="DP93" s="18">
        <f>DO93*VLOOKUP('Données projet'!$B$14,Paramètres!$A$1:$I$89,3,0)*VLOOKUP('Données projet'!$B$14,Paramètres!$A$1:$I$89,5,0)</f>
        <v>151.82999999999979</v>
      </c>
      <c r="DQ93" s="14">
        <f t="shared" si="97"/>
        <v>38.994165732360706</v>
      </c>
      <c r="DR93" s="22">
        <f t="shared" si="70"/>
        <v>332.35208865052783</v>
      </c>
      <c r="DS93" s="60">
        <f t="shared" si="71"/>
        <v>625.68542198386115</v>
      </c>
      <c r="DT93" s="60">
        <f ca="1">AVERAGE(OFFSET($DS$3,0,0,'Données projet'!$E$14+1,1))-AVERAGE(OFFSET($H$3,0,0,'Données projet'!$E$14+1,1))</f>
        <v>212.19771249416107</v>
      </c>
      <c r="DU93" s="60">
        <f t="shared" si="98"/>
        <v>125.93313963856127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24.842999999999979</v>
      </c>
      <c r="D94" s="12">
        <f t="shared" si="86"/>
        <v>7.8768822629979001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252.5745297494573</v>
      </c>
      <c r="H94" s="68">
        <f t="shared" si="56"/>
        <v>313.65379494138801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278.67996000000005</v>
      </c>
      <c r="P94" s="14">
        <f t="shared" si="87"/>
        <v>66.687969806197728</v>
      </c>
      <c r="Q94" s="22">
        <f t="shared" si="54"/>
        <v>601.51581107912773</v>
      </c>
      <c r="R94" s="60">
        <f t="shared" si="55"/>
        <v>894.8491444124611</v>
      </c>
      <c r="S94" s="60">
        <f ca="1">AVERAGE(OFFSET($R$3,0,0,'Données projet'!$E$9+1,1))-AVERAGE(OFFSET($H$3,0,0,'Données projet'!$E$9+1,1))</f>
        <v>455.09463986470064</v>
      </c>
      <c r="T94" s="60">
        <f t="shared" si="88"/>
        <v>266.42568447709669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1.4210854715202004E-13</v>
      </c>
      <c r="AJ94" s="14">
        <f>AI94*VLOOKUP('Données projet'!$B$10,Paramètres!$A$1:$I$89,3,0)*VLOOKUP('Données projet'!$B$10,Paramètres!$A$1:$I$89,5,0)</f>
        <v>1.2192913345643319E-13</v>
      </c>
      <c r="AK94" s="14">
        <f t="shared" si="89"/>
        <v>1.7899324464546674E-12</v>
      </c>
      <c r="AL94" s="22">
        <f t="shared" si="58"/>
        <v>3.3298255850118335E-12</v>
      </c>
      <c r="AM94" s="60">
        <f t="shared" si="59"/>
        <v>293.33333333333667</v>
      </c>
      <c r="AN94" s="60">
        <f ca="1">AVERAGE(OFFSET($AM$3,0,0,'Données projet'!$E$10+1,1))-AVERAGE(OFFSET($H$3,0,0,'Données projet'!$E$10+1,1))</f>
        <v>201.39673092164992</v>
      </c>
      <c r="AO94" s="60">
        <f t="shared" si="90"/>
        <v>278.95637851890405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-1.7053025658242404E-13</v>
      </c>
      <c r="BE94" s="14">
        <f>BD94*VLOOKUP('Données projet'!$B$11,Paramètres!$A$1:$I$89,3,0)*VLOOKUP('Données projet'!$B$11,Paramètres!$A$1:$I$89,5,0)</f>
        <v>-1.7025740817189217E-13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123.29894837876157</v>
      </c>
      <c r="BJ94" s="60">
        <f t="shared" si="92"/>
        <v>103.52963511757127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262.52460000000002</v>
      </c>
      <c r="CA94" s="14">
        <f t="shared" si="93"/>
        <v>63.260217631774687</v>
      </c>
      <c r="CB94" s="22">
        <f t="shared" si="64"/>
        <v>567.40855737534105</v>
      </c>
      <c r="CC94" s="60">
        <f t="shared" si="65"/>
        <v>860.74189070867442</v>
      </c>
      <c r="CD94" s="60">
        <f ca="1">AVERAGE(OFFSET($CC$3,0,0,'Données projet'!$E$12+1,1))-AVERAGE(OFFSET($H$3,0,0,'Données projet'!$E$12+1,1))</f>
        <v>428.49602929661046</v>
      </c>
      <c r="CE94" s="60">
        <f t="shared" si="94"/>
        <v>252.32489414103878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3.2051282051282102</v>
      </c>
      <c r="CT94" s="13">
        <f>IF('Données projet'!$A$140&gt;35,CT93+CS94-DB93,IF(A94&lt;'Données projet'!$A$140,$CQ$205^A94,IF(A94='Données projet'!$A$140,'Données projet'!$B$140,CT93+CS94-DB93)))</f>
        <v>228.20512820512832</v>
      </c>
      <c r="CU94" s="18">
        <f>CT94*VLOOKUP('Données projet'!$B$13,Paramètres!$A$1:$I$89,3,0)*VLOOKUP('Données projet'!$B$13,Paramètres!$A$1:$I$89,5,0)</f>
        <v>153.0800000000001</v>
      </c>
      <c r="CV94" s="14">
        <f t="shared" si="95"/>
        <v>39.277696538385037</v>
      </c>
      <c r="CW94" s="22">
        <f t="shared" si="67"/>
        <v>335.02298813768743</v>
      </c>
      <c r="CX94" s="60">
        <f t="shared" si="68"/>
        <v>628.35632147102069</v>
      </c>
      <c r="CY94" s="60">
        <f ca="1">AVERAGE(OFFSET($CX$3,0,0,'Données projet'!$E$13+1,1))-AVERAGE(OFFSET($H$3,0,0,'Données projet'!$E$13+1,1))</f>
        <v>226.5873967387837</v>
      </c>
      <c r="CZ94" s="60">
        <f t="shared" si="96"/>
        <v>188.57459946241204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8.1410256410256405</v>
      </c>
      <c r="DO94" s="13">
        <f>IF('Données projet'!$A$166&gt;35,DO93+DN94-DW93,IF(A94&lt;'Données projet'!$A$166,$DL$205^A94,IF(A94='Données projet'!$A$166,'Données projet'!$B$166,DO93+DN94-DW93)))</f>
        <v>332.56410256410209</v>
      </c>
      <c r="DP94" s="18">
        <f>DO94*VLOOKUP('Données projet'!$B$14,Paramètres!$A$1:$I$89,3,0)*VLOOKUP('Données projet'!$B$14,Paramètres!$A$1:$I$89,5,0)</f>
        <v>155.63999999999979</v>
      </c>
      <c r="DQ94" s="14">
        <f t="shared" si="97"/>
        <v>39.857529549413819</v>
      </c>
      <c r="DR94" s="22">
        <f t="shared" si="70"/>
        <v>340.49153063189533</v>
      </c>
      <c r="DS94" s="60">
        <f t="shared" si="71"/>
        <v>633.82486396522859</v>
      </c>
      <c r="DT94" s="60">
        <f ca="1">AVERAGE(OFFSET($DS$3,0,0,'Données projet'!$E$14+1,1))-AVERAGE(OFFSET($H$3,0,0,'Données projet'!$E$14+1,1))</f>
        <v>212.19771249416107</v>
      </c>
      <c r="DU94" s="60">
        <f t="shared" si="98"/>
        <v>125.93313963856127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25.115999999999978</v>
      </c>
      <c r="D95" s="12">
        <f t="shared" si="86"/>
        <v>7.9533172071366955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255.2719223007042</v>
      </c>
      <c r="H95" s="68">
        <f t="shared" si="56"/>
        <v>314.26239413576309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283.95432</v>
      </c>
      <c r="P95" s="14">
        <f t="shared" si="87"/>
        <v>67.801987095081913</v>
      </c>
      <c r="Q95" s="22">
        <f t="shared" si="54"/>
        <v>612.64223485726768</v>
      </c>
      <c r="R95" s="60">
        <f t="shared" si="55"/>
        <v>905.97556819060105</v>
      </c>
      <c r="S95" s="60">
        <f ca="1">AVERAGE(OFFSET($R$3,0,0,'Données projet'!$E$9+1,1))-AVERAGE(OFFSET($H$3,0,0,'Données projet'!$E$9+1,1))</f>
        <v>455.09463986470064</v>
      </c>
      <c r="T95" s="60">
        <f t="shared" si="88"/>
        <v>266.42568447709669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1.4210854715202004E-13</v>
      </c>
      <c r="AJ95" s="14">
        <f>AI95*VLOOKUP('Données projet'!$B$10,Paramètres!$A$1:$I$89,3,0)*VLOOKUP('Données projet'!$B$10,Paramètres!$A$1:$I$89,5,0)</f>
        <v>1.2192913345643319E-13</v>
      </c>
      <c r="AK95" s="14">
        <f t="shared" si="89"/>
        <v>1.7899324464546674E-12</v>
      </c>
      <c r="AL95" s="22">
        <f t="shared" si="58"/>
        <v>3.3298255850118335E-12</v>
      </c>
      <c r="AM95" s="60">
        <f t="shared" si="59"/>
        <v>293.33333333333667</v>
      </c>
      <c r="AN95" s="60">
        <f ca="1">AVERAGE(OFFSET($AM$3,0,0,'Données projet'!$E$10+1,1))-AVERAGE(OFFSET($H$3,0,0,'Données projet'!$E$10+1,1))</f>
        <v>201.39673092164992</v>
      </c>
      <c r="AO95" s="60">
        <f t="shared" si="90"/>
        <v>278.95637851890405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-1.7053025658242404E-13</v>
      </c>
      <c r="BE95" s="14">
        <f>BD95*VLOOKUP('Données projet'!$B$11,Paramètres!$A$1:$I$89,3,0)*VLOOKUP('Données projet'!$B$11,Paramètres!$A$1:$I$89,5,0)</f>
        <v>-1.7025740817189217E-13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123.29894837876157</v>
      </c>
      <c r="BJ95" s="60">
        <f t="shared" si="92"/>
        <v>103.52963511757127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267.49320000000006</v>
      </c>
      <c r="CA95" s="14">
        <f t="shared" si="93"/>
        <v>64.316974590266341</v>
      </c>
      <c r="CB95" s="22">
        <f t="shared" si="64"/>
        <v>577.90272074471397</v>
      </c>
      <c r="CC95" s="60">
        <f t="shared" si="65"/>
        <v>871.23605407804735</v>
      </c>
      <c r="CD95" s="60">
        <f ca="1">AVERAGE(OFFSET($CC$3,0,0,'Données projet'!$E$12+1,1))-AVERAGE(OFFSET($H$3,0,0,'Données projet'!$E$12+1,1))</f>
        <v>428.49602929661046</v>
      </c>
      <c r="CE95" s="60">
        <f t="shared" si="94"/>
        <v>252.32489414103878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3.2051282051282102</v>
      </c>
      <c r="CT95" s="13">
        <f>IF('Données projet'!$A$140&gt;35,CT94+CS95-DB94,IF(A95&lt;'Données projet'!$A$140,$CQ$205^A95,IF(A95='Données projet'!$A$140,'Données projet'!$B$140,CT94+CS95-DB94)))</f>
        <v>231.41025641025652</v>
      </c>
      <c r="CU95" s="18">
        <f>CT95*VLOOKUP('Données projet'!$B$13,Paramètres!$A$1:$I$89,3,0)*VLOOKUP('Données projet'!$B$13,Paramètres!$A$1:$I$89,5,0)</f>
        <v>155.23000000000008</v>
      </c>
      <c r="CV95" s="14">
        <f t="shared" si="95"/>
        <v>39.764740791164932</v>
      </c>
      <c r="CW95" s="22">
        <f t="shared" si="67"/>
        <v>339.61584021127902</v>
      </c>
      <c r="CX95" s="60">
        <f t="shared" si="68"/>
        <v>632.94917354461234</v>
      </c>
      <c r="CY95" s="60">
        <f ca="1">AVERAGE(OFFSET($CX$3,0,0,'Données projet'!$E$13+1,1))-AVERAGE(OFFSET($H$3,0,0,'Données projet'!$E$13+1,1))</f>
        <v>226.5873967387837</v>
      </c>
      <c r="CZ95" s="60">
        <f t="shared" si="96"/>
        <v>188.57459946241204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8.1410256410256405</v>
      </c>
      <c r="DO95" s="13">
        <f>IF('Données projet'!$A$166&gt;35,DO94+DN95-DW94,IF(A95&lt;'Données projet'!$A$166,$DL$205^A95,IF(A95='Données projet'!$A$166,'Données projet'!$B$166,DO94+DN95-DW94)))</f>
        <v>340.70512820512772</v>
      </c>
      <c r="DP95" s="18">
        <f>DO95*VLOOKUP('Données projet'!$B$14,Paramètres!$A$1:$I$89,3,0)*VLOOKUP('Données projet'!$B$14,Paramètres!$A$1:$I$89,5,0)</f>
        <v>159.44999999999976</v>
      </c>
      <c r="DQ95" s="14">
        <f t="shared" si="97"/>
        <v>40.718436521095953</v>
      </c>
      <c r="DR95" s="22">
        <f t="shared" si="70"/>
        <v>348.62669360757508</v>
      </c>
      <c r="DS95" s="60">
        <f t="shared" si="71"/>
        <v>641.96002694090839</v>
      </c>
      <c r="DT95" s="60">
        <f ca="1">AVERAGE(OFFSET($DS$3,0,0,'Données projet'!$E$14+1,1))-AVERAGE(OFFSET($H$3,0,0,'Données projet'!$E$14+1,1))</f>
        <v>212.19771249416107</v>
      </c>
      <c r="DU95" s="60">
        <f t="shared" si="98"/>
        <v>125.93313963856127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25.388999999999978</v>
      </c>
      <c r="D96" s="12">
        <f t="shared" si="86"/>
        <v>8.0296555035939932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257.96856879967271</v>
      </c>
      <c r="H96" s="68">
        <f t="shared" si="56"/>
        <v>314.87082500209283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289.22868</v>
      </c>
      <c r="P96" s="14">
        <f t="shared" si="87"/>
        <v>68.913598231220931</v>
      </c>
      <c r="Q96" s="22">
        <f t="shared" si="54"/>
        <v>623.76446791937644</v>
      </c>
      <c r="R96" s="60">
        <f t="shared" si="55"/>
        <v>917.09780125270981</v>
      </c>
      <c r="S96" s="60">
        <f ca="1">AVERAGE(OFFSET($R$3,0,0,'Données projet'!$E$9+1,1))-AVERAGE(OFFSET($H$3,0,0,'Données projet'!$E$9+1,1))</f>
        <v>455.09463986470064</v>
      </c>
      <c r="T96" s="60">
        <f t="shared" si="88"/>
        <v>266.42568447709669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1.4210854715202004E-13</v>
      </c>
      <c r="AJ96" s="14">
        <f>AI96*VLOOKUP('Données projet'!$B$10,Paramètres!$A$1:$I$89,3,0)*VLOOKUP('Données projet'!$B$10,Paramètres!$A$1:$I$89,5,0)</f>
        <v>1.2192913345643319E-13</v>
      </c>
      <c r="AK96" s="14">
        <f t="shared" si="89"/>
        <v>1.7899324464546674E-12</v>
      </c>
      <c r="AL96" s="22">
        <f t="shared" si="58"/>
        <v>3.3298255850118335E-12</v>
      </c>
      <c r="AM96" s="60">
        <f t="shared" si="59"/>
        <v>293.33333333333667</v>
      </c>
      <c r="AN96" s="60">
        <f ca="1">AVERAGE(OFFSET($AM$3,0,0,'Données projet'!$E$10+1,1))-AVERAGE(OFFSET($H$3,0,0,'Données projet'!$E$10+1,1))</f>
        <v>201.39673092164992</v>
      </c>
      <c r="AO96" s="60">
        <f t="shared" si="90"/>
        <v>278.95637851890405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-1.7053025658242404E-13</v>
      </c>
      <c r="BE96" s="14">
        <f>BD96*VLOOKUP('Données projet'!$B$11,Paramètres!$A$1:$I$89,3,0)*VLOOKUP('Données projet'!$B$11,Paramètres!$A$1:$I$89,5,0)</f>
        <v>-1.7025740817189217E-13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123.29894837876157</v>
      </c>
      <c r="BJ96" s="60">
        <f t="shared" si="92"/>
        <v>103.52963511757127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272.46180000000004</v>
      </c>
      <c r="CA96" s="14">
        <f t="shared" si="93"/>
        <v>65.371449071921944</v>
      </c>
      <c r="CB96" s="22">
        <f t="shared" si="64"/>
        <v>588.39290880026408</v>
      </c>
      <c r="CC96" s="60">
        <f t="shared" si="65"/>
        <v>881.72624213359745</v>
      </c>
      <c r="CD96" s="60">
        <f ca="1">AVERAGE(OFFSET($CC$3,0,0,'Données projet'!$E$12+1,1))-AVERAGE(OFFSET($H$3,0,0,'Données projet'!$E$12+1,1))</f>
        <v>428.49602929661046</v>
      </c>
      <c r="CE96" s="60">
        <f t="shared" si="94"/>
        <v>252.32489414103878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3.2051282051282102</v>
      </c>
      <c r="CT96" s="13">
        <f>IF('Données projet'!$A$140&gt;35,CT95+CS96-DB95,IF(A96&lt;'Données projet'!$A$140,$CQ$205^A96,IF(A96='Données projet'!$A$140,'Données projet'!$B$140,CT95+CS96-DB95)))</f>
        <v>234.61538461538473</v>
      </c>
      <c r="CU96" s="18">
        <f>CT96*VLOOKUP('Données projet'!$B$13,Paramètres!$A$1:$I$89,3,0)*VLOOKUP('Données projet'!$B$13,Paramètres!$A$1:$I$89,5,0)</f>
        <v>157.38000000000008</v>
      </c>
      <c r="CV96" s="14">
        <f t="shared" si="95"/>
        <v>40.25100044295251</v>
      </c>
      <c r="CW96" s="22">
        <f t="shared" si="67"/>
        <v>344.20732577147572</v>
      </c>
      <c r="CX96" s="60">
        <f t="shared" si="68"/>
        <v>637.54065910480904</v>
      </c>
      <c r="CY96" s="60">
        <f ca="1">AVERAGE(OFFSET($CX$3,0,0,'Données projet'!$E$13+1,1))-AVERAGE(OFFSET($H$3,0,0,'Données projet'!$E$13+1,1))</f>
        <v>226.5873967387837</v>
      </c>
      <c r="CZ96" s="60">
        <f t="shared" si="96"/>
        <v>188.57459946241204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8.1410256410256405</v>
      </c>
      <c r="DO96" s="13">
        <f>IF('Données projet'!$A$166&gt;35,DO95+DN96-DW95,IF(A96&lt;'Données projet'!$A$166,$DL$205^A96,IF(A96='Données projet'!$A$166,'Données projet'!$B$166,DO95+DN96-DW95)))</f>
        <v>348.84615384615336</v>
      </c>
      <c r="DP96" s="18">
        <f>DO96*VLOOKUP('Données projet'!$B$14,Paramètres!$A$1:$I$89,3,0)*VLOOKUP('Données projet'!$B$14,Paramètres!$A$1:$I$89,5,0)</f>
        <v>163.25999999999976</v>
      </c>
      <c r="DQ96" s="14">
        <f t="shared" si="97"/>
        <v>41.576952107686338</v>
      </c>
      <c r="DR96" s="22">
        <f t="shared" si="70"/>
        <v>356.75769158755321</v>
      </c>
      <c r="DS96" s="60">
        <f t="shared" si="71"/>
        <v>650.09102492088653</v>
      </c>
      <c r="DT96" s="60">
        <f ca="1">AVERAGE(OFFSET($DS$3,0,0,'Données projet'!$E$14+1,1))-AVERAGE(OFFSET($H$3,0,0,'Données projet'!$E$14+1,1))</f>
        <v>212.19771249416107</v>
      </c>
      <c r="DU96" s="60">
        <f t="shared" si="98"/>
        <v>125.93313963856127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25.661999999999978</v>
      </c>
      <c r="D97" s="12">
        <f t="shared" si="86"/>
        <v>8.1058983118768051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260.66447819694361</v>
      </c>
      <c r="H97" s="68">
        <f t="shared" si="56"/>
        <v>315.47908955985207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294.50303999999994</v>
      </c>
      <c r="P97" s="14">
        <f t="shared" si="87"/>
        <v>70.022852154069838</v>
      </c>
      <c r="Q97" s="22">
        <f t="shared" si="54"/>
        <v>634.88259550167152</v>
      </c>
      <c r="R97" s="60">
        <f t="shared" si="55"/>
        <v>928.21592883500489</v>
      </c>
      <c r="S97" s="60">
        <f ca="1">AVERAGE(OFFSET($R$3,0,0,'Données projet'!$E$9+1,1))-AVERAGE(OFFSET($H$3,0,0,'Données projet'!$E$9+1,1))</f>
        <v>455.09463986470064</v>
      </c>
      <c r="T97" s="60">
        <f t="shared" si="88"/>
        <v>266.42568447709669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1.4210854715202004E-13</v>
      </c>
      <c r="AJ97" s="14">
        <f>AI97*VLOOKUP('Données projet'!$B$10,Paramètres!$A$1:$I$89,3,0)*VLOOKUP('Données projet'!$B$10,Paramètres!$A$1:$I$89,5,0)</f>
        <v>1.2192913345643319E-13</v>
      </c>
      <c r="AK97" s="14">
        <f t="shared" si="89"/>
        <v>1.7899324464546674E-12</v>
      </c>
      <c r="AL97" s="22">
        <f t="shared" si="58"/>
        <v>3.3298255850118335E-12</v>
      </c>
      <c r="AM97" s="60">
        <f t="shared" si="59"/>
        <v>293.33333333333667</v>
      </c>
      <c r="AN97" s="60">
        <f ca="1">AVERAGE(OFFSET($AM$3,0,0,'Données projet'!$E$10+1,1))-AVERAGE(OFFSET($H$3,0,0,'Données projet'!$E$10+1,1))</f>
        <v>201.39673092164992</v>
      </c>
      <c r="AO97" s="60">
        <f t="shared" si="90"/>
        <v>278.95637851890405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-1.7053025658242404E-13</v>
      </c>
      <c r="BE97" s="14">
        <f>BD97*VLOOKUP('Données projet'!$B$11,Paramètres!$A$1:$I$89,3,0)*VLOOKUP('Données projet'!$B$11,Paramètres!$A$1:$I$89,5,0)</f>
        <v>-1.7025740817189217E-13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123.29894837876157</v>
      </c>
      <c r="BJ97" s="60">
        <f t="shared" si="92"/>
        <v>103.52963511757127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277.43039999999996</v>
      </c>
      <c r="CA97" s="14">
        <f t="shared" si="93"/>
        <v>66.423687500715673</v>
      </c>
      <c r="CB97" s="22">
        <f t="shared" si="64"/>
        <v>598.87920239707967</v>
      </c>
      <c r="CC97" s="60">
        <f t="shared" si="65"/>
        <v>892.21253573041304</v>
      </c>
      <c r="CD97" s="60">
        <f ca="1">AVERAGE(OFFSET($CC$3,0,0,'Données projet'!$E$12+1,1))-AVERAGE(OFFSET($H$3,0,0,'Données projet'!$E$12+1,1))</f>
        <v>428.49602929661046</v>
      </c>
      <c r="CE97" s="60">
        <f t="shared" si="94"/>
        <v>252.32489414103878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3.2051282051282102</v>
      </c>
      <c r="CT97" s="13">
        <f>IF('Données projet'!$A$140&gt;35,CT96+CS97-DB96,IF(A97&lt;'Données projet'!$A$140,$CQ$205^A97,IF(A97='Données projet'!$A$140,'Données projet'!$B$140,CT96+CS97-DB96)))</f>
        <v>237.82051282051293</v>
      </c>
      <c r="CU97" s="18">
        <f>CT97*VLOOKUP('Données projet'!$B$13,Paramètres!$A$1:$I$89,3,0)*VLOOKUP('Données projet'!$B$13,Paramètres!$A$1:$I$89,5,0)</f>
        <v>159.53000000000006</v>
      </c>
      <c r="CV97" s="14">
        <f t="shared" si="95"/>
        <v>40.736487451224015</v>
      </c>
      <c r="CW97" s="22">
        <f t="shared" si="67"/>
        <v>348.79746564421521</v>
      </c>
      <c r="CX97" s="60">
        <f t="shared" si="68"/>
        <v>642.13079897754847</v>
      </c>
      <c r="CY97" s="60">
        <f ca="1">AVERAGE(OFFSET($CX$3,0,0,'Données projet'!$E$13+1,1))-AVERAGE(OFFSET($H$3,0,0,'Données projet'!$E$13+1,1))</f>
        <v>226.5873967387837</v>
      </c>
      <c r="CZ97" s="60">
        <f t="shared" si="96"/>
        <v>188.57459946241204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8.1410256410256405</v>
      </c>
      <c r="DO97" s="13">
        <f>IF('Données projet'!$A$166&gt;35,DO96+DN97-DW96,IF(A97&lt;'Données projet'!$A$166,$DL$205^A97,IF(A97='Données projet'!$A$166,'Données projet'!$B$166,DO96+DN97-DW96)))</f>
        <v>356.98717948717899</v>
      </c>
      <c r="DP97" s="18">
        <f>DO97*VLOOKUP('Données projet'!$B$14,Paramètres!$A$1:$I$89,3,0)*VLOOKUP('Données projet'!$B$14,Paramètres!$A$1:$I$89,5,0)</f>
        <v>167.06999999999977</v>
      </c>
      <c r="DQ97" s="14">
        <f t="shared" si="97"/>
        <v>42.433138539856941</v>
      </c>
      <c r="DR97" s="22">
        <f t="shared" si="70"/>
        <v>364.88463295691707</v>
      </c>
      <c r="DS97" s="60">
        <f t="shared" si="71"/>
        <v>658.21796629025039</v>
      </c>
      <c r="DT97" s="60">
        <f ca="1">AVERAGE(OFFSET($DS$3,0,0,'Données projet'!$E$14+1,1))-AVERAGE(OFFSET($H$3,0,0,'Données projet'!$E$14+1,1))</f>
        <v>212.19771249416107</v>
      </c>
      <c r="DU97" s="60">
        <f t="shared" si="98"/>
        <v>125.93313963856127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25.934999999999977</v>
      </c>
      <c r="D98" s="12">
        <f t="shared" si="86"/>
        <v>8.1820467654006723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263.35965924168926</v>
      </c>
      <c r="H98" s="68">
        <f t="shared" si="56"/>
        <v>316.0871897830728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299.77739999999989</v>
      </c>
      <c r="P98" s="14">
        <f t="shared" si="87"/>
        <v>71.129795949749251</v>
      </c>
      <c r="Q98" s="22">
        <f t="shared" si="54"/>
        <v>645.9966996124798</v>
      </c>
      <c r="R98" s="60">
        <f t="shared" si="55"/>
        <v>939.33003294581317</v>
      </c>
      <c r="S98" s="60">
        <f ca="1">AVERAGE(OFFSET($R$3,0,0,'Données projet'!$E$9+1,1))-AVERAGE(OFFSET($H$3,0,0,'Données projet'!$E$9+1,1))</f>
        <v>455.09463986470064</v>
      </c>
      <c r="T98" s="60">
        <f t="shared" si="88"/>
        <v>266.42568447709669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1.4210854715202004E-13</v>
      </c>
      <c r="AJ98" s="14">
        <f>AI98*VLOOKUP('Données projet'!$B$10,Paramètres!$A$1:$I$89,3,0)*VLOOKUP('Données projet'!$B$10,Paramètres!$A$1:$I$89,5,0)</f>
        <v>1.2192913345643319E-13</v>
      </c>
      <c r="AK98" s="14">
        <f t="shared" si="89"/>
        <v>1.7899324464546674E-12</v>
      </c>
      <c r="AL98" s="22">
        <f t="shared" si="58"/>
        <v>3.3298255850118335E-12</v>
      </c>
      <c r="AM98" s="60">
        <f t="shared" si="59"/>
        <v>293.33333333333667</v>
      </c>
      <c r="AN98" s="60">
        <f ca="1">AVERAGE(OFFSET($AM$3,0,0,'Données projet'!$E$10+1,1))-AVERAGE(OFFSET($H$3,0,0,'Données projet'!$E$10+1,1))</f>
        <v>201.39673092164992</v>
      </c>
      <c r="AO98" s="60">
        <f t="shared" si="90"/>
        <v>278.95637851890405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-1.7053025658242404E-13</v>
      </c>
      <c r="BE98" s="14">
        <f>BD98*VLOOKUP('Données projet'!$B$11,Paramètres!$A$1:$I$89,3,0)*VLOOKUP('Données projet'!$B$11,Paramètres!$A$1:$I$89,5,0)</f>
        <v>-1.7025740817189217E-13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123.29894837876157</v>
      </c>
      <c r="BJ98" s="60">
        <f t="shared" si="92"/>
        <v>103.52963511757127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282.399</v>
      </c>
      <c r="CA98" s="14">
        <f t="shared" si="93"/>
        <v>67.473734542548371</v>
      </c>
      <c r="CB98" s="22">
        <f t="shared" si="64"/>
        <v>609.36167932827175</v>
      </c>
      <c r="CC98" s="60">
        <f t="shared" si="65"/>
        <v>902.69501266160501</v>
      </c>
      <c r="CD98" s="60">
        <f ca="1">AVERAGE(OFFSET($CC$3,0,0,'Données projet'!$E$12+1,1))-AVERAGE(OFFSET($H$3,0,0,'Données projet'!$E$12+1,1))</f>
        <v>428.49602929661046</v>
      </c>
      <c r="CE98" s="60">
        <f t="shared" si="94"/>
        <v>252.32489414103878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241.02564102564102</v>
      </c>
      <c r="CR98" s="13">
        <f>VLOOKUP(A98,'Données projet'!$A$139:$I$159,9,0)</f>
        <v>3.2051282051282102</v>
      </c>
      <c r="CS98" s="13">
        <f t="array" ref="CS98">INDEX(CR:CR,MIN(IF(ISNUMBER(CR98:CR294),ROW(CR98:CR294),"")))</f>
        <v>3.2051282051282102</v>
      </c>
      <c r="CT98" s="13">
        <f>IF('Données projet'!$A$140&gt;35,CT97+CS98-DB97,IF(A98&lt;'Données projet'!$A$140,$CQ$205^A98,IF(A98='Données projet'!$A$140,'Données projet'!$B$140,CT97+CS98-DB97)))</f>
        <v>241.02564102564114</v>
      </c>
      <c r="CU98" s="18">
        <f>CT98*VLOOKUP('Données projet'!$B$13,Paramètres!$A$1:$I$89,3,0)*VLOOKUP('Données projet'!$B$13,Paramètres!$A$1:$I$89,5,0)</f>
        <v>161.68000000000009</v>
      </c>
      <c r="CV98" s="14">
        <f t="shared" si="95"/>
        <v>41.221213432630442</v>
      </c>
      <c r="CW98" s="22">
        <f t="shared" si="67"/>
        <v>353.38628006183148</v>
      </c>
      <c r="CX98" s="60">
        <f t="shared" si="68"/>
        <v>646.71961339516474</v>
      </c>
      <c r="CY98" s="60">
        <f ca="1">AVERAGE(OFFSET($CX$3,0,0,'Données projet'!$E$13+1,1))-AVERAGE(OFFSET($H$3,0,0,'Données projet'!$E$13+1,1))</f>
        <v>226.5873967387837</v>
      </c>
      <c r="CZ98" s="60">
        <f t="shared" si="96"/>
        <v>188.57459946241204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8.1410256410256405</v>
      </c>
      <c r="DO98" s="13">
        <f>IF('Données projet'!$A$166&gt;35,DO97+DN98-DW97,IF(A98&lt;'Données projet'!$A$166,$DL$205^A98,IF(A98='Données projet'!$A$166,'Données projet'!$B$166,DO97+DN98-DW97)))</f>
        <v>365.12820512820463</v>
      </c>
      <c r="DP98" s="18">
        <f>DO98*VLOOKUP('Données projet'!$B$14,Paramètres!$A$1:$I$89,3,0)*VLOOKUP('Données projet'!$B$14,Paramètres!$A$1:$I$89,5,0)</f>
        <v>170.87999999999977</v>
      </c>
      <c r="DQ98" s="14">
        <f t="shared" si="97"/>
        <v>43.287055047972629</v>
      </c>
      <c r="DR98" s="22">
        <f t="shared" si="70"/>
        <v>373.00762087521849</v>
      </c>
      <c r="DS98" s="60">
        <f t="shared" si="71"/>
        <v>666.34095420855181</v>
      </c>
      <c r="DT98" s="60">
        <f ca="1">AVERAGE(OFFSET($DS$3,0,0,'Données projet'!$E$14+1,1))-AVERAGE(OFFSET($H$3,0,0,'Données projet'!$E$14+1,1))</f>
        <v>212.19771249416107</v>
      </c>
      <c r="DU98" s="60">
        <f t="shared" si="98"/>
        <v>125.93313963856127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26.207999999999977</v>
      </c>
      <c r="D99" s="12">
        <f t="shared" si="86"/>
        <v>8.2581019723450915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266.05412048827776</v>
      </c>
      <c r="H99" s="68">
        <f t="shared" si="56"/>
        <v>316.69512760183437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305.05175999999989</v>
      </c>
      <c r="P99" s="14">
        <f t="shared" si="87"/>
        <v>72.23447495258219</v>
      </c>
      <c r="Q99" s="22">
        <f t="shared" ref="Q99:Q130" si="107">(O99+P99)*0.475*44/12</f>
        <v>657.10685920908043</v>
      </c>
      <c r="R99" s="60">
        <f t="shared" si="55"/>
        <v>950.4401925424138</v>
      </c>
      <c r="S99" s="60">
        <f ca="1">AVERAGE(OFFSET($R$3,0,0,'Données projet'!$E$9+1,1))-AVERAGE(OFFSET($H$3,0,0,'Données projet'!$E$9+1,1))</f>
        <v>455.09463986470064</v>
      </c>
      <c r="T99" s="60">
        <f t="shared" si="88"/>
        <v>266.42568447709669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1.4210854715202004E-13</v>
      </c>
      <c r="AJ99" s="14">
        <f>AI99*VLOOKUP('Données projet'!$B$10,Paramètres!$A$1:$I$89,3,0)*VLOOKUP('Données projet'!$B$10,Paramètres!$A$1:$I$89,5,0)</f>
        <v>1.2192913345643319E-13</v>
      </c>
      <c r="AK99" s="14">
        <f t="shared" si="89"/>
        <v>1.7899324464546674E-12</v>
      </c>
      <c r="AL99" s="22">
        <f t="shared" si="58"/>
        <v>3.3298255850118335E-12</v>
      </c>
      <c r="AM99" s="60">
        <f t="shared" si="59"/>
        <v>293.33333333333667</v>
      </c>
      <c r="AN99" s="60">
        <f ca="1">AVERAGE(OFFSET($AM$3,0,0,'Données projet'!$E$10+1,1))-AVERAGE(OFFSET($H$3,0,0,'Données projet'!$E$10+1,1))</f>
        <v>201.39673092164992</v>
      </c>
      <c r="AO99" s="60">
        <f t="shared" si="90"/>
        <v>278.95637851890405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-1.7053025658242404E-13</v>
      </c>
      <c r="BE99" s="14">
        <f>BD99*VLOOKUP('Données projet'!$B$11,Paramètres!$A$1:$I$89,3,0)*VLOOKUP('Données projet'!$B$11,Paramètres!$A$1:$I$89,5,0)</f>
        <v>-1.7025740817189217E-13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123.29894837876157</v>
      </c>
      <c r="BJ99" s="60">
        <f t="shared" si="92"/>
        <v>103.52963511757127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287.36759999999992</v>
      </c>
      <c r="CA99" s="14">
        <f t="shared" si="93"/>
        <v>68.521633201565123</v>
      </c>
      <c r="CB99" s="22">
        <f t="shared" si="64"/>
        <v>619.84041449272581</v>
      </c>
      <c r="CC99" s="60">
        <f t="shared" si="65"/>
        <v>913.17374782605907</v>
      </c>
      <c r="CD99" s="60">
        <f ca="1">AVERAGE(OFFSET($CC$3,0,0,'Données projet'!$E$12+1,1))-AVERAGE(OFFSET($H$3,0,0,'Données projet'!$E$12+1,1))</f>
        <v>428.49602929661046</v>
      </c>
      <c r="CE99" s="60">
        <f t="shared" si="94"/>
        <v>252.32489414103878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3.0769230769230775</v>
      </c>
      <c r="CT99" s="13">
        <f>IF('Données projet'!$A$140&gt;35,CT98+CS99-DB98,IF(A99&lt;'Données projet'!$A$140,$CQ$205^A99,IF(A99='Données projet'!$A$140,'Données projet'!$B$140,CT98+CS99-DB98)))</f>
        <v>244.1025641025642</v>
      </c>
      <c r="CU99" s="18">
        <f>CT99*VLOOKUP('Données projet'!$B$13,Paramètres!$A$1:$I$89,3,0)*VLOOKUP('Données projet'!$B$13,Paramètres!$A$1:$I$89,5,0)</f>
        <v>163.74400000000006</v>
      </c>
      <c r="CV99" s="14">
        <f t="shared" si="95"/>
        <v>41.685844883594605</v>
      </c>
      <c r="CW99" s="22">
        <f t="shared" si="67"/>
        <v>357.79031317226071</v>
      </c>
      <c r="CX99" s="60">
        <f t="shared" si="68"/>
        <v>651.12364650559402</v>
      </c>
      <c r="CY99" s="60">
        <f ca="1">AVERAGE(OFFSET($CX$3,0,0,'Données projet'!$E$13+1,1))-AVERAGE(OFFSET($H$3,0,0,'Données projet'!$E$13+1,1))</f>
        <v>226.5873967387837</v>
      </c>
      <c r="CZ99" s="60">
        <f t="shared" si="96"/>
        <v>188.57459946241204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8.1410256410256405</v>
      </c>
      <c r="DO99" s="13">
        <f>IF('Données projet'!$A$166&gt;35,DO98+DN99-DW98,IF(A99&lt;'Données projet'!$A$166,$DL$205^A99,IF(A99='Données projet'!$A$166,'Données projet'!$B$166,DO98+DN99-DW98)))</f>
        <v>373.26923076923026</v>
      </c>
      <c r="DP99" s="18">
        <f>DO99*VLOOKUP('Données projet'!$B$14,Paramètres!$A$1:$I$89,3,0)*VLOOKUP('Données projet'!$B$14,Paramètres!$A$1:$I$89,5,0)</f>
        <v>174.68999999999974</v>
      </c>
      <c r="DQ99" s="14">
        <f t="shared" si="97"/>
        <v>44.138758070364624</v>
      </c>
      <c r="DR99" s="22">
        <f t="shared" si="70"/>
        <v>381.1267536392179</v>
      </c>
      <c r="DS99" s="60">
        <f t="shared" si="71"/>
        <v>674.46008697255115</v>
      </c>
      <c r="DT99" s="60">
        <f ca="1">AVERAGE(OFFSET($DS$3,0,0,'Données projet'!$E$14+1,1))-AVERAGE(OFFSET($H$3,0,0,'Données projet'!$E$14+1,1))</f>
        <v>212.19771249416107</v>
      </c>
      <c r="DU99" s="60">
        <f t="shared" si="98"/>
        <v>125.93313963856127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26.480999999999977</v>
      </c>
      <c r="D100" s="12">
        <f t="shared" si="86"/>
        <v>8.3340650164723247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268.74787030259324</v>
      </c>
      <c r="H100" s="68">
        <f t="shared" si="56"/>
        <v>317.3029049036893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310.32611999999989</v>
      </c>
      <c r="P100" s="14">
        <f t="shared" si="87"/>
        <v>73.336932839409357</v>
      </c>
      <c r="Q100" s="22">
        <f t="shared" si="107"/>
        <v>668.21315036197109</v>
      </c>
      <c r="R100" s="60">
        <f t="shared" si="55"/>
        <v>961.54648369530446</v>
      </c>
      <c r="S100" s="60">
        <f ca="1">AVERAGE(OFFSET($R$3,0,0,'Données projet'!$E$9+1,1))-AVERAGE(OFFSET($H$3,0,0,'Données projet'!$E$9+1,1))</f>
        <v>455.09463986470064</v>
      </c>
      <c r="T100" s="60">
        <f t="shared" si="88"/>
        <v>266.42568447709669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1.4210854715202004E-13</v>
      </c>
      <c r="AJ100" s="14">
        <f>AI100*VLOOKUP('Données projet'!$B$10,Paramètres!$A$1:$I$89,3,0)*VLOOKUP('Données projet'!$B$10,Paramètres!$A$1:$I$89,5,0)</f>
        <v>1.2192913345643319E-13</v>
      </c>
      <c r="AK100" s="14">
        <f t="shared" si="89"/>
        <v>1.7899324464546674E-12</v>
      </c>
      <c r="AL100" s="22">
        <f t="shared" si="58"/>
        <v>3.3298255850118335E-12</v>
      </c>
      <c r="AM100" s="60">
        <f t="shared" si="59"/>
        <v>293.33333333333667</v>
      </c>
      <c r="AN100" s="60">
        <f ca="1">AVERAGE(OFFSET($AM$3,0,0,'Données projet'!$E$10+1,1))-AVERAGE(OFFSET($H$3,0,0,'Données projet'!$E$10+1,1))</f>
        <v>201.39673092164992</v>
      </c>
      <c r="AO100" s="60">
        <f t="shared" si="90"/>
        <v>278.95637851890405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-1.7053025658242404E-13</v>
      </c>
      <c r="BE100" s="14">
        <f>BD100*VLOOKUP('Données projet'!$B$11,Paramètres!$A$1:$I$89,3,0)*VLOOKUP('Données projet'!$B$11,Paramètres!$A$1:$I$89,5,0)</f>
        <v>-1.7025740817189217E-13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123.29894837876157</v>
      </c>
      <c r="BJ100" s="60">
        <f t="shared" si="92"/>
        <v>103.52963511757127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292.33619999999996</v>
      </c>
      <c r="CA100" s="14">
        <f t="shared" si="93"/>
        <v>69.56742490962327</v>
      </c>
      <c r="CB100" s="22">
        <f t="shared" si="64"/>
        <v>630.31548005092702</v>
      </c>
      <c r="CC100" s="60">
        <f t="shared" si="65"/>
        <v>923.64881338426039</v>
      </c>
      <c r="CD100" s="60">
        <f ca="1">AVERAGE(OFFSET($CC$3,0,0,'Données projet'!$E$12+1,1))-AVERAGE(OFFSET($H$3,0,0,'Données projet'!$E$12+1,1))</f>
        <v>428.49602929661046</v>
      </c>
      <c r="CE100" s="60">
        <f t="shared" si="94"/>
        <v>252.32489414103878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3.0769230769230775</v>
      </c>
      <c r="CT100" s="13">
        <f>IF('Données projet'!$A$140&gt;35,CT99+CS100-DB99,IF(A100&lt;'Données projet'!$A$140,$CQ$205^A100,IF(A100='Données projet'!$A$140,'Données projet'!$B$140,CT99+CS100-DB99)))</f>
        <v>247.17948717948727</v>
      </c>
      <c r="CU100" s="18">
        <f>CT100*VLOOKUP('Données projet'!$B$13,Paramètres!$A$1:$I$89,3,0)*VLOOKUP('Données projet'!$B$13,Paramètres!$A$1:$I$89,5,0)</f>
        <v>165.80800000000008</v>
      </c>
      <c r="CV100" s="14">
        <f t="shared" si="95"/>
        <v>42.149795095597277</v>
      </c>
      <c r="CW100" s="22">
        <f t="shared" si="67"/>
        <v>362.19315979149877</v>
      </c>
      <c r="CX100" s="60">
        <f t="shared" si="68"/>
        <v>655.52649312483209</v>
      </c>
      <c r="CY100" s="60">
        <f ca="1">AVERAGE(OFFSET($CX$3,0,0,'Données projet'!$E$13+1,1))-AVERAGE(OFFSET($H$3,0,0,'Données projet'!$E$13+1,1))</f>
        <v>226.5873967387837</v>
      </c>
      <c r="CZ100" s="60">
        <f t="shared" si="96"/>
        <v>188.57459946241204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8.1410256410256405</v>
      </c>
      <c r="DO100" s="13">
        <f>IF('Données projet'!$A$166&gt;35,DO99+DN100-DW99,IF(A100&lt;'Données projet'!$A$166,$DL$205^A100,IF(A100='Données projet'!$A$166,'Données projet'!$B$166,DO99+DN100-DW99)))</f>
        <v>381.4102564102559</v>
      </c>
      <c r="DP100" s="18">
        <f>DO100*VLOOKUP('Données projet'!$B$14,Paramètres!$A$1:$I$89,3,0)*VLOOKUP('Données projet'!$B$14,Paramètres!$A$1:$I$89,5,0)</f>
        <v>178.49999999999977</v>
      </c>
      <c r="DQ100" s="14">
        <f t="shared" si="97"/>
        <v>44.988301442921504</v>
      </c>
      <c r="DR100" s="22">
        <f t="shared" si="70"/>
        <v>389.24212501308784</v>
      </c>
      <c r="DS100" s="60">
        <f t="shared" si="71"/>
        <v>682.5754583464211</v>
      </c>
      <c r="DT100" s="60">
        <f ca="1">AVERAGE(OFFSET($DS$3,0,0,'Données projet'!$E$14+1,1))-AVERAGE(OFFSET($H$3,0,0,'Données projet'!$E$14+1,1))</f>
        <v>212.19771249416107</v>
      </c>
      <c r="DU100" s="60">
        <f t="shared" si="98"/>
        <v>125.93313963856127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26.753999999999976</v>
      </c>
      <c r="D101" s="12">
        <f t="shared" si="86"/>
        <v>8.4099369579114391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271.44091686808815</v>
      </c>
      <c r="H101" s="68">
        <f t="shared" si="56"/>
        <v>317.91052353502909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315.60047999999989</v>
      </c>
      <c r="P101" s="14">
        <f t="shared" si="87"/>
        <v>74.437211717310802</v>
      </c>
      <c r="Q101" s="22">
        <f t="shared" si="107"/>
        <v>679.31564640764952</v>
      </c>
      <c r="R101" s="60">
        <f t="shared" si="55"/>
        <v>972.6489797409829</v>
      </c>
      <c r="S101" s="60">
        <f ca="1">AVERAGE(OFFSET($R$3,0,0,'Données projet'!$E$9+1,1))-AVERAGE(OFFSET($H$3,0,0,'Données projet'!$E$9+1,1))</f>
        <v>455.09463986470064</v>
      </c>
      <c r="T101" s="60">
        <f t="shared" si="88"/>
        <v>266.42568447709669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1.4210854715202004E-13</v>
      </c>
      <c r="AJ101" s="14">
        <f>AI101*VLOOKUP('Données projet'!$B$10,Paramètres!$A$1:$I$89,3,0)*VLOOKUP('Données projet'!$B$10,Paramètres!$A$1:$I$89,5,0)</f>
        <v>1.2192913345643319E-13</v>
      </c>
      <c r="AK101" s="14">
        <f t="shared" si="89"/>
        <v>1.7899324464546674E-12</v>
      </c>
      <c r="AL101" s="22">
        <f t="shared" si="58"/>
        <v>3.3298255850118335E-12</v>
      </c>
      <c r="AM101" s="60">
        <f t="shared" si="59"/>
        <v>293.33333333333667</v>
      </c>
      <c r="AN101" s="60">
        <f ca="1">AVERAGE(OFFSET($AM$3,0,0,'Données projet'!$E$10+1,1))-AVERAGE(OFFSET($H$3,0,0,'Données projet'!$E$10+1,1))</f>
        <v>201.39673092164992</v>
      </c>
      <c r="AO101" s="60">
        <f t="shared" si="90"/>
        <v>278.95637851890405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-1.7053025658242404E-13</v>
      </c>
      <c r="BE101" s="14">
        <f>BD101*VLOOKUP('Données projet'!$B$11,Paramètres!$A$1:$I$89,3,0)*VLOOKUP('Données projet'!$B$11,Paramètres!$A$1:$I$89,5,0)</f>
        <v>-1.7025740817189217E-13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123.29894837876157</v>
      </c>
      <c r="BJ101" s="60">
        <f t="shared" si="92"/>
        <v>103.52963511757127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297.30479999999989</v>
      </c>
      <c r="CA101" s="14">
        <f t="shared" si="93"/>
        <v>70.611149609504906</v>
      </c>
      <c r="CB101" s="22">
        <f t="shared" si="64"/>
        <v>640.78694556988739</v>
      </c>
      <c r="CC101" s="60">
        <f t="shared" si="65"/>
        <v>934.12027890322065</v>
      </c>
      <c r="CD101" s="60">
        <f ca="1">AVERAGE(OFFSET($CC$3,0,0,'Données projet'!$E$12+1,1))-AVERAGE(OFFSET($H$3,0,0,'Données projet'!$E$12+1,1))</f>
        <v>428.49602929661046</v>
      </c>
      <c r="CE101" s="60">
        <f t="shared" si="94"/>
        <v>252.32489414103878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3.0769230769230775</v>
      </c>
      <c r="CT101" s="13">
        <f>IF('Données projet'!$A$140&gt;35,CT100+CS101-DB100,IF(A101&lt;'Données projet'!$A$140,$CQ$205^A101,IF(A101='Données projet'!$A$140,'Données projet'!$B$140,CT100+CS101-DB100)))</f>
        <v>250.25641025641033</v>
      </c>
      <c r="CU101" s="18">
        <f>CT101*VLOOKUP('Données projet'!$B$13,Paramètres!$A$1:$I$89,3,0)*VLOOKUP('Données projet'!$B$13,Paramètres!$A$1:$I$89,5,0)</f>
        <v>167.87200000000004</v>
      </c>
      <c r="CV101" s="14">
        <f t="shared" si="95"/>
        <v>42.613073529517067</v>
      </c>
      <c r="CW101" s="22">
        <f t="shared" si="67"/>
        <v>366.59483639724226</v>
      </c>
      <c r="CX101" s="60">
        <f t="shared" si="68"/>
        <v>659.92816973057552</v>
      </c>
      <c r="CY101" s="60">
        <f ca="1">AVERAGE(OFFSET($CX$3,0,0,'Données projet'!$E$13+1,1))-AVERAGE(OFFSET($H$3,0,0,'Données projet'!$E$13+1,1))</f>
        <v>226.5873967387837</v>
      </c>
      <c r="CZ101" s="60">
        <f t="shared" si="96"/>
        <v>188.57459946241204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8.1410256410256405</v>
      </c>
      <c r="DO101" s="13">
        <f>IF('Données projet'!$A$166&gt;35,DO100+DN101-DW100,IF(A101&lt;'Données projet'!$A$166,$DL$205^A101,IF(A101='Données projet'!$A$166,'Données projet'!$B$166,DO100+DN101-DW100)))</f>
        <v>389.55128205128153</v>
      </c>
      <c r="DP101" s="18">
        <f>DO101*VLOOKUP('Données projet'!$B$14,Paramètres!$A$1:$I$89,3,0)*VLOOKUP('Données projet'!$B$14,Paramètres!$A$1:$I$89,5,0)</f>
        <v>182.30999999999975</v>
      </c>
      <c r="DQ101" s="14">
        <f t="shared" si="97"/>
        <v>45.835736572036403</v>
      </c>
      <c r="DR101" s="22">
        <f t="shared" si="70"/>
        <v>397.35382452962966</v>
      </c>
      <c r="DS101" s="60">
        <f t="shared" si="71"/>
        <v>690.68715786296298</v>
      </c>
      <c r="DT101" s="60">
        <f ca="1">AVERAGE(OFFSET($DS$3,0,0,'Données projet'!$E$14+1,1))-AVERAGE(OFFSET($H$3,0,0,'Données projet'!$E$14+1,1))</f>
        <v>212.19771249416107</v>
      </c>
      <c r="DU101" s="60">
        <f t="shared" si="98"/>
        <v>125.93313963856127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27.026999999999976</v>
      </c>
      <c r="D102" s="12">
        <f t="shared" si="86"/>
        <v>8.4857188339094485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274.13326819158152</v>
      </c>
      <c r="H102" s="68">
        <f t="shared" si="56"/>
        <v>318.51798530239228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320.87483999999984</v>
      </c>
      <c r="P102" s="14">
        <f t="shared" si="87"/>
        <v>75.535352205297585</v>
      </c>
      <c r="Q102" s="22">
        <f t="shared" si="107"/>
        <v>690.41441809089304</v>
      </c>
      <c r="R102" s="60">
        <f t="shared" si="55"/>
        <v>983.74775142422641</v>
      </c>
      <c r="S102" s="60">
        <f ca="1">AVERAGE(OFFSET($R$3,0,0,'Données projet'!$E$9+1,1))-AVERAGE(OFFSET($H$3,0,0,'Données projet'!$E$9+1,1))</f>
        <v>455.09463986470064</v>
      </c>
      <c r="T102" s="60">
        <f t="shared" si="88"/>
        <v>266.42568447709669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1.4210854715202004E-13</v>
      </c>
      <c r="AJ102" s="14">
        <f>AI102*VLOOKUP('Données projet'!$B$10,Paramètres!$A$1:$I$89,3,0)*VLOOKUP('Données projet'!$B$10,Paramètres!$A$1:$I$89,5,0)</f>
        <v>1.2192913345643319E-13</v>
      </c>
      <c r="AK102" s="14">
        <f t="shared" si="89"/>
        <v>1.7899324464546674E-12</v>
      </c>
      <c r="AL102" s="22">
        <f t="shared" si="58"/>
        <v>3.3298255850118335E-12</v>
      </c>
      <c r="AM102" s="60">
        <f t="shared" si="59"/>
        <v>293.33333333333667</v>
      </c>
      <c r="AN102" s="60">
        <f ca="1">AVERAGE(OFFSET($AM$3,0,0,'Données projet'!$E$10+1,1))-AVERAGE(OFFSET($H$3,0,0,'Données projet'!$E$10+1,1))</f>
        <v>201.39673092164992</v>
      </c>
      <c r="AO102" s="60">
        <f t="shared" si="90"/>
        <v>278.95637851890405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-1.7053025658242404E-13</v>
      </c>
      <c r="BE102" s="14">
        <f>BD102*VLOOKUP('Données projet'!$B$11,Paramètres!$A$1:$I$89,3,0)*VLOOKUP('Données projet'!$B$11,Paramètres!$A$1:$I$89,5,0)</f>
        <v>-1.7025740817189217E-13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123.29894837876157</v>
      </c>
      <c r="BJ102" s="60">
        <f t="shared" si="92"/>
        <v>103.52963511757127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302.27339999999987</v>
      </c>
      <c r="CA102" s="14">
        <f t="shared" si="93"/>
        <v>71.652845832409739</v>
      </c>
      <c r="CB102" s="22">
        <f t="shared" si="64"/>
        <v>651.25487815811346</v>
      </c>
      <c r="CC102" s="60">
        <f t="shared" si="65"/>
        <v>944.58821149144683</v>
      </c>
      <c r="CD102" s="60">
        <f ca="1">AVERAGE(OFFSET($CC$3,0,0,'Données projet'!$E$12+1,1))-AVERAGE(OFFSET($H$3,0,0,'Données projet'!$E$12+1,1))</f>
        <v>428.49602929661046</v>
      </c>
      <c r="CE102" s="60">
        <f t="shared" si="94"/>
        <v>252.32489414103878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3.0769230769230775</v>
      </c>
      <c r="CT102" s="13">
        <f>IF('Données projet'!$A$140&gt;35,CT101+CS102-DB101,IF(A102&lt;'Données projet'!$A$140,$CQ$205^A102,IF(A102='Données projet'!$A$140,'Données projet'!$B$140,CT101+CS102-DB101)))</f>
        <v>253.3333333333334</v>
      </c>
      <c r="CU102" s="18">
        <f>CT102*VLOOKUP('Données projet'!$B$13,Paramètres!$A$1:$I$89,3,0)*VLOOKUP('Données projet'!$B$13,Paramètres!$A$1:$I$89,5,0)</f>
        <v>169.93600000000006</v>
      </c>
      <c r="CV102" s="14">
        <f t="shared" si="95"/>
        <v>43.075689400206009</v>
      </c>
      <c r="CW102" s="22">
        <f t="shared" si="67"/>
        <v>370.99535903869224</v>
      </c>
      <c r="CX102" s="60">
        <f t="shared" si="68"/>
        <v>664.32869237202556</v>
      </c>
      <c r="CY102" s="60">
        <f ca="1">AVERAGE(OFFSET($CX$3,0,0,'Données projet'!$E$13+1,1))-AVERAGE(OFFSET($H$3,0,0,'Données projet'!$E$13+1,1))</f>
        <v>226.5873967387837</v>
      </c>
      <c r="CZ102" s="60">
        <f t="shared" si="96"/>
        <v>188.57459946241204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>
        <f>VLOOKUP(A102,'Données projet'!$A$165:$I$185,2,0)</f>
        <v>397.69230769230768</v>
      </c>
      <c r="DM102" s="13">
        <f>VLOOKUP(A102,'Données projet'!$A$165:$I$185,9,0)</f>
        <v>8.1410256410256405</v>
      </c>
      <c r="DN102" s="13">
        <f t="array" ref="DN102">INDEX(DM:DM,MIN(IF(ISNUMBER(DM102:DM298),ROW(DM102:DM298),"")))</f>
        <v>8.1410256410256405</v>
      </c>
      <c r="DO102" s="13">
        <f>IF('Données projet'!$A$166&gt;35,DO101+DN102-DW101,IF(A102&lt;'Données projet'!$A$166,$DL$205^A102,IF(A102='Données projet'!$A$166,'Données projet'!$B$166,DO101+DN102-DW101)))</f>
        <v>397.69230769230717</v>
      </c>
      <c r="DP102" s="18">
        <f>DO102*VLOOKUP('Données projet'!$B$14,Paramètres!$A$1:$I$89,3,0)*VLOOKUP('Données projet'!$B$14,Paramètres!$A$1:$I$89,5,0)</f>
        <v>186.11999999999975</v>
      </c>
      <c r="DQ102" s="14">
        <f t="shared" si="97"/>
        <v>46.681112592689374</v>
      </c>
      <c r="DR102" s="22">
        <f t="shared" si="70"/>
        <v>405.46193776560017</v>
      </c>
      <c r="DS102" s="60">
        <f t="shared" si="71"/>
        <v>698.79527109893343</v>
      </c>
      <c r="DT102" s="60">
        <f ca="1">AVERAGE(OFFSET($DS$3,0,0,'Données projet'!$E$14+1,1))-AVERAGE(OFFSET($H$3,0,0,'Données projet'!$E$14+1,1))</f>
        <v>212.19771249416107</v>
      </c>
      <c r="DU102" s="60">
        <f t="shared" si="98"/>
        <v>125.93313963856127</v>
      </c>
      <c r="DV102" s="16">
        <f>IF(ISNA(VLOOKUP(A102,'Données projet'!$A$165:$I$185,3,0)),0,VLOOKUP(A102,'Données projet'!$A$165:$I$185,3,0))</f>
        <v>5</v>
      </c>
      <c r="DW102" s="16">
        <f>IF(ISNA(VLOOKUP(A102,'Données projet'!$A$165:$I$185,4,0)),0,VLOOKUP(A102,'Données projet'!$A$165:$I$185,4,0))</f>
        <v>198.46153846153845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27.299999999999976</v>
      </c>
      <c r="D103" s="12">
        <f t="shared" si="86"/>
        <v>8.5614116595512364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276.82493210881637</v>
      </c>
      <c r="H103" s="68">
        <f t="shared" si="56"/>
        <v>319.12529197371839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326.14919999999984</v>
      </c>
      <c r="P103" s="14">
        <f t="shared" si="87"/>
        <v>76.631393510479555</v>
      </c>
      <c r="Q103" s="22">
        <f t="shared" si="107"/>
        <v>701.50953369741819</v>
      </c>
      <c r="R103" s="60">
        <f t="shared" si="55"/>
        <v>994.84286703075145</v>
      </c>
      <c r="S103" s="60">
        <f ca="1">AVERAGE(OFFSET($R$3,0,0,'Données projet'!$E$9+1,1))-AVERAGE(OFFSET($H$3,0,0,'Données projet'!$E$9+1,1))</f>
        <v>455.09463986470064</v>
      </c>
      <c r="T103" s="60">
        <f t="shared" si="88"/>
        <v>266.42568447709669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1.4210854715202004E-13</v>
      </c>
      <c r="AJ103" s="14">
        <f>AI103*VLOOKUP('Données projet'!$B$10,Paramètres!$A$1:$I$89,3,0)*VLOOKUP('Données projet'!$B$10,Paramètres!$A$1:$I$89,5,0)</f>
        <v>1.2192913345643319E-13</v>
      </c>
      <c r="AK103" s="14">
        <f t="shared" si="89"/>
        <v>1.7899324464546674E-12</v>
      </c>
      <c r="AL103" s="22">
        <f t="shared" si="58"/>
        <v>3.3298255850118335E-12</v>
      </c>
      <c r="AM103" s="60">
        <f t="shared" si="59"/>
        <v>293.33333333333667</v>
      </c>
      <c r="AN103" s="60">
        <f ca="1">AVERAGE(OFFSET($AM$3,0,0,'Données projet'!$E$10+1,1))-AVERAGE(OFFSET($H$3,0,0,'Données projet'!$E$10+1,1))</f>
        <v>201.39673092164992</v>
      </c>
      <c r="AO103" s="60">
        <f t="shared" si="90"/>
        <v>278.95637851890405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-1.7053025658242404E-13</v>
      </c>
      <c r="BE103" s="14">
        <f>BD103*VLOOKUP('Données projet'!$B$11,Paramètres!$A$1:$I$89,3,0)*VLOOKUP('Données projet'!$B$11,Paramètres!$A$1:$I$89,5,0)</f>
        <v>-1.7025740817189217E-13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123.29894837876157</v>
      </c>
      <c r="BJ103" s="60">
        <f t="shared" si="92"/>
        <v>103.52963511757127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307.24199999999985</v>
      </c>
      <c r="CA103" s="14">
        <f t="shared" si="93"/>
        <v>72.692550770207774</v>
      </c>
      <c r="CB103" s="22">
        <f t="shared" si="64"/>
        <v>661.71934259144484</v>
      </c>
      <c r="CC103" s="60">
        <f t="shared" si="65"/>
        <v>955.05267592477821</v>
      </c>
      <c r="CD103" s="60">
        <f ca="1">AVERAGE(OFFSET($CC$3,0,0,'Données projet'!$E$12+1,1))-AVERAGE(OFFSET($H$3,0,0,'Données projet'!$E$12+1,1))</f>
        <v>428.49602929661046</v>
      </c>
      <c r="CE103" s="60">
        <f t="shared" si="94"/>
        <v>252.32489414103878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256.41025641025641</v>
      </c>
      <c r="CR103" s="13">
        <f>VLOOKUP(A103,'Données projet'!$A$139:$I$159,9,0)</f>
        <v>3.0769230769230775</v>
      </c>
      <c r="CS103" s="13">
        <f t="array" ref="CS103">INDEX(CR:CR,MIN(IF(ISNUMBER(CR103:CR299),ROW(CR103:CR299),"")))</f>
        <v>3.0769230769230775</v>
      </c>
      <c r="CT103" s="13">
        <f>IF('Données projet'!$A$140&gt;35,CT102+CS103-DB102,IF(A103&lt;'Données projet'!$A$140,$CQ$205^A103,IF(A103='Données projet'!$A$140,'Données projet'!$B$140,CT102+CS103-DB102)))</f>
        <v>256.41025641025647</v>
      </c>
      <c r="CU103" s="18">
        <f>CT103*VLOOKUP('Données projet'!$B$13,Paramètres!$A$1:$I$89,3,0)*VLOOKUP('Données projet'!$B$13,Paramètres!$A$1:$I$89,5,0)</f>
        <v>172.00000000000003</v>
      </c>
      <c r="CV103" s="14">
        <f t="shared" si="95"/>
        <v>43.537651685795808</v>
      </c>
      <c r="CW103" s="22">
        <f t="shared" si="67"/>
        <v>375.394743352761</v>
      </c>
      <c r="CX103" s="60">
        <f t="shared" si="68"/>
        <v>668.72807668609425</v>
      </c>
      <c r="CY103" s="60">
        <f ca="1">AVERAGE(OFFSET($CX$3,0,0,'Données projet'!$E$13+1,1))-AVERAGE(OFFSET($H$3,0,0,'Données projet'!$E$13+1,1))</f>
        <v>226.5873967387837</v>
      </c>
      <c r="CZ103" s="60">
        <f t="shared" si="96"/>
        <v>188.57459946241204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17.948717948717949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5.6923076923076907</v>
      </c>
      <c r="DO103" s="13">
        <f>IF('Données projet'!$A$166&gt;35,DO102+DN103-DW102,IF(A103&lt;'Données projet'!$A$166,$DL$205^A103,IF(A103='Données projet'!$A$166,'Données projet'!$B$166,DO102+DN103-DW102)))</f>
        <v>204.92307692307639</v>
      </c>
      <c r="DP103" s="18">
        <f>DO103*VLOOKUP('Données projet'!$B$14,Paramètres!$A$1:$I$89,3,0)*VLOOKUP('Données projet'!$B$14,Paramètres!$A$1:$I$89,5,0)</f>
        <v>95.903999999999741</v>
      </c>
      <c r="DQ103" s="14">
        <f t="shared" si="97"/>
        <v>25.983819565312803</v>
      </c>
      <c r="DR103" s="22">
        <f t="shared" si="70"/>
        <v>212.28795240958598</v>
      </c>
      <c r="DS103" s="60">
        <f t="shared" si="71"/>
        <v>505.62128574291933</v>
      </c>
      <c r="DT103" s="60">
        <f ca="1">AVERAGE(OFFSET($DS$3,0,0,'Données projet'!$E$14+1,1))-AVERAGE(OFFSET($H$3,0,0,'Données projet'!$E$14+1,1))</f>
        <v>212.19771249416107</v>
      </c>
      <c r="DU103" s="60">
        <f t="shared" si="98"/>
        <v>125.93313963856127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27.572999999999976</v>
      </c>
      <c r="D104" s="12">
        <f t="shared" si="86"/>
        <v>8.6370164284498845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279.51591628978844</v>
      </c>
      <c r="H104" s="68">
        <f t="shared" si="56"/>
        <v>319.73244527955018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285.67655999999977</v>
      </c>
      <c r="P104" s="14">
        <f t="shared" si="87"/>
        <v>68.165224308258956</v>
      </c>
      <c r="Q104" s="22">
        <f t="shared" si="107"/>
        <v>616.27444100355058</v>
      </c>
      <c r="R104" s="60">
        <f t="shared" si="55"/>
        <v>909.60777433688395</v>
      </c>
      <c r="S104" s="60">
        <f ca="1">AVERAGE(OFFSET($R$3,0,0,'Données projet'!$E$9+1,1))-AVERAGE(OFFSET($H$3,0,0,'Données projet'!$E$9+1,1))</f>
        <v>455.09463986470064</v>
      </c>
      <c r="T104" s="60">
        <f t="shared" si="88"/>
        <v>266.42568447709669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1.4210854715202004E-13</v>
      </c>
      <c r="AJ104" s="14">
        <f>AI104*VLOOKUP('Données projet'!$B$10,Paramètres!$A$1:$I$89,3,0)*VLOOKUP('Données projet'!$B$10,Paramètres!$A$1:$I$89,5,0)</f>
        <v>1.2192913345643319E-13</v>
      </c>
      <c r="AK104" s="14">
        <f t="shared" si="89"/>
        <v>1.7899324464546674E-12</v>
      </c>
      <c r="AL104" s="22">
        <f t="shared" si="58"/>
        <v>3.3298255850118335E-12</v>
      </c>
      <c r="AM104" s="60">
        <f t="shared" si="59"/>
        <v>293.33333333333667</v>
      </c>
      <c r="AN104" s="60">
        <f ca="1">AVERAGE(OFFSET($AM$3,0,0,'Données projet'!$E$10+1,1))-AVERAGE(OFFSET($H$3,0,0,'Données projet'!$E$10+1,1))</f>
        <v>201.39673092164992</v>
      </c>
      <c r="AO104" s="60">
        <f t="shared" si="90"/>
        <v>278.95637851890405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-1.7053025658242404E-13</v>
      </c>
      <c r="BE104" s="14">
        <f>BD104*VLOOKUP('Données projet'!$B$11,Paramètres!$A$1:$I$89,3,0)*VLOOKUP('Données projet'!$B$11,Paramètres!$A$1:$I$89,5,0)</f>
        <v>-1.7025740817189217E-13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123.29894837876157</v>
      </c>
      <c r="BJ104" s="60">
        <f t="shared" si="92"/>
        <v>103.52963511757127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269.1155999999998</v>
      </c>
      <c r="CA104" s="14">
        <f t="shared" si="93"/>
        <v>64.661541462287076</v>
      </c>
      <c r="CB104" s="22">
        <f t="shared" si="64"/>
        <v>581.3285213801496</v>
      </c>
      <c r="CC104" s="60">
        <f t="shared" si="65"/>
        <v>874.66185471348285</v>
      </c>
      <c r="CD104" s="60">
        <f ca="1">AVERAGE(OFFSET($CC$3,0,0,'Données projet'!$E$12+1,1))-AVERAGE(OFFSET($H$3,0,0,'Données projet'!$E$12+1,1))</f>
        <v>428.49602929661046</v>
      </c>
      <c r="CE104" s="60">
        <f t="shared" si="94"/>
        <v>252.32489414103878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2.9487179487179502</v>
      </c>
      <c r="CT104" s="13">
        <f>IF('Données projet'!$A$140&gt;35,CT103+CS104-DB103,IF(A104&lt;'Données projet'!$A$140,$CQ$205^A104,IF(A104='Données projet'!$A$140,'Données projet'!$B$140,CT103+CS104-DB103)))</f>
        <v>241.41025641025647</v>
      </c>
      <c r="CU104" s="18">
        <f>CT104*VLOOKUP('Données projet'!$B$13,Paramètres!$A$1:$I$89,3,0)*VLOOKUP('Données projet'!$B$13,Paramètres!$A$1:$I$89,5,0)</f>
        <v>161.93800000000005</v>
      </c>
      <c r="CV104" s="14">
        <f t="shared" si="95"/>
        <v>41.279329948855263</v>
      </c>
      <c r="CW104" s="22">
        <f t="shared" si="67"/>
        <v>353.93684966092297</v>
      </c>
      <c r="CX104" s="60">
        <f t="shared" si="68"/>
        <v>647.27018299425629</v>
      </c>
      <c r="CY104" s="60">
        <f ca="1">AVERAGE(OFFSET($CX$3,0,0,'Données projet'!$E$13+1,1))-AVERAGE(OFFSET($H$3,0,0,'Données projet'!$E$13+1,1))</f>
        <v>226.5873967387837</v>
      </c>
      <c r="CZ104" s="60">
        <f t="shared" si="96"/>
        <v>188.57459946241204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5.6923076923076907</v>
      </c>
      <c r="DO104" s="13">
        <f>IF('Données projet'!$A$166&gt;35,DO103+DN104-DW103,IF(A104&lt;'Données projet'!$A$166,$DL$205^A104,IF(A104='Données projet'!$A$166,'Données projet'!$B$166,DO103+DN104-DW103)))</f>
        <v>210.61538461538407</v>
      </c>
      <c r="DP104" s="18">
        <f>DO104*VLOOKUP('Données projet'!$B$14,Paramètres!$A$1:$I$89,3,0)*VLOOKUP('Données projet'!$B$14,Paramètres!$A$1:$I$89,5,0)</f>
        <v>98.567999999999756</v>
      </c>
      <c r="DQ104" s="14">
        <f t="shared" si="97"/>
        <v>26.620557442262673</v>
      </c>
      <c r="DR104" s="22">
        <f t="shared" si="70"/>
        <v>218.03673754527372</v>
      </c>
      <c r="DS104" s="60">
        <f t="shared" si="71"/>
        <v>511.37007087860707</v>
      </c>
      <c r="DT104" s="60">
        <f ca="1">AVERAGE(OFFSET($DS$3,0,0,'Données projet'!$E$14+1,1))-AVERAGE(OFFSET($H$3,0,0,'Données projet'!$E$14+1,1))</f>
        <v>212.19771249416107</v>
      </c>
      <c r="DU104" s="60">
        <f t="shared" si="98"/>
        <v>125.93313963856127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27.845999999999975</v>
      </c>
      <c r="D105" s="12">
        <f t="shared" si="86"/>
        <v>8.7125341134088181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282.20622824385742</v>
      </c>
      <c r="H105" s="68">
        <f t="shared" si="56"/>
        <v>320.33944691418702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290.41271999999975</v>
      </c>
      <c r="P105" s="14">
        <f t="shared" si="87"/>
        <v>69.162817905044719</v>
      </c>
      <c r="Q105" s="22">
        <f t="shared" si="107"/>
        <v>626.26072851795254</v>
      </c>
      <c r="R105" s="60">
        <f t="shared" si="55"/>
        <v>919.59406185128591</v>
      </c>
      <c r="S105" s="60">
        <f ca="1">AVERAGE(OFFSET($R$3,0,0,'Données projet'!$E$9+1,1))-AVERAGE(OFFSET($H$3,0,0,'Données projet'!$E$9+1,1))</f>
        <v>455.09463986470064</v>
      </c>
      <c r="T105" s="60">
        <f t="shared" si="88"/>
        <v>266.42568447709669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1.4210854715202004E-13</v>
      </c>
      <c r="AJ105" s="14">
        <f>AI105*VLOOKUP('Données projet'!$B$10,Paramètres!$A$1:$I$89,3,0)*VLOOKUP('Données projet'!$B$10,Paramètres!$A$1:$I$89,5,0)</f>
        <v>1.2192913345643319E-13</v>
      </c>
      <c r="AK105" s="14">
        <f t="shared" si="89"/>
        <v>1.7899324464546674E-12</v>
      </c>
      <c r="AL105" s="22">
        <f t="shared" si="58"/>
        <v>3.3298255850118335E-12</v>
      </c>
      <c r="AM105" s="60">
        <f t="shared" si="59"/>
        <v>293.33333333333667</v>
      </c>
      <c r="AN105" s="60">
        <f ca="1">AVERAGE(OFFSET($AM$3,0,0,'Données projet'!$E$10+1,1))-AVERAGE(OFFSET($H$3,0,0,'Données projet'!$E$10+1,1))</f>
        <v>201.39673092164992</v>
      </c>
      <c r="AO105" s="60">
        <f t="shared" si="90"/>
        <v>278.95637851890405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-1.7053025658242404E-13</v>
      </c>
      <c r="BE105" s="14">
        <f>BD105*VLOOKUP('Données projet'!$B$11,Paramètres!$A$1:$I$89,3,0)*VLOOKUP('Données projet'!$B$11,Paramètres!$A$1:$I$89,5,0)</f>
        <v>-1.7025740817189217E-13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123.29894837876157</v>
      </c>
      <c r="BJ105" s="60">
        <f t="shared" si="92"/>
        <v>103.52963511757127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273.57719999999978</v>
      </c>
      <c r="CA105" s="14">
        <f t="shared" si="93"/>
        <v>65.60785888991505</v>
      </c>
      <c r="CB105" s="22">
        <f t="shared" si="64"/>
        <v>590.74731089993509</v>
      </c>
      <c r="CC105" s="60">
        <f t="shared" si="65"/>
        <v>884.08064423326846</v>
      </c>
      <c r="CD105" s="60">
        <f ca="1">AVERAGE(OFFSET($CC$3,0,0,'Données projet'!$E$12+1,1))-AVERAGE(OFFSET($H$3,0,0,'Données projet'!$E$12+1,1))</f>
        <v>428.49602929661046</v>
      </c>
      <c r="CE105" s="60">
        <f t="shared" si="94"/>
        <v>252.32489414103878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2.9487179487179502</v>
      </c>
      <c r="CT105" s="13">
        <f>IF('Données projet'!$A$140&gt;35,CT104+CS105-DB104,IF(A105&lt;'Données projet'!$A$140,$CQ$205^A105,IF(A105='Données projet'!$A$140,'Données projet'!$B$140,CT104+CS105-DB104)))</f>
        <v>244.35897435897442</v>
      </c>
      <c r="CU105" s="18">
        <f>CT105*VLOOKUP('Données projet'!$B$13,Paramètres!$A$1:$I$89,3,0)*VLOOKUP('Données projet'!$B$13,Paramètres!$A$1:$I$89,5,0)</f>
        <v>163.91600000000005</v>
      </c>
      <c r="CV105" s="14">
        <f t="shared" si="95"/>
        <v>41.724533288653539</v>
      </c>
      <c r="CW105" s="22">
        <f t="shared" si="67"/>
        <v>358.15726214440497</v>
      </c>
      <c r="CX105" s="60">
        <f t="shared" si="68"/>
        <v>651.49059547773822</v>
      </c>
      <c r="CY105" s="60">
        <f ca="1">AVERAGE(OFFSET($CX$3,0,0,'Données projet'!$E$13+1,1))-AVERAGE(OFFSET($H$3,0,0,'Données projet'!$E$13+1,1))</f>
        <v>226.5873967387837</v>
      </c>
      <c r="CZ105" s="60">
        <f t="shared" si="96"/>
        <v>188.57459946241204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5.6923076923076907</v>
      </c>
      <c r="DO105" s="13">
        <f>IF('Données projet'!$A$166&gt;35,DO104+DN105-DW104,IF(A105&lt;'Données projet'!$A$166,$DL$205^A105,IF(A105='Données projet'!$A$166,'Données projet'!$B$166,DO104+DN105-DW104)))</f>
        <v>216.30769230769175</v>
      </c>
      <c r="DP105" s="18">
        <f>DO105*VLOOKUP('Données projet'!$B$14,Paramètres!$A$1:$I$89,3,0)*VLOOKUP('Données projet'!$B$14,Paramètres!$A$1:$I$89,5,0)</f>
        <v>101.23199999999974</v>
      </c>
      <c r="DQ105" s="14">
        <f t="shared" si="97"/>
        <v>27.255295066527388</v>
      </c>
      <c r="DR105" s="22">
        <f t="shared" si="70"/>
        <v>223.78203890753477</v>
      </c>
      <c r="DS105" s="60">
        <f t="shared" si="71"/>
        <v>517.11537224086806</v>
      </c>
      <c r="DT105" s="60">
        <f ca="1">AVERAGE(OFFSET($DS$3,0,0,'Données projet'!$E$14+1,1))-AVERAGE(OFFSET($H$3,0,0,'Données projet'!$E$14+1,1))</f>
        <v>212.19771249416107</v>
      </c>
      <c r="DU105" s="60">
        <f t="shared" si="98"/>
        <v>125.93313963856127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28.118999999999975</v>
      </c>
      <c r="D106" s="12">
        <f t="shared" si="86"/>
        <v>8.787965667057307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284.89587532465265</v>
      </c>
      <c r="H106" s="68">
        <f t="shared" si="56"/>
        <v>320.94629853679146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295.14887999999974</v>
      </c>
      <c r="P106" s="14">
        <f t="shared" si="87"/>
        <v>70.158519482479349</v>
      </c>
      <c r="Q106" s="22">
        <f t="shared" si="107"/>
        <v>636.24372076531768</v>
      </c>
      <c r="R106" s="60">
        <f t="shared" si="55"/>
        <v>929.57705409865093</v>
      </c>
      <c r="S106" s="60">
        <f ca="1">AVERAGE(OFFSET($R$3,0,0,'Données projet'!$E$9+1,1))-AVERAGE(OFFSET($H$3,0,0,'Données projet'!$E$9+1,1))</f>
        <v>455.09463986470064</v>
      </c>
      <c r="T106" s="60">
        <f t="shared" si="88"/>
        <v>266.42568447709669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1.4210854715202004E-13</v>
      </c>
      <c r="AJ106" s="14">
        <f>AI106*VLOOKUP('Données projet'!$B$10,Paramètres!$A$1:$I$89,3,0)*VLOOKUP('Données projet'!$B$10,Paramètres!$A$1:$I$89,5,0)</f>
        <v>1.2192913345643319E-13</v>
      </c>
      <c r="AK106" s="14">
        <f t="shared" si="89"/>
        <v>1.7899324464546674E-12</v>
      </c>
      <c r="AL106" s="22">
        <f t="shared" si="58"/>
        <v>3.3298255850118335E-12</v>
      </c>
      <c r="AM106" s="60">
        <f t="shared" si="59"/>
        <v>293.33333333333667</v>
      </c>
      <c r="AN106" s="60">
        <f ca="1">AVERAGE(OFFSET($AM$3,0,0,'Données projet'!$E$10+1,1))-AVERAGE(OFFSET($H$3,0,0,'Données projet'!$E$10+1,1))</f>
        <v>201.39673092164992</v>
      </c>
      <c r="AO106" s="60">
        <f t="shared" si="90"/>
        <v>278.95637851890405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-1.7053025658242404E-13</v>
      </c>
      <c r="BE106" s="14">
        <f>BD106*VLOOKUP('Données projet'!$B$11,Paramètres!$A$1:$I$89,3,0)*VLOOKUP('Données projet'!$B$11,Paramètres!$A$1:$I$89,5,0)</f>
        <v>-1.7025740817189217E-13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123.29894837876157</v>
      </c>
      <c r="BJ106" s="60">
        <f t="shared" si="92"/>
        <v>103.52963511757127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278.03879999999975</v>
      </c>
      <c r="CA106" s="14">
        <f t="shared" si="93"/>
        <v>66.552381547717744</v>
      </c>
      <c r="CB106" s="22">
        <f t="shared" si="64"/>
        <v>600.16297452894128</v>
      </c>
      <c r="CC106" s="60">
        <f t="shared" si="65"/>
        <v>893.49630786227453</v>
      </c>
      <c r="CD106" s="60">
        <f ca="1">AVERAGE(OFFSET($CC$3,0,0,'Données projet'!$E$12+1,1))-AVERAGE(OFFSET($H$3,0,0,'Données projet'!$E$12+1,1))</f>
        <v>428.49602929661046</v>
      </c>
      <c r="CE106" s="60">
        <f t="shared" si="94"/>
        <v>252.32489414103878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2.9487179487179502</v>
      </c>
      <c r="CT106" s="13">
        <f>IF('Données projet'!$A$140&gt;35,CT105+CS106-DB105,IF(A106&lt;'Données projet'!$A$140,$CQ$205^A106,IF(A106='Données projet'!$A$140,'Données projet'!$B$140,CT105+CS106-DB105)))</f>
        <v>247.30769230769238</v>
      </c>
      <c r="CU106" s="18">
        <f>CT106*VLOOKUP('Données projet'!$B$13,Paramètres!$A$1:$I$89,3,0)*VLOOKUP('Données projet'!$B$13,Paramètres!$A$1:$I$89,5,0)</f>
        <v>165.89400000000006</v>
      </c>
      <c r="CV106" s="14">
        <f t="shared" si="95"/>
        <v>42.169111711210569</v>
      </c>
      <c r="CW106" s="22">
        <f t="shared" si="67"/>
        <v>362.3765862303585</v>
      </c>
      <c r="CX106" s="60">
        <f t="shared" si="68"/>
        <v>655.70991956369176</v>
      </c>
      <c r="CY106" s="60">
        <f ca="1">AVERAGE(OFFSET($CX$3,0,0,'Données projet'!$E$13+1,1))-AVERAGE(OFFSET($H$3,0,0,'Données projet'!$E$13+1,1))</f>
        <v>226.5873967387837</v>
      </c>
      <c r="CZ106" s="60">
        <f t="shared" si="96"/>
        <v>188.57459946241204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5.6923076923076907</v>
      </c>
      <c r="DO106" s="13">
        <f>IF('Données projet'!$A$166&gt;35,DO105+DN106-DW105,IF(A106&lt;'Données projet'!$A$166,$DL$205^A106,IF(A106='Données projet'!$A$166,'Données projet'!$B$166,DO105+DN106-DW105)))</f>
        <v>221.99999999999943</v>
      </c>
      <c r="DP106" s="18">
        <f>DO106*VLOOKUP('Données projet'!$B$14,Paramètres!$A$1:$I$89,3,0)*VLOOKUP('Données projet'!$B$14,Paramètres!$A$1:$I$89,5,0)</f>
        <v>103.89599999999973</v>
      </c>
      <c r="DQ106" s="14">
        <f t="shared" si="97"/>
        <v>27.888091127225749</v>
      </c>
      <c r="DR106" s="22">
        <f t="shared" si="70"/>
        <v>229.52395871325101</v>
      </c>
      <c r="DS106" s="60">
        <f t="shared" si="71"/>
        <v>522.85729204658435</v>
      </c>
      <c r="DT106" s="60">
        <f ca="1">AVERAGE(OFFSET($DS$3,0,0,'Données projet'!$E$14+1,1))-AVERAGE(OFFSET($H$3,0,0,'Données projet'!$E$14+1,1))</f>
        <v>212.19771249416107</v>
      </c>
      <c r="DU106" s="60">
        <f t="shared" si="98"/>
        <v>125.93313963856127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28.391999999999975</v>
      </c>
      <c r="D107" s="12">
        <f t="shared" si="86"/>
        <v>8.8633120224605459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287.58486473478297</v>
      </c>
      <c r="H107" s="68">
        <f t="shared" si="56"/>
        <v>321.55300177245209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299.88503999999972</v>
      </c>
      <c r="P107" s="14">
        <f t="shared" si="87"/>
        <v>71.152362906464575</v>
      </c>
      <c r="Q107" s="22">
        <f t="shared" si="107"/>
        <v>646.22347672875867</v>
      </c>
      <c r="R107" s="60">
        <f t="shared" si="55"/>
        <v>939.55681006209193</v>
      </c>
      <c r="S107" s="60">
        <f ca="1">AVERAGE(OFFSET($R$3,0,0,'Données projet'!$E$9+1,1))-AVERAGE(OFFSET($H$3,0,0,'Données projet'!$E$9+1,1))</f>
        <v>455.09463986470064</v>
      </c>
      <c r="T107" s="60">
        <f t="shared" si="88"/>
        <v>266.42568447709669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1.4210854715202004E-13</v>
      </c>
      <c r="AJ107" s="14">
        <f>AI107*VLOOKUP('Données projet'!$B$10,Paramètres!$A$1:$I$89,3,0)*VLOOKUP('Données projet'!$B$10,Paramètres!$A$1:$I$89,5,0)</f>
        <v>1.2192913345643319E-13</v>
      </c>
      <c r="AK107" s="14">
        <f t="shared" si="89"/>
        <v>1.7899324464546674E-12</v>
      </c>
      <c r="AL107" s="22">
        <f t="shared" si="58"/>
        <v>3.3298255850118335E-12</v>
      </c>
      <c r="AM107" s="60">
        <f t="shared" si="59"/>
        <v>293.33333333333667</v>
      </c>
      <c r="AN107" s="60">
        <f ca="1">AVERAGE(OFFSET($AM$3,0,0,'Données projet'!$E$10+1,1))-AVERAGE(OFFSET($H$3,0,0,'Données projet'!$E$10+1,1))</f>
        <v>201.39673092164992</v>
      </c>
      <c r="AO107" s="60">
        <f t="shared" si="90"/>
        <v>278.95637851890405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-1.7053025658242404E-13</v>
      </c>
      <c r="BE107" s="14">
        <f>BD107*VLOOKUP('Données projet'!$B$11,Paramètres!$A$1:$I$89,3,0)*VLOOKUP('Données projet'!$B$11,Paramètres!$A$1:$I$89,5,0)</f>
        <v>-1.7025740817189217E-13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123.29894837876157</v>
      </c>
      <c r="BJ107" s="60">
        <f t="shared" si="92"/>
        <v>103.52963511757127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282.50039999999973</v>
      </c>
      <c r="CA107" s="14">
        <f t="shared" si="93"/>
        <v>67.495141560894311</v>
      </c>
      <c r="CB107" s="22">
        <f t="shared" si="64"/>
        <v>609.57556821855712</v>
      </c>
      <c r="CC107" s="60">
        <f t="shared" si="65"/>
        <v>902.90890155189049</v>
      </c>
      <c r="CD107" s="60">
        <f ca="1">AVERAGE(OFFSET($CC$3,0,0,'Données projet'!$E$12+1,1))-AVERAGE(OFFSET($H$3,0,0,'Données projet'!$E$12+1,1))</f>
        <v>428.49602929661046</v>
      </c>
      <c r="CE107" s="60">
        <f t="shared" si="94"/>
        <v>252.32489414103878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2.9487179487179502</v>
      </c>
      <c r="CT107" s="13">
        <f>IF('Données projet'!$A$140&gt;35,CT106+CS107-DB106,IF(A107&lt;'Données projet'!$A$140,$CQ$205^A107,IF(A107='Données projet'!$A$140,'Données projet'!$B$140,CT106+CS107-DB106)))</f>
        <v>250.25641025641033</v>
      </c>
      <c r="CU107" s="18">
        <f>CT107*VLOOKUP('Données projet'!$B$13,Paramètres!$A$1:$I$89,3,0)*VLOOKUP('Données projet'!$B$13,Paramètres!$A$1:$I$89,5,0)</f>
        <v>167.87200000000004</v>
      </c>
      <c r="CV107" s="14">
        <f t="shared" si="95"/>
        <v>42.613073529517067</v>
      </c>
      <c r="CW107" s="22">
        <f t="shared" si="67"/>
        <v>366.59483639724226</v>
      </c>
      <c r="CX107" s="60">
        <f t="shared" si="68"/>
        <v>659.92816973057552</v>
      </c>
      <c r="CY107" s="60">
        <f ca="1">AVERAGE(OFFSET($CX$3,0,0,'Données projet'!$E$13+1,1))-AVERAGE(OFFSET($H$3,0,0,'Données projet'!$E$13+1,1))</f>
        <v>226.5873967387837</v>
      </c>
      <c r="CZ107" s="60">
        <f t="shared" si="96"/>
        <v>188.57459946241204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5.6923076923076907</v>
      </c>
      <c r="DO107" s="13">
        <f>IF('Données projet'!$A$166&gt;35,DO106+DN107-DW106,IF(A107&lt;'Données projet'!$A$166,$DL$205^A107,IF(A107='Données projet'!$A$166,'Données projet'!$B$166,DO106+DN107-DW106)))</f>
        <v>227.69230769230711</v>
      </c>
      <c r="DP107" s="18">
        <f>DO107*VLOOKUP('Données projet'!$B$14,Paramètres!$A$1:$I$89,3,0)*VLOOKUP('Données projet'!$B$14,Paramètres!$A$1:$I$89,5,0)</f>
        <v>106.55999999999973</v>
      </c>
      <c r="DQ107" s="14">
        <f t="shared" si="97"/>
        <v>28.519001132310215</v>
      </c>
      <c r="DR107" s="22">
        <f t="shared" si="70"/>
        <v>235.26259363877315</v>
      </c>
      <c r="DS107" s="60">
        <f t="shared" si="71"/>
        <v>528.59592697210644</v>
      </c>
      <c r="DT107" s="60">
        <f ca="1">AVERAGE(OFFSET($DS$3,0,0,'Données projet'!$E$14+1,1))-AVERAGE(OFFSET($H$3,0,0,'Données projet'!$E$14+1,1))</f>
        <v>212.19771249416107</v>
      </c>
      <c r="DU107" s="60">
        <f t="shared" si="98"/>
        <v>125.93313963856127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28.664999999999974</v>
      </c>
      <c r="D108" s="12">
        <f t="shared" si="86"/>
        <v>8.9385740937055989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290.27320353035884</v>
      </c>
      <c r="H108" s="68">
        <f t="shared" si="56"/>
        <v>322.15955821320392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304.62119999999965</v>
      </c>
      <c r="P108" s="14">
        <f t="shared" si="87"/>
        <v>72.144380911839335</v>
      </c>
      <c r="Q108" s="22">
        <f t="shared" si="107"/>
        <v>656.20005342145294</v>
      </c>
      <c r="R108" s="60">
        <f t="shared" si="55"/>
        <v>949.53338675478631</v>
      </c>
      <c r="S108" s="60">
        <f ca="1">AVERAGE(OFFSET($R$3,0,0,'Données projet'!$E$9+1,1))-AVERAGE(OFFSET($H$3,0,0,'Données projet'!$E$9+1,1))</f>
        <v>455.09463986470064</v>
      </c>
      <c r="T108" s="60">
        <f t="shared" si="88"/>
        <v>266.42568447709669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1.4210854715202004E-13</v>
      </c>
      <c r="AJ108" s="14">
        <f>AI108*VLOOKUP('Données projet'!$B$10,Paramètres!$A$1:$I$89,3,0)*VLOOKUP('Données projet'!$B$10,Paramètres!$A$1:$I$89,5,0)</f>
        <v>1.2192913345643319E-13</v>
      </c>
      <c r="AK108" s="14">
        <f t="shared" si="89"/>
        <v>1.7899324464546674E-12</v>
      </c>
      <c r="AL108" s="22">
        <f t="shared" si="58"/>
        <v>3.3298255850118335E-12</v>
      </c>
      <c r="AM108" s="60">
        <f t="shared" si="59"/>
        <v>293.33333333333667</v>
      </c>
      <c r="AN108" s="60">
        <f ca="1">AVERAGE(OFFSET($AM$3,0,0,'Données projet'!$E$10+1,1))-AVERAGE(OFFSET($H$3,0,0,'Données projet'!$E$10+1,1))</f>
        <v>201.39673092164992</v>
      </c>
      <c r="AO108" s="60">
        <f t="shared" si="90"/>
        <v>278.95637851890405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-1.7053025658242404E-13</v>
      </c>
      <c r="BE108" s="14">
        <f>BD108*VLOOKUP('Données projet'!$B$11,Paramètres!$A$1:$I$89,3,0)*VLOOKUP('Données projet'!$B$11,Paramètres!$A$1:$I$89,5,0)</f>
        <v>-1.7025740817189217E-13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123.29894837876157</v>
      </c>
      <c r="BJ108" s="60">
        <f t="shared" si="92"/>
        <v>103.52963511757127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286.9619999999997</v>
      </c>
      <c r="CA108" s="14">
        <f t="shared" si="93"/>
        <v>68.436169981717796</v>
      </c>
      <c r="CB108" s="22">
        <f t="shared" si="64"/>
        <v>618.98514605149137</v>
      </c>
      <c r="CC108" s="60">
        <f t="shared" si="65"/>
        <v>912.31847938482474</v>
      </c>
      <c r="CD108" s="60">
        <f ca="1">AVERAGE(OFFSET($CC$3,0,0,'Données projet'!$E$12+1,1))-AVERAGE(OFFSET($H$3,0,0,'Données projet'!$E$12+1,1))</f>
        <v>428.49602929661046</v>
      </c>
      <c r="CE108" s="60">
        <f t="shared" si="94"/>
        <v>252.32489414103878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253.2051282051282</v>
      </c>
      <c r="CR108" s="13">
        <f>VLOOKUP(A108,'Données projet'!$A$139:$I$159,9,0)</f>
        <v>2.9487179487179502</v>
      </c>
      <c r="CS108" s="13">
        <f t="array" ref="CS108">INDEX(CR:CR,MIN(IF(ISNUMBER(CR108:CR304),ROW(CR108:CR304),"")))</f>
        <v>2.9487179487179502</v>
      </c>
      <c r="CT108" s="13">
        <f>IF('Données projet'!$A$140&gt;35,CT107+CS108-DB107,IF(A108&lt;'Données projet'!$A$140,$CQ$205^A108,IF(A108='Données projet'!$A$140,'Données projet'!$B$140,CT107+CS108-DB107)))</f>
        <v>253.20512820512829</v>
      </c>
      <c r="CU108" s="18">
        <f>CT108*VLOOKUP('Données projet'!$B$13,Paramètres!$A$1:$I$89,3,0)*VLOOKUP('Données projet'!$B$13,Paramètres!$A$1:$I$89,5,0)</f>
        <v>169.85000000000008</v>
      </c>
      <c r="CV108" s="14">
        <f t="shared" si="95"/>
        <v>43.056426849389901</v>
      </c>
      <c r="CW108" s="22">
        <f t="shared" si="67"/>
        <v>370.81202676268754</v>
      </c>
      <c r="CX108" s="60">
        <f t="shared" si="68"/>
        <v>664.1453600960208</v>
      </c>
      <c r="CY108" s="60">
        <f ca="1">AVERAGE(OFFSET($CX$3,0,0,'Données projet'!$E$13+1,1))-AVERAGE(OFFSET($H$3,0,0,'Données projet'!$E$13+1,1))</f>
        <v>226.5873967387837</v>
      </c>
      <c r="CZ108" s="60">
        <f t="shared" si="96"/>
        <v>188.57459946241204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5.6923076923076907</v>
      </c>
      <c r="DO108" s="13">
        <f>IF('Données projet'!$A$166&gt;35,DO107+DN108-DW107,IF(A108&lt;'Données projet'!$A$166,$DL$205^A108,IF(A108='Données projet'!$A$166,'Données projet'!$B$166,DO107+DN108-DW107)))</f>
        <v>233.38461538461479</v>
      </c>
      <c r="DP108" s="18">
        <f>DO108*VLOOKUP('Données projet'!$B$14,Paramètres!$A$1:$I$89,3,0)*VLOOKUP('Données projet'!$B$14,Paramètres!$A$1:$I$89,5,0)</f>
        <v>109.22399999999972</v>
      </c>
      <c r="DQ108" s="14">
        <f t="shared" si="97"/>
        <v>29.148077656155348</v>
      </c>
      <c r="DR108" s="22">
        <f t="shared" si="70"/>
        <v>240.99803525113671</v>
      </c>
      <c r="DS108" s="60">
        <f t="shared" si="71"/>
        <v>534.33136858447006</v>
      </c>
      <c r="DT108" s="60">
        <f ca="1">AVERAGE(OFFSET($DS$3,0,0,'Données projet'!$E$14+1,1))-AVERAGE(OFFSET($H$3,0,0,'Données projet'!$E$14+1,1))</f>
        <v>212.19771249416107</v>
      </c>
      <c r="DU108" s="60">
        <f t="shared" si="98"/>
        <v>125.93313963856127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28.937999999999974</v>
      </c>
      <c r="D109" s="12">
        <f t="shared" si="86"/>
        <v>9.0137527764644076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292.9608986253391</v>
      </c>
      <c r="H109" s="68">
        <f t="shared" si="56"/>
        <v>322.7659694190088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309.35735999999969</v>
      </c>
      <c r="P109" s="14">
        <f t="shared" si="87"/>
        <v>73.134605157142161</v>
      </c>
      <c r="Q109" s="22">
        <f t="shared" si="107"/>
        <v>666.17350598202211</v>
      </c>
      <c r="R109" s="60">
        <f t="shared" si="55"/>
        <v>959.50683931535536</v>
      </c>
      <c r="S109" s="60">
        <f ca="1">AVERAGE(OFFSET($R$3,0,0,'Données projet'!$E$9+1,1))-AVERAGE(OFFSET($H$3,0,0,'Données projet'!$E$9+1,1))</f>
        <v>455.09463986470064</v>
      </c>
      <c r="T109" s="60">
        <f t="shared" si="88"/>
        <v>266.42568447709669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1.4210854715202004E-13</v>
      </c>
      <c r="AJ109" s="14">
        <f>AI109*VLOOKUP('Données projet'!$B$10,Paramètres!$A$1:$I$89,3,0)*VLOOKUP('Données projet'!$B$10,Paramètres!$A$1:$I$89,5,0)</f>
        <v>1.2192913345643319E-13</v>
      </c>
      <c r="AK109" s="14">
        <f t="shared" si="89"/>
        <v>1.7899324464546674E-12</v>
      </c>
      <c r="AL109" s="22">
        <f t="shared" si="58"/>
        <v>3.3298255850118335E-12</v>
      </c>
      <c r="AM109" s="60">
        <f t="shared" si="59"/>
        <v>293.33333333333667</v>
      </c>
      <c r="AN109" s="60">
        <f ca="1">AVERAGE(OFFSET($AM$3,0,0,'Données projet'!$E$10+1,1))-AVERAGE(OFFSET($H$3,0,0,'Données projet'!$E$10+1,1))</f>
        <v>201.39673092164992</v>
      </c>
      <c r="AO109" s="60">
        <f t="shared" si="90"/>
        <v>278.95637851890405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-1.7053025658242404E-13</v>
      </c>
      <c r="BE109" s="14">
        <f>BD109*VLOOKUP('Données projet'!$B$11,Paramètres!$A$1:$I$89,3,0)*VLOOKUP('Données projet'!$B$11,Paramètres!$A$1:$I$89,5,0)</f>
        <v>-1.7025740817189217E-13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123.29894837876157</v>
      </c>
      <c r="BJ109" s="60">
        <f t="shared" si="92"/>
        <v>103.52963511757127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291.42359999999968</v>
      </c>
      <c r="CA109" s="14">
        <f t="shared" si="93"/>
        <v>69.375496841482104</v>
      </c>
      <c r="CB109" s="22">
        <f t="shared" si="64"/>
        <v>628.39176033224737</v>
      </c>
      <c r="CC109" s="60">
        <f t="shared" si="65"/>
        <v>921.72509366558074</v>
      </c>
      <c r="CD109" s="60">
        <f ca="1">AVERAGE(OFFSET($CC$3,0,0,'Données projet'!$E$12+1,1))-AVERAGE(OFFSET($H$3,0,0,'Données projet'!$E$12+1,1))</f>
        <v>428.49602929661046</v>
      </c>
      <c r="CE109" s="60">
        <f t="shared" si="94"/>
        <v>252.32489414103878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2.8205128205128234</v>
      </c>
      <c r="CT109" s="13">
        <f>IF('Données projet'!$A$140&gt;35,CT108+CS109-DB108,IF(A109&lt;'Données projet'!$A$140,$CQ$205^A109,IF(A109='Données projet'!$A$140,'Données projet'!$B$140,CT108+CS109-DB108)))</f>
        <v>256.02564102564111</v>
      </c>
      <c r="CU109" s="18">
        <f>CT109*VLOOKUP('Données projet'!$B$13,Paramètres!$A$1:$I$89,3,0)*VLOOKUP('Données projet'!$B$13,Paramètres!$A$1:$I$89,5,0)</f>
        <v>171.74200000000008</v>
      </c>
      <c r="CV109" s="14">
        <f t="shared" si="95"/>
        <v>43.479941841807872</v>
      </c>
      <c r="CW109" s="22">
        <f t="shared" si="67"/>
        <v>374.84488204114882</v>
      </c>
      <c r="CX109" s="60">
        <f t="shared" si="68"/>
        <v>668.17821537448208</v>
      </c>
      <c r="CY109" s="60">
        <f ca="1">AVERAGE(OFFSET($CX$3,0,0,'Données projet'!$E$13+1,1))-AVERAGE(OFFSET($H$3,0,0,'Données projet'!$E$13+1,1))</f>
        <v>226.5873967387837</v>
      </c>
      <c r="CZ109" s="60">
        <f t="shared" si="96"/>
        <v>188.57459946241204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5.6923076923076907</v>
      </c>
      <c r="DO109" s="13">
        <f>IF('Données projet'!$A$166&gt;35,DO108+DN109-DW108,IF(A109&lt;'Données projet'!$A$166,$DL$205^A109,IF(A109='Données projet'!$A$166,'Données projet'!$B$166,DO108+DN109-DW108)))</f>
        <v>239.07692307692247</v>
      </c>
      <c r="DP109" s="18">
        <f>DO109*VLOOKUP('Données projet'!$B$14,Paramètres!$A$1:$I$89,3,0)*VLOOKUP('Données projet'!$B$14,Paramètres!$A$1:$I$89,5,0)</f>
        <v>111.88799999999971</v>
      </c>
      <c r="DQ109" s="14">
        <f t="shared" si="97"/>
        <v>29.775370562311089</v>
      </c>
      <c r="DR109" s="22">
        <f t="shared" si="70"/>
        <v>246.73037039602465</v>
      </c>
      <c r="DS109" s="60">
        <f t="shared" si="71"/>
        <v>540.06370372935794</v>
      </c>
      <c r="DT109" s="60">
        <f ca="1">AVERAGE(OFFSET($DS$3,0,0,'Données projet'!$E$14+1,1))-AVERAGE(OFFSET($H$3,0,0,'Données projet'!$E$14+1,1))</f>
        <v>212.19771249416107</v>
      </c>
      <c r="DU109" s="60">
        <f t="shared" si="98"/>
        <v>125.93313963856127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29.210999999999974</v>
      </c>
      <c r="D110" s="12">
        <f t="shared" si="86"/>
        <v>9.0888489485349222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295.64795679570801</v>
      </c>
      <c r="H110" s="68">
        <f t="shared" si="56"/>
        <v>323.37223691869826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314.09351999999961</v>
      </c>
      <c r="P110" s="14">
        <f t="shared" si="87"/>
        <v>74.123066275924458</v>
      </c>
      <c r="Q110" s="22">
        <f t="shared" si="107"/>
        <v>676.14388776390103</v>
      </c>
      <c r="R110" s="60">
        <f t="shared" si="55"/>
        <v>969.47722109723441</v>
      </c>
      <c r="S110" s="60">
        <f ca="1">AVERAGE(OFFSET($R$3,0,0,'Données projet'!$E$9+1,1))-AVERAGE(OFFSET($H$3,0,0,'Données projet'!$E$9+1,1))</f>
        <v>455.09463986470064</v>
      </c>
      <c r="T110" s="60">
        <f t="shared" si="88"/>
        <v>266.42568447709669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1.4210854715202004E-13</v>
      </c>
      <c r="AJ110" s="14">
        <f>AI110*VLOOKUP('Données projet'!$B$10,Paramètres!$A$1:$I$89,3,0)*VLOOKUP('Données projet'!$B$10,Paramètres!$A$1:$I$89,5,0)</f>
        <v>1.2192913345643319E-13</v>
      </c>
      <c r="AK110" s="14">
        <f t="shared" si="89"/>
        <v>1.7899324464546674E-12</v>
      </c>
      <c r="AL110" s="22">
        <f t="shared" si="58"/>
        <v>3.3298255850118335E-12</v>
      </c>
      <c r="AM110" s="60">
        <f t="shared" si="59"/>
        <v>293.33333333333667</v>
      </c>
      <c r="AN110" s="60">
        <f ca="1">AVERAGE(OFFSET($AM$3,0,0,'Données projet'!$E$10+1,1))-AVERAGE(OFFSET($H$3,0,0,'Données projet'!$E$10+1,1))</f>
        <v>201.39673092164992</v>
      </c>
      <c r="AO110" s="60">
        <f t="shared" si="90"/>
        <v>278.95637851890405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-1.7053025658242404E-13</v>
      </c>
      <c r="BE110" s="14">
        <f>BD110*VLOOKUP('Données projet'!$B$11,Paramètres!$A$1:$I$89,3,0)*VLOOKUP('Données projet'!$B$11,Paramètres!$A$1:$I$89,5,0)</f>
        <v>-1.7025740817189217E-13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123.29894837876157</v>
      </c>
      <c r="BJ110" s="60">
        <f t="shared" si="92"/>
        <v>103.52963511757127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295.88519999999966</v>
      </c>
      <c r="CA110" s="14">
        <f t="shared" si="93"/>
        <v>70.313151199178748</v>
      </c>
      <c r="CB110" s="22">
        <f t="shared" si="64"/>
        <v>637.79546167190244</v>
      </c>
      <c r="CC110" s="60">
        <f t="shared" si="65"/>
        <v>931.12879500523582</v>
      </c>
      <c r="CD110" s="60">
        <f ca="1">AVERAGE(OFFSET($CC$3,0,0,'Données projet'!$E$12+1,1))-AVERAGE(OFFSET($H$3,0,0,'Données projet'!$E$12+1,1))</f>
        <v>428.49602929661046</v>
      </c>
      <c r="CE110" s="60">
        <f t="shared" si="94"/>
        <v>252.32489414103878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2.8205128205128234</v>
      </c>
      <c r="CT110" s="13">
        <f>IF('Données projet'!$A$140&gt;35,CT109+CS110-DB109,IF(A110&lt;'Données projet'!$A$140,$CQ$205^A110,IF(A110='Données projet'!$A$140,'Données projet'!$B$140,CT109+CS110-DB109)))</f>
        <v>258.84615384615392</v>
      </c>
      <c r="CU110" s="18">
        <f>CT110*VLOOKUP('Données projet'!$B$13,Paramètres!$A$1:$I$89,3,0)*VLOOKUP('Données projet'!$B$13,Paramètres!$A$1:$I$89,5,0)</f>
        <v>173.63400000000004</v>
      </c>
      <c r="CV110" s="14">
        <f t="shared" si="95"/>
        <v>43.902914087449936</v>
      </c>
      <c r="CW110" s="22">
        <f t="shared" si="67"/>
        <v>378.87679203564204</v>
      </c>
      <c r="CX110" s="60">
        <f t="shared" si="68"/>
        <v>672.21012536897535</v>
      </c>
      <c r="CY110" s="60">
        <f ca="1">AVERAGE(OFFSET($CX$3,0,0,'Données projet'!$E$13+1,1))-AVERAGE(OFFSET($H$3,0,0,'Données projet'!$E$13+1,1))</f>
        <v>226.5873967387837</v>
      </c>
      <c r="CZ110" s="60">
        <f t="shared" si="96"/>
        <v>188.57459946241204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5.6923076923076907</v>
      </c>
      <c r="DO110" s="13">
        <f>IF('Données projet'!$A$166&gt;35,DO109+DN110-DW109,IF(A110&lt;'Données projet'!$A$166,$DL$205^A110,IF(A110='Données projet'!$A$166,'Données projet'!$B$166,DO109+DN110-DW109)))</f>
        <v>244.76923076923015</v>
      </c>
      <c r="DP110" s="18">
        <f>DO110*VLOOKUP('Données projet'!$B$14,Paramètres!$A$1:$I$89,3,0)*VLOOKUP('Données projet'!$B$14,Paramètres!$A$1:$I$89,5,0)</f>
        <v>114.55199999999971</v>
      </c>
      <c r="DQ110" s="14">
        <f t="shared" si="97"/>
        <v>30.400927204443892</v>
      </c>
      <c r="DR110" s="22">
        <f t="shared" si="70"/>
        <v>252.45968154773928</v>
      </c>
      <c r="DS110" s="60">
        <f t="shared" si="71"/>
        <v>545.79301488107262</v>
      </c>
      <c r="DT110" s="60">
        <f ca="1">AVERAGE(OFFSET($DS$3,0,0,'Données projet'!$E$14+1,1))-AVERAGE(OFFSET($H$3,0,0,'Données projet'!$E$14+1,1))</f>
        <v>212.19771249416107</v>
      </c>
      <c r="DU110" s="60">
        <f t="shared" si="98"/>
        <v>125.93313963856127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29.483999999999973</v>
      </c>
      <c r="D111" s="12">
        <f t="shared" si="86"/>
        <v>9.163863470361429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298.33438468349146</v>
      </c>
      <c r="H111" s="68">
        <f t="shared" si="56"/>
        <v>323.97836221087948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318.8296799999996</v>
      </c>
      <c r="P111" s="14">
        <f t="shared" si="87"/>
        <v>75.109793924882112</v>
      </c>
      <c r="Q111" s="22">
        <f t="shared" si="107"/>
        <v>686.11125041916887</v>
      </c>
      <c r="R111" s="60">
        <f t="shared" si="55"/>
        <v>979.44458375250224</v>
      </c>
      <c r="S111" s="60">
        <f ca="1">AVERAGE(OFFSET($R$3,0,0,'Données projet'!$E$9+1,1))-AVERAGE(OFFSET($H$3,0,0,'Données projet'!$E$9+1,1))</f>
        <v>455.09463986470064</v>
      </c>
      <c r="T111" s="60">
        <f t="shared" si="88"/>
        <v>266.42568447709669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1.4210854715202004E-13</v>
      </c>
      <c r="AJ111" s="14">
        <f>AI111*VLOOKUP('Données projet'!$B$10,Paramètres!$A$1:$I$89,3,0)*VLOOKUP('Données projet'!$B$10,Paramètres!$A$1:$I$89,5,0)</f>
        <v>1.2192913345643319E-13</v>
      </c>
      <c r="AK111" s="14">
        <f t="shared" si="89"/>
        <v>1.7899324464546674E-12</v>
      </c>
      <c r="AL111" s="22">
        <f t="shared" si="58"/>
        <v>3.3298255850118335E-12</v>
      </c>
      <c r="AM111" s="60">
        <f t="shared" si="59"/>
        <v>293.33333333333667</v>
      </c>
      <c r="AN111" s="60">
        <f ca="1">AVERAGE(OFFSET($AM$3,0,0,'Données projet'!$E$10+1,1))-AVERAGE(OFFSET($H$3,0,0,'Données projet'!$E$10+1,1))</f>
        <v>201.39673092164992</v>
      </c>
      <c r="AO111" s="60">
        <f t="shared" si="90"/>
        <v>278.95637851890405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-1.7053025658242404E-13</v>
      </c>
      <c r="BE111" s="14">
        <f>BD111*VLOOKUP('Données projet'!$B$11,Paramètres!$A$1:$I$89,3,0)*VLOOKUP('Données projet'!$B$11,Paramètres!$A$1:$I$89,5,0)</f>
        <v>-1.7025740817189217E-13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123.29894837876157</v>
      </c>
      <c r="BJ111" s="60">
        <f t="shared" si="92"/>
        <v>103.52963511757127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300.34679999999963</v>
      </c>
      <c r="CA111" s="14">
        <f t="shared" si="93"/>
        <v>71.249161187153291</v>
      </c>
      <c r="CB111" s="22">
        <f t="shared" si="64"/>
        <v>647.19629906762464</v>
      </c>
      <c r="CC111" s="60">
        <f t="shared" si="65"/>
        <v>940.52963240095801</v>
      </c>
      <c r="CD111" s="60">
        <f ca="1">AVERAGE(OFFSET($CC$3,0,0,'Données projet'!$E$12+1,1))-AVERAGE(OFFSET($H$3,0,0,'Données projet'!$E$12+1,1))</f>
        <v>428.49602929661046</v>
      </c>
      <c r="CE111" s="60">
        <f t="shared" si="94"/>
        <v>252.32489414103878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2.8205128205128234</v>
      </c>
      <c r="CT111" s="13">
        <f>IF('Données projet'!$A$140&gt;35,CT110+CS111-DB110,IF(A111&lt;'Données projet'!$A$140,$CQ$205^A111,IF(A111='Données projet'!$A$140,'Données projet'!$B$140,CT110+CS111-DB110)))</f>
        <v>261.66666666666674</v>
      </c>
      <c r="CU111" s="18">
        <f>CT111*VLOOKUP('Données projet'!$B$13,Paramètres!$A$1:$I$89,3,0)*VLOOKUP('Données projet'!$B$13,Paramètres!$A$1:$I$89,5,0)</f>
        <v>175.52600000000004</v>
      </c>
      <c r="CV111" s="14">
        <f t="shared" si="95"/>
        <v>44.325350184817701</v>
      </c>
      <c r="CW111" s="22">
        <f t="shared" si="67"/>
        <v>382.90776823855754</v>
      </c>
      <c r="CX111" s="60">
        <f t="shared" si="68"/>
        <v>676.24110157189079</v>
      </c>
      <c r="CY111" s="60">
        <f ca="1">AVERAGE(OFFSET($CX$3,0,0,'Données projet'!$E$13+1,1))-AVERAGE(OFFSET($H$3,0,0,'Données projet'!$E$13+1,1))</f>
        <v>226.5873967387837</v>
      </c>
      <c r="CZ111" s="60">
        <f t="shared" si="96"/>
        <v>188.57459946241204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5.6923076923076907</v>
      </c>
      <c r="DO111" s="13">
        <f>IF('Données projet'!$A$166&gt;35,DO110+DN111-DW110,IF(A111&lt;'Données projet'!$A$166,$DL$205^A111,IF(A111='Données projet'!$A$166,'Données projet'!$B$166,DO110+DN111-DW110)))</f>
        <v>250.46153846153783</v>
      </c>
      <c r="DP111" s="18">
        <f>DO111*VLOOKUP('Données projet'!$B$14,Paramètres!$A$1:$I$89,3,0)*VLOOKUP('Données projet'!$B$14,Paramètres!$A$1:$I$89,5,0)</f>
        <v>117.21599999999971</v>
      </c>
      <c r="DQ111" s="14">
        <f t="shared" si="97"/>
        <v>31.024792608059023</v>
      </c>
      <c r="DR111" s="22">
        <f t="shared" si="70"/>
        <v>258.18604712570226</v>
      </c>
      <c r="DS111" s="60">
        <f t="shared" si="71"/>
        <v>551.51938045903557</v>
      </c>
      <c r="DT111" s="60">
        <f ca="1">AVERAGE(OFFSET($DS$3,0,0,'Données projet'!$E$14+1,1))-AVERAGE(OFFSET($H$3,0,0,'Données projet'!$E$14+1,1))</f>
        <v>212.19771249416107</v>
      </c>
      <c r="DU111" s="60">
        <f t="shared" si="98"/>
        <v>125.93313963856127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29.756999999999973</v>
      </c>
      <c r="D112" s="12">
        <f t="shared" si="86"/>
        <v>9.2387971855350592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301.02018880062127</v>
      </c>
      <c r="H112" s="68">
        <f t="shared" si="56"/>
        <v>324.58434676480687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323.56583999999958</v>
      </c>
      <c r="P112" s="14">
        <f t="shared" si="87"/>
        <v>76.094816829044248</v>
      </c>
      <c r="Q112" s="22">
        <f t="shared" si="107"/>
        <v>696.07564397725127</v>
      </c>
      <c r="R112" s="60">
        <f t="shared" si="55"/>
        <v>989.40897731058453</v>
      </c>
      <c r="S112" s="60">
        <f ca="1">AVERAGE(OFFSET($R$3,0,0,'Données projet'!$E$9+1,1))-AVERAGE(OFFSET($H$3,0,0,'Données projet'!$E$9+1,1))</f>
        <v>455.09463986470064</v>
      </c>
      <c r="T112" s="60">
        <f t="shared" si="88"/>
        <v>266.42568447709669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1.4210854715202004E-13</v>
      </c>
      <c r="AJ112" s="14">
        <f>AI112*VLOOKUP('Données projet'!$B$10,Paramètres!$A$1:$I$89,3,0)*VLOOKUP('Données projet'!$B$10,Paramètres!$A$1:$I$89,5,0)</f>
        <v>1.2192913345643319E-13</v>
      </c>
      <c r="AK112" s="14">
        <f t="shared" si="89"/>
        <v>1.7899324464546674E-12</v>
      </c>
      <c r="AL112" s="22">
        <f t="shared" si="58"/>
        <v>3.3298255850118335E-12</v>
      </c>
      <c r="AM112" s="60">
        <f t="shared" si="59"/>
        <v>293.33333333333667</v>
      </c>
      <c r="AN112" s="60">
        <f ca="1">AVERAGE(OFFSET($AM$3,0,0,'Données projet'!$E$10+1,1))-AVERAGE(OFFSET($H$3,0,0,'Données projet'!$E$10+1,1))</f>
        <v>201.39673092164992</v>
      </c>
      <c r="AO112" s="60">
        <f t="shared" si="90"/>
        <v>278.95637851890405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-1.7053025658242404E-13</v>
      </c>
      <c r="BE112" s="14">
        <f>BD112*VLOOKUP('Données projet'!$B$11,Paramètres!$A$1:$I$89,3,0)*VLOOKUP('Données projet'!$B$11,Paramètres!$A$1:$I$89,5,0)</f>
        <v>-1.7025740817189217E-13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123.29894837876157</v>
      </c>
      <c r="BJ112" s="60">
        <f t="shared" si="92"/>
        <v>103.52963511757127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304.80839999999961</v>
      </c>
      <c r="CA112" s="14">
        <f t="shared" si="93"/>
        <v>72.183554053972728</v>
      </c>
      <c r="CB112" s="22">
        <f t="shared" si="64"/>
        <v>656.59431997733509</v>
      </c>
      <c r="CC112" s="60">
        <f t="shared" si="65"/>
        <v>949.92765331066835</v>
      </c>
      <c r="CD112" s="60">
        <f ca="1">AVERAGE(OFFSET($CC$3,0,0,'Données projet'!$E$12+1,1))-AVERAGE(OFFSET($H$3,0,0,'Données projet'!$E$12+1,1))</f>
        <v>428.49602929661046</v>
      </c>
      <c r="CE112" s="60">
        <f t="shared" si="94"/>
        <v>252.32489414103878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2.8205128205128234</v>
      </c>
      <c r="CT112" s="13">
        <f>IF('Données projet'!$A$140&gt;35,CT111+CS112-DB111,IF(A112&lt;'Données projet'!$A$140,$CQ$205^A112,IF(A112='Données projet'!$A$140,'Données projet'!$B$140,CT111+CS112-DB111)))</f>
        <v>264.48717948717956</v>
      </c>
      <c r="CU112" s="18">
        <f>CT112*VLOOKUP('Données projet'!$B$13,Paramètres!$A$1:$I$89,3,0)*VLOOKUP('Données projet'!$B$13,Paramètres!$A$1:$I$89,5,0)</f>
        <v>177.41800000000006</v>
      </c>
      <c r="CV112" s="14">
        <f t="shared" si="95"/>
        <v>44.747256581968685</v>
      </c>
      <c r="CW112" s="22">
        <f t="shared" si="67"/>
        <v>386.93782188026222</v>
      </c>
      <c r="CX112" s="60">
        <f t="shared" si="68"/>
        <v>680.27115521359553</v>
      </c>
      <c r="CY112" s="60">
        <f ca="1">AVERAGE(OFFSET($CX$3,0,0,'Données projet'!$E$13+1,1))-AVERAGE(OFFSET($H$3,0,0,'Données projet'!$E$13+1,1))</f>
        <v>226.5873967387837</v>
      </c>
      <c r="CZ112" s="60">
        <f t="shared" si="96"/>
        <v>188.57459946241204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>
        <f>VLOOKUP(A112,'Données projet'!$A$165:$I$185,2,0)</f>
        <v>256.15384615384613</v>
      </c>
      <c r="DM112" s="13">
        <f>VLOOKUP(A112,'Données projet'!$A$165:$I$185,9,0)</f>
        <v>5.6923076923076907</v>
      </c>
      <c r="DN112" s="13">
        <f t="array" ref="DN112">INDEX(DM:DM,MIN(IF(ISNUMBER(DM112:DM308),ROW(DM112:DM308),"")))</f>
        <v>5.6923076923076907</v>
      </c>
      <c r="DO112" s="13">
        <f>IF('Données projet'!$A$166&gt;35,DO111+DN112-DW111,IF(A112&lt;'Données projet'!$A$166,$DL$205^A112,IF(A112='Données projet'!$A$166,'Données projet'!$B$166,DO111+DN112-DW111)))</f>
        <v>256.15384615384551</v>
      </c>
      <c r="DP112" s="18">
        <f>DO112*VLOOKUP('Données projet'!$B$14,Paramètres!$A$1:$I$89,3,0)*VLOOKUP('Données projet'!$B$14,Paramètres!$A$1:$I$89,5,0)</f>
        <v>119.8799999999997</v>
      </c>
      <c r="DQ112" s="14">
        <f t="shared" si="97"/>
        <v>31.647009635236898</v>
      </c>
      <c r="DR112" s="22">
        <f t="shared" si="70"/>
        <v>263.90954178137036</v>
      </c>
      <c r="DS112" s="60">
        <f t="shared" si="71"/>
        <v>557.24287511470368</v>
      </c>
      <c r="DT112" s="60">
        <f ca="1">AVERAGE(OFFSET($DS$3,0,0,'Données projet'!$E$14+1,1))-AVERAGE(OFFSET($H$3,0,0,'Données projet'!$E$14+1,1))</f>
        <v>212.19771249416107</v>
      </c>
      <c r="DU112" s="60">
        <f t="shared" si="98"/>
        <v>125.93313963856127</v>
      </c>
      <c r="DV112" s="16">
        <f>IF(ISNA(VLOOKUP(A112,'Données projet'!$A$165:$I$185,3,0)),0,VLOOKUP(A112,'Données projet'!$A$165:$I$185,3,0))</f>
        <v>6</v>
      </c>
      <c r="DW112" s="16">
        <f>IF(ISNA(VLOOKUP(A112,'Données projet'!$A$165:$I$185,4,0)),0,VLOOKUP(A112,'Données projet'!$A$165:$I$185,4,0))</f>
        <v>256.15384615384613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30.029999999999973</v>
      </c>
      <c r="D113" s="12">
        <f t="shared" si="86"/>
        <v>9.3136509212754071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303.70537553265211</v>
      </c>
      <c r="H113" s="68">
        <f t="shared" si="56"/>
        <v>325.19019202122132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328.30199999999957</v>
      </c>
      <c r="P113" s="14">
        <f t="shared" si="87"/>
        <v>77.078162824242781</v>
      </c>
      <c r="Q113" s="22">
        <f t="shared" si="107"/>
        <v>706.03711691888873</v>
      </c>
      <c r="R113" s="60">
        <f t="shared" si="55"/>
        <v>999.3704502522221</v>
      </c>
      <c r="S113" s="60">
        <f ca="1">AVERAGE(OFFSET($R$3,0,0,'Données projet'!$E$9+1,1))-AVERAGE(OFFSET($H$3,0,0,'Données projet'!$E$9+1,1))</f>
        <v>455.09463986470064</v>
      </c>
      <c r="T113" s="60">
        <f t="shared" si="88"/>
        <v>266.42568447709669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1.4210854715202004E-13</v>
      </c>
      <c r="AJ113" s="14">
        <f>AI113*VLOOKUP('Données projet'!$B$10,Paramètres!$A$1:$I$89,3,0)*VLOOKUP('Données projet'!$B$10,Paramètres!$A$1:$I$89,5,0)</f>
        <v>1.2192913345643319E-13</v>
      </c>
      <c r="AK113" s="14">
        <f t="shared" si="89"/>
        <v>1.7899324464546674E-12</v>
      </c>
      <c r="AL113" s="22">
        <f t="shared" si="58"/>
        <v>3.3298255850118335E-12</v>
      </c>
      <c r="AM113" s="60">
        <f t="shared" si="59"/>
        <v>293.33333333333667</v>
      </c>
      <c r="AN113" s="60">
        <f ca="1">AVERAGE(OFFSET($AM$3,0,0,'Données projet'!$E$10+1,1))-AVERAGE(OFFSET($H$3,0,0,'Données projet'!$E$10+1,1))</f>
        <v>201.39673092164992</v>
      </c>
      <c r="AO113" s="60">
        <f t="shared" si="90"/>
        <v>278.95637851890405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-1.7053025658242404E-13</v>
      </c>
      <c r="BE113" s="14">
        <f>BD113*VLOOKUP('Données projet'!$B$11,Paramètres!$A$1:$I$89,3,0)*VLOOKUP('Données projet'!$B$11,Paramètres!$A$1:$I$89,5,0)</f>
        <v>-1.7025740817189217E-13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123.29894837876157</v>
      </c>
      <c r="BJ113" s="60">
        <f t="shared" si="92"/>
        <v>103.52963511757127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309.26999999999958</v>
      </c>
      <c r="CA113" s="14">
        <f t="shared" si="93"/>
        <v>73.116356204710968</v>
      </c>
      <c r="CB113" s="22">
        <f t="shared" si="64"/>
        <v>665.98957038987078</v>
      </c>
      <c r="CC113" s="60">
        <f t="shared" si="65"/>
        <v>959.32290372320404</v>
      </c>
      <c r="CD113" s="60">
        <f ca="1">AVERAGE(OFFSET($CC$3,0,0,'Données projet'!$E$12+1,1))-AVERAGE(OFFSET($H$3,0,0,'Données projet'!$E$12+1,1))</f>
        <v>428.49602929661046</v>
      </c>
      <c r="CE113" s="60">
        <f t="shared" si="94"/>
        <v>252.32489414103878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267.30769230769232</v>
      </c>
      <c r="CR113" s="13">
        <f>VLOOKUP(A113,'Données projet'!$A$139:$I$159,9,0)</f>
        <v>2.8205128205128234</v>
      </c>
      <c r="CS113" s="13">
        <f t="array" ref="CS113">INDEX(CR:CR,MIN(IF(ISNUMBER(CR113:CR309),ROW(CR113:CR309),"")))</f>
        <v>2.8205128205128234</v>
      </c>
      <c r="CT113" s="13">
        <f>IF('Données projet'!$A$140&gt;35,CT112+CS113-DB112,IF(A113&lt;'Données projet'!$A$140,$CQ$205^A113,IF(A113='Données projet'!$A$140,'Données projet'!$B$140,CT112+CS113-DB112)))</f>
        <v>267.30769230769238</v>
      </c>
      <c r="CU113" s="18">
        <f>CT113*VLOOKUP('Données projet'!$B$13,Paramètres!$A$1:$I$89,3,0)*VLOOKUP('Données projet'!$B$13,Paramètres!$A$1:$I$89,5,0)</f>
        <v>179.31000000000006</v>
      </c>
      <c r="CV113" s="14">
        <f t="shared" si="95"/>
        <v>45.168639581513062</v>
      </c>
      <c r="CW113" s="22">
        <f t="shared" si="67"/>
        <v>390.96696393780195</v>
      </c>
      <c r="CX113" s="60">
        <f t="shared" si="68"/>
        <v>684.30029727113526</v>
      </c>
      <c r="CY113" s="60">
        <f ca="1">AVERAGE(OFFSET($CX$3,0,0,'Données projet'!$E$13+1,1))-AVERAGE(OFFSET($H$3,0,0,'Données projet'!$E$13+1,1))</f>
        <v>226.5873967387837</v>
      </c>
      <c r="CZ113" s="60">
        <f t="shared" si="96"/>
        <v>188.57459946241204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267.30769230769232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-6.2527760746888816E-13</v>
      </c>
      <c r="DP113" s="18">
        <f>DO113*VLOOKUP('Données projet'!$B$14,Paramètres!$A$1:$I$89,3,0)*VLOOKUP('Données projet'!$B$14,Paramètres!$A$1:$I$89,5,0)</f>
        <v>-2.9262992029543964E-13</v>
      </c>
      <c r="DQ113" s="14" t="e">
        <f t="shared" si="97"/>
        <v>#NUM!</v>
      </c>
      <c r="DR113" s="22" t="e">
        <f t="shared" si="70"/>
        <v>#NUM!</v>
      </c>
      <c r="DS113" s="60" t="e">
        <f t="shared" si="71"/>
        <v>#NUM!</v>
      </c>
      <c r="DT113" s="60">
        <f ca="1">AVERAGE(OFFSET($DS$3,0,0,'Données projet'!$E$14+1,1))-AVERAGE(OFFSET($H$3,0,0,'Données projet'!$E$14+1,1))</f>
        <v>212.19771249416107</v>
      </c>
      <c r="DU113" s="60">
        <f t="shared" si="98"/>
        <v>125.93313963856127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30.302999999999972</v>
      </c>
      <c r="D114" s="12">
        <f t="shared" si="86"/>
        <v>9.3884254888941374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306.38995114234052</v>
      </c>
      <c r="H114" s="68">
        <f t="shared" si="56"/>
        <v>325.79589939315724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290.30507999999958</v>
      </c>
      <c r="P114" s="14">
        <f t="shared" si="87"/>
        <v>69.140166465323375</v>
      </c>
      <c r="Q114" s="22">
        <f t="shared" si="107"/>
        <v>626.03380426043748</v>
      </c>
      <c r="R114" s="60">
        <f t="shared" si="55"/>
        <v>919.36713759377085</v>
      </c>
      <c r="S114" s="60">
        <f ca="1">AVERAGE(OFFSET($R$3,0,0,'Données projet'!$E$9+1,1))-AVERAGE(OFFSET($H$3,0,0,'Données projet'!$E$9+1,1))</f>
        <v>455.09463986470064</v>
      </c>
      <c r="T114" s="60">
        <f t="shared" si="88"/>
        <v>266.42568447709669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1.4210854715202004E-13</v>
      </c>
      <c r="AJ114" s="14">
        <f>AI114*VLOOKUP('Données projet'!$B$10,Paramètres!$A$1:$I$89,3,0)*VLOOKUP('Données projet'!$B$10,Paramètres!$A$1:$I$89,5,0)</f>
        <v>1.2192913345643319E-13</v>
      </c>
      <c r="AK114" s="14">
        <f t="shared" si="89"/>
        <v>1.7899324464546674E-12</v>
      </c>
      <c r="AL114" s="22">
        <f t="shared" si="58"/>
        <v>3.3298255850118335E-12</v>
      </c>
      <c r="AM114" s="60">
        <f t="shared" si="59"/>
        <v>293.33333333333667</v>
      </c>
      <c r="AN114" s="60">
        <f ca="1">AVERAGE(OFFSET($AM$3,0,0,'Données projet'!$E$10+1,1))-AVERAGE(OFFSET($H$3,0,0,'Données projet'!$E$10+1,1))</f>
        <v>201.39673092164992</v>
      </c>
      <c r="AO114" s="60">
        <f t="shared" si="90"/>
        <v>278.95637851890405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-1.7053025658242404E-13</v>
      </c>
      <c r="BE114" s="14">
        <f>BD114*VLOOKUP('Données projet'!$B$11,Paramètres!$A$1:$I$89,3,0)*VLOOKUP('Données projet'!$B$11,Paramètres!$A$1:$I$89,5,0)</f>
        <v>-1.7025740817189217E-13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123.29894837876157</v>
      </c>
      <c r="BJ114" s="60">
        <f t="shared" si="92"/>
        <v>103.52963511757127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273.47579999999959</v>
      </c>
      <c r="CA114" s="14">
        <f t="shared" si="93"/>
        <v>65.586371730977532</v>
      </c>
      <c r="CB114" s="22">
        <f t="shared" si="64"/>
        <v>590.53328243145177</v>
      </c>
      <c r="CC114" s="60">
        <f t="shared" si="65"/>
        <v>883.86661576478514</v>
      </c>
      <c r="CD114" s="60">
        <f ca="1">AVERAGE(OFFSET($CC$3,0,0,'Données projet'!$E$12+1,1))-AVERAGE(OFFSET($H$3,0,0,'Données projet'!$E$12+1,1))</f>
        <v>428.49602929661046</v>
      </c>
      <c r="CE114" s="60">
        <f t="shared" si="94"/>
        <v>252.32489414103878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3.813056537183002E-14</v>
      </c>
      <c r="CV114" s="14">
        <f t="shared" si="95"/>
        <v>6.4086286045526829E-13</v>
      </c>
      <c r="CW114" s="22">
        <f t="shared" si="67"/>
        <v>1.1825802166488628E-12</v>
      </c>
      <c r="CX114" s="60">
        <f t="shared" si="68"/>
        <v>293.33333333333451</v>
      </c>
      <c r="CY114" s="60">
        <f ca="1">AVERAGE(OFFSET($CX$3,0,0,'Données projet'!$E$13+1,1))-AVERAGE(OFFSET($H$3,0,0,'Données projet'!$E$13+1,1))</f>
        <v>226.5873967387837</v>
      </c>
      <c r="CZ114" s="60">
        <f t="shared" si="96"/>
        <v>188.57459946241204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-6.2527760746888816E-13</v>
      </c>
      <c r="DP114" s="18">
        <f>DO114*VLOOKUP('Données projet'!$B$14,Paramètres!$A$1:$I$89,3,0)*VLOOKUP('Données projet'!$B$14,Paramètres!$A$1:$I$89,5,0)</f>
        <v>-2.9262992029543964E-13</v>
      </c>
      <c r="DQ114" s="14" t="e">
        <f t="shared" si="97"/>
        <v>#NUM!</v>
      </c>
      <c r="DR114" s="22" t="e">
        <f t="shared" si="70"/>
        <v>#NUM!</v>
      </c>
      <c r="DS114" s="60" t="e">
        <f t="shared" si="71"/>
        <v>#NUM!</v>
      </c>
      <c r="DT114" s="60">
        <f ca="1">AVERAGE(OFFSET($DS$3,0,0,'Données projet'!$E$14+1,1))-AVERAGE(OFFSET($H$3,0,0,'Données projet'!$E$14+1,1))</f>
        <v>212.19771249416107</v>
      </c>
      <c r="DU114" s="60">
        <f t="shared" si="98"/>
        <v>125.93313963856127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30.575999999999972</v>
      </c>
      <c r="D115" s="12">
        <f t="shared" si="86"/>
        <v>9.4631216842413792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309.07392177309117</v>
      </c>
      <c r="H115" s="68">
        <f t="shared" si="56"/>
        <v>326.40147026672037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294.28775999999954</v>
      </c>
      <c r="P115" s="14">
        <f t="shared" si="87"/>
        <v>69.977622018717668</v>
      </c>
      <c r="Q115" s="22">
        <f t="shared" si="107"/>
        <v>634.42887368259915</v>
      </c>
      <c r="R115" s="60">
        <f t="shared" si="55"/>
        <v>927.76220701593252</v>
      </c>
      <c r="S115" s="60">
        <f ca="1">AVERAGE(OFFSET($R$3,0,0,'Données projet'!$E$9+1,1))-AVERAGE(OFFSET($H$3,0,0,'Données projet'!$E$9+1,1))</f>
        <v>455.09463986470064</v>
      </c>
      <c r="T115" s="60">
        <f t="shared" si="88"/>
        <v>266.42568447709669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1.4210854715202004E-13</v>
      </c>
      <c r="AJ115" s="14">
        <f>AI115*VLOOKUP('Données projet'!$B$10,Paramètres!$A$1:$I$89,3,0)*VLOOKUP('Données projet'!$B$10,Paramètres!$A$1:$I$89,5,0)</f>
        <v>1.2192913345643319E-13</v>
      </c>
      <c r="AK115" s="14">
        <f t="shared" si="89"/>
        <v>1.7899324464546674E-12</v>
      </c>
      <c r="AL115" s="22">
        <f t="shared" si="58"/>
        <v>3.3298255850118335E-12</v>
      </c>
      <c r="AM115" s="60">
        <f t="shared" si="59"/>
        <v>293.33333333333667</v>
      </c>
      <c r="AN115" s="60">
        <f ca="1">AVERAGE(OFFSET($AM$3,0,0,'Données projet'!$E$10+1,1))-AVERAGE(OFFSET($H$3,0,0,'Données projet'!$E$10+1,1))</f>
        <v>201.39673092164992</v>
      </c>
      <c r="AO115" s="60">
        <f t="shared" si="90"/>
        <v>278.95637851890405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-1.7053025658242404E-13</v>
      </c>
      <c r="BE115" s="14">
        <f>BD115*VLOOKUP('Données projet'!$B$11,Paramètres!$A$1:$I$89,3,0)*VLOOKUP('Données projet'!$B$11,Paramètres!$A$1:$I$89,5,0)</f>
        <v>-1.7025740817189217E-13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123.29894837876157</v>
      </c>
      <c r="BJ115" s="60">
        <f t="shared" si="92"/>
        <v>103.52963511757127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277.2275999999996</v>
      </c>
      <c r="CA115" s="14">
        <f t="shared" si="93"/>
        <v>66.380782187895392</v>
      </c>
      <c r="CB115" s="22">
        <f t="shared" si="64"/>
        <v>598.45126564391705</v>
      </c>
      <c r="CC115" s="60">
        <f t="shared" si="65"/>
        <v>891.78459897725043</v>
      </c>
      <c r="CD115" s="60">
        <f ca="1">AVERAGE(OFFSET($CC$3,0,0,'Données projet'!$E$12+1,1))-AVERAGE(OFFSET($H$3,0,0,'Données projet'!$E$12+1,1))</f>
        <v>428.49602929661046</v>
      </c>
      <c r="CE115" s="60">
        <f t="shared" si="94"/>
        <v>252.32489414103878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3.813056537183002E-14</v>
      </c>
      <c r="CV115" s="14">
        <f t="shared" si="95"/>
        <v>6.4086286045526829E-13</v>
      </c>
      <c r="CW115" s="22">
        <f t="shared" si="67"/>
        <v>1.1825802166488628E-12</v>
      </c>
      <c r="CX115" s="60">
        <f t="shared" si="68"/>
        <v>293.33333333333451</v>
      </c>
      <c r="CY115" s="60">
        <f ca="1">AVERAGE(OFFSET($CX$3,0,0,'Données projet'!$E$13+1,1))-AVERAGE(OFFSET($H$3,0,0,'Données projet'!$E$13+1,1))</f>
        <v>226.5873967387837</v>
      </c>
      <c r="CZ115" s="60">
        <f t="shared" si="96"/>
        <v>188.57459946241204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-6.2527760746888816E-13</v>
      </c>
      <c r="DP115" s="18">
        <f>DO115*VLOOKUP('Données projet'!$B$14,Paramètres!$A$1:$I$89,3,0)*VLOOKUP('Données projet'!$B$14,Paramètres!$A$1:$I$89,5,0)</f>
        <v>-2.9262992029543964E-13</v>
      </c>
      <c r="DQ115" s="14" t="e">
        <f t="shared" si="97"/>
        <v>#NUM!</v>
      </c>
      <c r="DR115" s="22" t="e">
        <f t="shared" si="70"/>
        <v>#NUM!</v>
      </c>
      <c r="DS115" s="60" t="e">
        <f t="shared" si="71"/>
        <v>#NUM!</v>
      </c>
      <c r="DT115" s="60">
        <f ca="1">AVERAGE(OFFSET($DS$3,0,0,'Données projet'!$E$14+1,1))-AVERAGE(OFFSET($H$3,0,0,'Données projet'!$E$14+1,1))</f>
        <v>212.19771249416107</v>
      </c>
      <c r="DU115" s="60">
        <f t="shared" si="98"/>
        <v>125.93313963856127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30.848999999999972</v>
      </c>
      <c r="D116" s="12">
        <f t="shared" si="86"/>
        <v>9.5377402881357707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311.75729345227592</v>
      </c>
      <c r="H116" s="68">
        <f t="shared" si="56"/>
        <v>327.00690600183646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298.27043999999955</v>
      </c>
      <c r="P116" s="14">
        <f t="shared" si="87"/>
        <v>70.813759345855914</v>
      </c>
      <c r="Q116" s="22">
        <f t="shared" si="107"/>
        <v>642.82164719403158</v>
      </c>
      <c r="R116" s="60">
        <f t="shared" si="55"/>
        <v>936.15498052736484</v>
      </c>
      <c r="S116" s="60">
        <f ca="1">AVERAGE(OFFSET($R$3,0,0,'Données projet'!$E$9+1,1))-AVERAGE(OFFSET($H$3,0,0,'Données projet'!$E$9+1,1))</f>
        <v>455.09463986470064</v>
      </c>
      <c r="T116" s="60">
        <f t="shared" si="88"/>
        <v>266.42568447709669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1.4210854715202004E-13</v>
      </c>
      <c r="AJ116" s="14">
        <f>AI116*VLOOKUP('Données projet'!$B$10,Paramètres!$A$1:$I$89,3,0)*VLOOKUP('Données projet'!$B$10,Paramètres!$A$1:$I$89,5,0)</f>
        <v>1.2192913345643319E-13</v>
      </c>
      <c r="AK116" s="14">
        <f t="shared" si="89"/>
        <v>1.7899324464546674E-12</v>
      </c>
      <c r="AL116" s="22">
        <f t="shared" si="58"/>
        <v>3.3298255850118335E-12</v>
      </c>
      <c r="AM116" s="60">
        <f t="shared" si="59"/>
        <v>293.33333333333667</v>
      </c>
      <c r="AN116" s="60">
        <f ca="1">AVERAGE(OFFSET($AM$3,0,0,'Données projet'!$E$10+1,1))-AVERAGE(OFFSET($H$3,0,0,'Données projet'!$E$10+1,1))</f>
        <v>201.39673092164992</v>
      </c>
      <c r="AO116" s="60">
        <f t="shared" si="90"/>
        <v>278.95637851890405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-1.7053025658242404E-13</v>
      </c>
      <c r="BE116" s="14">
        <f>BD116*VLOOKUP('Données projet'!$B$11,Paramètres!$A$1:$I$89,3,0)*VLOOKUP('Données projet'!$B$11,Paramètres!$A$1:$I$89,5,0)</f>
        <v>-1.7025740817189217E-13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123.29894837876157</v>
      </c>
      <c r="BJ116" s="60">
        <f t="shared" si="92"/>
        <v>103.52963511757127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280.9793999999996</v>
      </c>
      <c r="CA116" s="14">
        <f t="shared" si="93"/>
        <v>67.173942175199358</v>
      </c>
      <c r="CB116" s="22">
        <f t="shared" si="64"/>
        <v>606.36707095513827</v>
      </c>
      <c r="CC116" s="60">
        <f t="shared" si="65"/>
        <v>899.70040428847165</v>
      </c>
      <c r="CD116" s="60">
        <f ca="1">AVERAGE(OFFSET($CC$3,0,0,'Données projet'!$E$12+1,1))-AVERAGE(OFFSET($H$3,0,0,'Données projet'!$E$12+1,1))</f>
        <v>428.49602929661046</v>
      </c>
      <c r="CE116" s="60">
        <f t="shared" si="94"/>
        <v>252.32489414103878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3.813056537183002E-14</v>
      </c>
      <c r="CV116" s="14">
        <f t="shared" si="95"/>
        <v>6.4086286045526829E-13</v>
      </c>
      <c r="CW116" s="22">
        <f t="shared" si="67"/>
        <v>1.1825802166488628E-12</v>
      </c>
      <c r="CX116" s="60">
        <f t="shared" si="68"/>
        <v>293.33333333333451</v>
      </c>
      <c r="CY116" s="60">
        <f ca="1">AVERAGE(OFFSET($CX$3,0,0,'Données projet'!$E$13+1,1))-AVERAGE(OFFSET($H$3,0,0,'Données projet'!$E$13+1,1))</f>
        <v>226.5873967387837</v>
      </c>
      <c r="CZ116" s="60">
        <f t="shared" si="96"/>
        <v>188.57459946241204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-6.2527760746888816E-13</v>
      </c>
      <c r="DP116" s="18">
        <f>DO116*VLOOKUP('Données projet'!$B$14,Paramètres!$A$1:$I$89,3,0)*VLOOKUP('Données projet'!$B$14,Paramètres!$A$1:$I$89,5,0)</f>
        <v>-2.9262992029543964E-13</v>
      </c>
      <c r="DQ116" s="14" t="e">
        <f t="shared" si="97"/>
        <v>#NUM!</v>
      </c>
      <c r="DR116" s="22" t="e">
        <f t="shared" si="70"/>
        <v>#NUM!</v>
      </c>
      <c r="DS116" s="60" t="e">
        <f t="shared" si="71"/>
        <v>#NUM!</v>
      </c>
      <c r="DT116" s="60">
        <f ca="1">AVERAGE(OFFSET($DS$3,0,0,'Données projet'!$E$14+1,1))-AVERAGE(OFFSET($H$3,0,0,'Données projet'!$E$14+1,1))</f>
        <v>212.19771249416107</v>
      </c>
      <c r="DU116" s="60">
        <f t="shared" si="98"/>
        <v>125.93313963856127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31.121999999999971</v>
      </c>
      <c r="D117" s="12">
        <f t="shared" si="86"/>
        <v>9.6122820667787945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314.44007209443265</v>
      </c>
      <c r="H117" s="68">
        <f t="shared" si="56"/>
        <v>327.61220793297304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302.25311999999951</v>
      </c>
      <c r="P117" s="14">
        <f t="shared" si="87"/>
        <v>71.648598083211283</v>
      </c>
      <c r="Q117" s="22">
        <f t="shared" si="107"/>
        <v>651.21215899492529</v>
      </c>
      <c r="R117" s="60">
        <f t="shared" si="55"/>
        <v>944.54549232825866</v>
      </c>
      <c r="S117" s="60">
        <f ca="1">AVERAGE(OFFSET($R$3,0,0,'Données projet'!$E$9+1,1))-AVERAGE(OFFSET($H$3,0,0,'Données projet'!$E$9+1,1))</f>
        <v>455.09463986470064</v>
      </c>
      <c r="T117" s="60">
        <f t="shared" si="88"/>
        <v>266.42568447709669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1.4210854715202004E-13</v>
      </c>
      <c r="AJ117" s="14">
        <f>AI117*VLOOKUP('Données projet'!$B$10,Paramètres!$A$1:$I$89,3,0)*VLOOKUP('Données projet'!$B$10,Paramètres!$A$1:$I$89,5,0)</f>
        <v>1.2192913345643319E-13</v>
      </c>
      <c r="AK117" s="14">
        <f t="shared" si="89"/>
        <v>1.7899324464546674E-12</v>
      </c>
      <c r="AL117" s="22">
        <f t="shared" si="58"/>
        <v>3.3298255850118335E-12</v>
      </c>
      <c r="AM117" s="60">
        <f t="shared" si="59"/>
        <v>293.33333333333667</v>
      </c>
      <c r="AN117" s="60">
        <f ca="1">AVERAGE(OFFSET($AM$3,0,0,'Données projet'!$E$10+1,1))-AVERAGE(OFFSET($H$3,0,0,'Données projet'!$E$10+1,1))</f>
        <v>201.39673092164992</v>
      </c>
      <c r="AO117" s="60">
        <f t="shared" si="90"/>
        <v>278.95637851890405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-1.7053025658242404E-13</v>
      </c>
      <c r="BE117" s="14">
        <f>BD117*VLOOKUP('Données projet'!$B$11,Paramètres!$A$1:$I$89,3,0)*VLOOKUP('Données projet'!$B$11,Paramètres!$A$1:$I$89,5,0)</f>
        <v>-1.7025740817189217E-13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123.29894837876157</v>
      </c>
      <c r="BJ117" s="60">
        <f t="shared" si="92"/>
        <v>103.52963511757127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284.7311999999996</v>
      </c>
      <c r="CA117" s="14">
        <f t="shared" si="93"/>
        <v>67.965870320050882</v>
      </c>
      <c r="CB117" s="22">
        <f t="shared" si="64"/>
        <v>614.28073080742126</v>
      </c>
      <c r="CC117" s="60">
        <f t="shared" si="65"/>
        <v>907.61406414075464</v>
      </c>
      <c r="CD117" s="60">
        <f ca="1">AVERAGE(OFFSET($CC$3,0,0,'Données projet'!$E$12+1,1))-AVERAGE(OFFSET($H$3,0,0,'Données projet'!$E$12+1,1))</f>
        <v>428.49602929661046</v>
      </c>
      <c r="CE117" s="60">
        <f t="shared" si="94"/>
        <v>252.32489414103878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3.813056537183002E-14</v>
      </c>
      <c r="CV117" s="14">
        <f t="shared" si="95"/>
        <v>6.4086286045526829E-13</v>
      </c>
      <c r="CW117" s="22">
        <f t="shared" si="67"/>
        <v>1.1825802166488628E-12</v>
      </c>
      <c r="CX117" s="60">
        <f t="shared" si="68"/>
        <v>293.33333333333451</v>
      </c>
      <c r="CY117" s="60">
        <f ca="1">AVERAGE(OFFSET($CX$3,0,0,'Données projet'!$E$13+1,1))-AVERAGE(OFFSET($H$3,0,0,'Données projet'!$E$13+1,1))</f>
        <v>226.5873967387837</v>
      </c>
      <c r="CZ117" s="60">
        <f t="shared" si="96"/>
        <v>188.57459946241204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-6.2527760746888816E-13</v>
      </c>
      <c r="DP117" s="18">
        <f>DO117*VLOOKUP('Données projet'!$B$14,Paramètres!$A$1:$I$89,3,0)*VLOOKUP('Données projet'!$B$14,Paramètres!$A$1:$I$89,5,0)</f>
        <v>-2.9262992029543964E-13</v>
      </c>
      <c r="DQ117" s="14" t="e">
        <f t="shared" si="97"/>
        <v>#NUM!</v>
      </c>
      <c r="DR117" s="22" t="e">
        <f t="shared" si="70"/>
        <v>#NUM!</v>
      </c>
      <c r="DS117" s="60" t="e">
        <f t="shared" si="71"/>
        <v>#NUM!</v>
      </c>
      <c r="DT117" s="60">
        <f ca="1">AVERAGE(OFFSET($DS$3,0,0,'Données projet'!$E$14+1,1))-AVERAGE(OFFSET($H$3,0,0,'Données projet'!$E$14+1,1))</f>
        <v>212.19771249416107</v>
      </c>
      <c r="DU117" s="60">
        <f t="shared" si="98"/>
        <v>125.93313963856127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31.394999999999971</v>
      </c>
      <c r="D118" s="12">
        <f t="shared" si="86"/>
        <v>9.6867477721541881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317.12226350434793</v>
      </c>
      <c r="H118" s="68">
        <f t="shared" si="56"/>
        <v>328.21737736983516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306.23579999999947</v>
      </c>
      <c r="P118" s="14">
        <f t="shared" si="87"/>
        <v>72.482157320026886</v>
      </c>
      <c r="Q118" s="22">
        <f t="shared" si="107"/>
        <v>659.6004423323792</v>
      </c>
      <c r="R118" s="60">
        <f t="shared" si="55"/>
        <v>952.93377566571257</v>
      </c>
      <c r="S118" s="60">
        <f ca="1">AVERAGE(OFFSET($R$3,0,0,'Données projet'!$E$9+1,1))-AVERAGE(OFFSET($H$3,0,0,'Données projet'!$E$9+1,1))</f>
        <v>455.09463986470064</v>
      </c>
      <c r="T118" s="60">
        <f t="shared" si="88"/>
        <v>266.42568447709669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1.4210854715202004E-13</v>
      </c>
      <c r="AJ118" s="14">
        <f>AI118*VLOOKUP('Données projet'!$B$10,Paramètres!$A$1:$I$89,3,0)*VLOOKUP('Données projet'!$B$10,Paramètres!$A$1:$I$89,5,0)</f>
        <v>1.2192913345643319E-13</v>
      </c>
      <c r="AK118" s="14">
        <f t="shared" si="89"/>
        <v>1.7899324464546674E-12</v>
      </c>
      <c r="AL118" s="22">
        <f t="shared" si="58"/>
        <v>3.3298255850118335E-12</v>
      </c>
      <c r="AM118" s="60">
        <f t="shared" si="59"/>
        <v>293.33333333333667</v>
      </c>
      <c r="AN118" s="60">
        <f ca="1">AVERAGE(OFFSET($AM$3,0,0,'Données projet'!$E$10+1,1))-AVERAGE(OFFSET($H$3,0,0,'Données projet'!$E$10+1,1))</f>
        <v>201.39673092164992</v>
      </c>
      <c r="AO118" s="60">
        <f t="shared" si="90"/>
        <v>278.95637851890405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-1.7053025658242404E-13</v>
      </c>
      <c r="BE118" s="14">
        <f>BD118*VLOOKUP('Données projet'!$B$11,Paramètres!$A$1:$I$89,3,0)*VLOOKUP('Données projet'!$B$11,Paramètres!$A$1:$I$89,5,0)</f>
        <v>-1.7025740817189217E-13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123.29894837876157</v>
      </c>
      <c r="BJ118" s="60">
        <f t="shared" si="92"/>
        <v>103.52963511757127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288.48299999999955</v>
      </c>
      <c r="CA118" s="14">
        <f t="shared" si="93"/>
        <v>68.756584730508635</v>
      </c>
      <c r="CB118" s="22">
        <f t="shared" si="64"/>
        <v>622.19227673896842</v>
      </c>
      <c r="CC118" s="60">
        <f t="shared" si="65"/>
        <v>915.52561007230179</v>
      </c>
      <c r="CD118" s="60">
        <f ca="1">AVERAGE(OFFSET($CC$3,0,0,'Données projet'!$E$12+1,1))-AVERAGE(OFFSET($H$3,0,0,'Données projet'!$E$12+1,1))</f>
        <v>428.49602929661046</v>
      </c>
      <c r="CE118" s="60">
        <f t="shared" si="94"/>
        <v>252.32489414103878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3.813056537183002E-14</v>
      </c>
      <c r="CV118" s="14">
        <f t="shared" si="95"/>
        <v>6.4086286045526829E-13</v>
      </c>
      <c r="CW118" s="22">
        <f t="shared" si="67"/>
        <v>1.1825802166488628E-12</v>
      </c>
      <c r="CX118" s="60">
        <f t="shared" si="68"/>
        <v>293.33333333333451</v>
      </c>
      <c r="CY118" s="60">
        <f ca="1">AVERAGE(OFFSET($CX$3,0,0,'Données projet'!$E$13+1,1))-AVERAGE(OFFSET($H$3,0,0,'Données projet'!$E$13+1,1))</f>
        <v>226.5873967387837</v>
      </c>
      <c r="CZ118" s="60">
        <f t="shared" si="96"/>
        <v>188.57459946241204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-6.2527760746888816E-13</v>
      </c>
      <c r="DP118" s="18">
        <f>DO118*VLOOKUP('Données projet'!$B$14,Paramètres!$A$1:$I$89,3,0)*VLOOKUP('Données projet'!$B$14,Paramètres!$A$1:$I$89,5,0)</f>
        <v>-2.9262992029543964E-13</v>
      </c>
      <c r="DQ118" s="14" t="e">
        <f t="shared" si="97"/>
        <v>#NUM!</v>
      </c>
      <c r="DR118" s="22" t="e">
        <f t="shared" si="70"/>
        <v>#NUM!</v>
      </c>
      <c r="DS118" s="60" t="e">
        <f t="shared" si="71"/>
        <v>#NUM!</v>
      </c>
      <c r="DT118" s="60">
        <f ca="1">AVERAGE(OFFSET($DS$3,0,0,'Données projet'!$E$14+1,1))-AVERAGE(OFFSET($H$3,0,0,'Données projet'!$E$14+1,1))</f>
        <v>212.19771249416107</v>
      </c>
      <c r="DU118" s="60">
        <f t="shared" si="98"/>
        <v>125.93313963856127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31.667999999999971</v>
      </c>
      <c r="D119" s="12">
        <f t="shared" si="86"/>
        <v>9.7611381424130617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319.80387338003044</v>
      </c>
      <c r="H119" s="68">
        <f t="shared" si="56"/>
        <v>328.82241559803606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310.21847999999949</v>
      </c>
      <c r="P119" s="14">
        <f t="shared" si="87"/>
        <v>73.314455620479848</v>
      </c>
      <c r="Q119" s="22">
        <f t="shared" si="107"/>
        <v>667.98652953900148</v>
      </c>
      <c r="R119" s="60">
        <f t="shared" si="55"/>
        <v>961.31986287233485</v>
      </c>
      <c r="S119" s="60">
        <f ca="1">AVERAGE(OFFSET($R$3,0,0,'Données projet'!$E$9+1,1))-AVERAGE(OFFSET($H$3,0,0,'Données projet'!$E$9+1,1))</f>
        <v>455.09463986470064</v>
      </c>
      <c r="T119" s="60">
        <f t="shared" si="88"/>
        <v>266.42568447709669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1.4210854715202004E-13</v>
      </c>
      <c r="AJ119" s="14">
        <f>AI119*VLOOKUP('Données projet'!$B$10,Paramètres!$A$1:$I$89,3,0)*VLOOKUP('Données projet'!$B$10,Paramètres!$A$1:$I$89,5,0)</f>
        <v>1.2192913345643319E-13</v>
      </c>
      <c r="AK119" s="14">
        <f t="shared" si="89"/>
        <v>1.7899324464546674E-12</v>
      </c>
      <c r="AL119" s="22">
        <f t="shared" si="58"/>
        <v>3.3298255850118335E-12</v>
      </c>
      <c r="AM119" s="60">
        <f t="shared" si="59"/>
        <v>293.33333333333667</v>
      </c>
      <c r="AN119" s="60">
        <f ca="1">AVERAGE(OFFSET($AM$3,0,0,'Données projet'!$E$10+1,1))-AVERAGE(OFFSET($H$3,0,0,'Données projet'!$E$10+1,1))</f>
        <v>201.39673092164992</v>
      </c>
      <c r="AO119" s="60">
        <f t="shared" si="90"/>
        <v>278.95637851890405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-1.7053025658242404E-13</v>
      </c>
      <c r="BE119" s="14">
        <f>BD119*VLOOKUP('Données projet'!$B$11,Paramètres!$A$1:$I$89,3,0)*VLOOKUP('Données projet'!$B$11,Paramètres!$A$1:$I$89,5,0)</f>
        <v>-1.7025740817189217E-13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123.29894837876157</v>
      </c>
      <c r="BJ119" s="60">
        <f t="shared" si="92"/>
        <v>103.52963511757127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292.23479999999955</v>
      </c>
      <c r="CA119" s="14">
        <f t="shared" si="93"/>
        <v>69.546103016553644</v>
      </c>
      <c r="CB119" s="22">
        <f t="shared" si="64"/>
        <v>630.10173942049676</v>
      </c>
      <c r="CC119" s="60">
        <f t="shared" si="65"/>
        <v>923.43507275383013</v>
      </c>
      <c r="CD119" s="60">
        <f ca="1">AVERAGE(OFFSET($CC$3,0,0,'Données projet'!$E$12+1,1))-AVERAGE(OFFSET($H$3,0,0,'Données projet'!$E$12+1,1))</f>
        <v>428.49602929661046</v>
      </c>
      <c r="CE119" s="60">
        <f t="shared" si="94"/>
        <v>252.32489414103878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3.813056537183002E-14</v>
      </c>
      <c r="CV119" s="14">
        <f t="shared" si="95"/>
        <v>6.4086286045526829E-13</v>
      </c>
      <c r="CW119" s="22">
        <f t="shared" si="67"/>
        <v>1.1825802166488628E-12</v>
      </c>
      <c r="CX119" s="60">
        <f t="shared" si="68"/>
        <v>293.33333333333451</v>
      </c>
      <c r="CY119" s="60">
        <f ca="1">AVERAGE(OFFSET($CX$3,0,0,'Données projet'!$E$13+1,1))-AVERAGE(OFFSET($H$3,0,0,'Données projet'!$E$13+1,1))</f>
        <v>226.5873967387837</v>
      </c>
      <c r="CZ119" s="60">
        <f t="shared" si="96"/>
        <v>188.57459946241204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-6.2527760746888816E-13</v>
      </c>
      <c r="DP119" s="18">
        <f>DO119*VLOOKUP('Données projet'!$B$14,Paramètres!$A$1:$I$89,3,0)*VLOOKUP('Données projet'!$B$14,Paramètres!$A$1:$I$89,5,0)</f>
        <v>-2.9262992029543964E-13</v>
      </c>
      <c r="DQ119" s="14" t="e">
        <f t="shared" si="97"/>
        <v>#NUM!</v>
      </c>
      <c r="DR119" s="22" t="e">
        <f t="shared" si="70"/>
        <v>#NUM!</v>
      </c>
      <c r="DS119" s="60" t="e">
        <f t="shared" si="71"/>
        <v>#NUM!</v>
      </c>
      <c r="DT119" s="60">
        <f ca="1">AVERAGE(OFFSET($DS$3,0,0,'Données projet'!$E$14+1,1))-AVERAGE(OFFSET($H$3,0,0,'Données projet'!$E$14+1,1))</f>
        <v>212.19771249416107</v>
      </c>
      <c r="DU119" s="60">
        <f t="shared" si="98"/>
        <v>125.93313963856127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31.940999999999971</v>
      </c>
      <c r="D120" s="12">
        <f t="shared" si="86"/>
        <v>9.8354539022453356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322.4849073155778</v>
      </c>
      <c r="H120" s="68">
        <f t="shared" si="56"/>
        <v>329.42732387974394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314.2011599999995</v>
      </c>
      <c r="P120" s="14">
        <f t="shared" si="87"/>
        <v>74.145511044675771</v>
      </c>
      <c r="Q120" s="22">
        <f t="shared" si="107"/>
        <v>676.37045206947607</v>
      </c>
      <c r="R120" s="60">
        <f t="shared" si="55"/>
        <v>969.70378540280944</v>
      </c>
      <c r="S120" s="60">
        <f ca="1">AVERAGE(OFFSET($R$3,0,0,'Données projet'!$E$9+1,1))-AVERAGE(OFFSET($H$3,0,0,'Données projet'!$E$9+1,1))</f>
        <v>455.09463986470064</v>
      </c>
      <c r="T120" s="60">
        <f t="shared" si="88"/>
        <v>266.42568447709669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1.4210854715202004E-13</v>
      </c>
      <c r="AJ120" s="14">
        <f>AI120*VLOOKUP('Données projet'!$B$10,Paramètres!$A$1:$I$89,3,0)*VLOOKUP('Données projet'!$B$10,Paramètres!$A$1:$I$89,5,0)</f>
        <v>1.2192913345643319E-13</v>
      </c>
      <c r="AK120" s="14">
        <f t="shared" si="89"/>
        <v>1.7899324464546674E-12</v>
      </c>
      <c r="AL120" s="22">
        <f t="shared" si="58"/>
        <v>3.3298255850118335E-12</v>
      </c>
      <c r="AM120" s="60">
        <f t="shared" si="59"/>
        <v>293.33333333333667</v>
      </c>
      <c r="AN120" s="60">
        <f ca="1">AVERAGE(OFFSET($AM$3,0,0,'Données projet'!$E$10+1,1))-AVERAGE(OFFSET($H$3,0,0,'Données projet'!$E$10+1,1))</f>
        <v>201.39673092164992</v>
      </c>
      <c r="AO120" s="60">
        <f t="shared" si="90"/>
        <v>278.95637851890405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-1.7053025658242404E-13</v>
      </c>
      <c r="BE120" s="14">
        <f>BD120*VLOOKUP('Données projet'!$B$11,Paramètres!$A$1:$I$89,3,0)*VLOOKUP('Données projet'!$B$11,Paramètres!$A$1:$I$89,5,0)</f>
        <v>-1.7025740817189217E-13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123.29894837876157</v>
      </c>
      <c r="BJ120" s="60">
        <f t="shared" si="92"/>
        <v>103.52963511757127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295.98659999999956</v>
      </c>
      <c r="CA120" s="14">
        <f t="shared" si="93"/>
        <v>70.334442310004661</v>
      </c>
      <c r="CB120" s="22">
        <f t="shared" si="64"/>
        <v>638.00914868992402</v>
      </c>
      <c r="CC120" s="60">
        <f t="shared" si="65"/>
        <v>931.34248202325739</v>
      </c>
      <c r="CD120" s="60">
        <f ca="1">AVERAGE(OFFSET($CC$3,0,0,'Données projet'!$E$12+1,1))-AVERAGE(OFFSET($H$3,0,0,'Données projet'!$E$12+1,1))</f>
        <v>428.49602929661046</v>
      </c>
      <c r="CE120" s="60">
        <f t="shared" si="94"/>
        <v>252.32489414103878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3.813056537183002E-14</v>
      </c>
      <c r="CV120" s="14">
        <f t="shared" si="95"/>
        <v>6.4086286045526829E-13</v>
      </c>
      <c r="CW120" s="22">
        <f t="shared" si="67"/>
        <v>1.1825802166488628E-12</v>
      </c>
      <c r="CX120" s="60">
        <f t="shared" si="68"/>
        <v>293.33333333333451</v>
      </c>
      <c r="CY120" s="60">
        <f ca="1">AVERAGE(OFFSET($CX$3,0,0,'Données projet'!$E$13+1,1))-AVERAGE(OFFSET($H$3,0,0,'Données projet'!$E$13+1,1))</f>
        <v>226.5873967387837</v>
      </c>
      <c r="CZ120" s="60">
        <f t="shared" si="96"/>
        <v>188.57459946241204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-6.2527760746888816E-13</v>
      </c>
      <c r="DP120" s="18">
        <f>DO120*VLOOKUP('Données projet'!$B$14,Paramètres!$A$1:$I$89,3,0)*VLOOKUP('Données projet'!$B$14,Paramètres!$A$1:$I$89,5,0)</f>
        <v>-2.9262992029543964E-13</v>
      </c>
      <c r="DQ120" s="14" t="e">
        <f t="shared" si="97"/>
        <v>#NUM!</v>
      </c>
      <c r="DR120" s="22" t="e">
        <f t="shared" si="70"/>
        <v>#NUM!</v>
      </c>
      <c r="DS120" s="60" t="e">
        <f t="shared" si="71"/>
        <v>#NUM!</v>
      </c>
      <c r="DT120" s="60">
        <f ca="1">AVERAGE(OFFSET($DS$3,0,0,'Données projet'!$E$14+1,1))-AVERAGE(OFFSET($H$3,0,0,'Données projet'!$E$14+1,1))</f>
        <v>212.19771249416107</v>
      </c>
      <c r="DU120" s="60">
        <f t="shared" si="98"/>
        <v>125.93313963856127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</v>
      </c>
      <c r="D121" s="12">
        <f t="shared" si="86"/>
        <v>9.9096957632381564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325.16537080394346</v>
      </c>
      <c r="H121" s="68">
        <f t="shared" si="56"/>
        <v>330.03210345430642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318.18383999999946</v>
      </c>
      <c r="P121" s="14">
        <f t="shared" si="87"/>
        <v>74.975341168547786</v>
      </c>
      <c r="Q121" s="22">
        <f t="shared" si="107"/>
        <v>684.75224053521981</v>
      </c>
      <c r="R121" s="60">
        <f t="shared" si="55"/>
        <v>978.08557386855318</v>
      </c>
      <c r="S121" s="60">
        <f ca="1">AVERAGE(OFFSET($R$3,0,0,'Données projet'!$E$9+1,1))-AVERAGE(OFFSET($H$3,0,0,'Données projet'!$E$9+1,1))</f>
        <v>455.09463986470064</v>
      </c>
      <c r="T121" s="60">
        <f t="shared" si="88"/>
        <v>266.42568447709669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1.4210854715202004E-13</v>
      </c>
      <c r="AJ121" s="14">
        <f>AI121*VLOOKUP('Données projet'!$B$10,Paramètres!$A$1:$I$89,3,0)*VLOOKUP('Données projet'!$B$10,Paramètres!$A$1:$I$89,5,0)</f>
        <v>1.2192913345643319E-13</v>
      </c>
      <c r="AK121" s="14">
        <f t="shared" si="89"/>
        <v>1.7899324464546674E-12</v>
      </c>
      <c r="AL121" s="22">
        <f t="shared" si="58"/>
        <v>3.3298255850118335E-12</v>
      </c>
      <c r="AM121" s="60">
        <f t="shared" si="59"/>
        <v>293.33333333333667</v>
      </c>
      <c r="AN121" s="60">
        <f ca="1">AVERAGE(OFFSET($AM$3,0,0,'Données projet'!$E$10+1,1))-AVERAGE(OFFSET($H$3,0,0,'Données projet'!$E$10+1,1))</f>
        <v>201.39673092164992</v>
      </c>
      <c r="AO121" s="60">
        <f t="shared" si="90"/>
        <v>278.95637851890405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-1.7053025658242404E-13</v>
      </c>
      <c r="BE121" s="14">
        <f>BD121*VLOOKUP('Données projet'!$B$11,Paramètres!$A$1:$I$89,3,0)*VLOOKUP('Données projet'!$B$11,Paramètres!$A$1:$I$89,5,0)</f>
        <v>-1.7025740817189217E-13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123.29894837876157</v>
      </c>
      <c r="BJ121" s="60">
        <f t="shared" si="92"/>
        <v>103.52963511757127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299.73839999999956</v>
      </c>
      <c r="CA121" s="14">
        <f t="shared" si="93"/>
        <v>71.121619283394352</v>
      </c>
      <c r="CB121" s="22">
        <f t="shared" si="64"/>
        <v>645.91453358524438</v>
      </c>
      <c r="CC121" s="60">
        <f t="shared" si="65"/>
        <v>939.24786691857776</v>
      </c>
      <c r="CD121" s="60">
        <f ca="1">AVERAGE(OFFSET($CC$3,0,0,'Données projet'!$E$12+1,1))-AVERAGE(OFFSET($H$3,0,0,'Données projet'!$E$12+1,1))</f>
        <v>428.49602929661046</v>
      </c>
      <c r="CE121" s="60">
        <f t="shared" si="94"/>
        <v>252.32489414103878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3.813056537183002E-14</v>
      </c>
      <c r="CV121" s="14">
        <f t="shared" si="95"/>
        <v>6.4086286045526829E-13</v>
      </c>
      <c r="CW121" s="22">
        <f t="shared" si="67"/>
        <v>1.1825802166488628E-12</v>
      </c>
      <c r="CX121" s="60">
        <f t="shared" si="68"/>
        <v>293.33333333333451</v>
      </c>
      <c r="CY121" s="60">
        <f ca="1">AVERAGE(OFFSET($CX$3,0,0,'Données projet'!$E$13+1,1))-AVERAGE(OFFSET($H$3,0,0,'Données projet'!$E$13+1,1))</f>
        <v>226.5873967387837</v>
      </c>
      <c r="CZ121" s="60">
        <f t="shared" si="96"/>
        <v>188.57459946241204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-6.2527760746888816E-13</v>
      </c>
      <c r="DP121" s="18">
        <f>DO121*VLOOKUP('Données projet'!$B$14,Paramètres!$A$1:$I$89,3,0)*VLOOKUP('Données projet'!$B$14,Paramètres!$A$1:$I$89,5,0)</f>
        <v>-2.9262992029543964E-13</v>
      </c>
      <c r="DQ121" s="14" t="e">
        <f t="shared" si="97"/>
        <v>#NUM!</v>
      </c>
      <c r="DR121" s="22" t="e">
        <f t="shared" si="70"/>
        <v>#NUM!</v>
      </c>
      <c r="DS121" s="60" t="e">
        <f t="shared" si="71"/>
        <v>#NUM!</v>
      </c>
      <c r="DT121" s="60">
        <f ca="1">AVERAGE(OFFSET($DS$3,0,0,'Données projet'!$E$14+1,1))-AVERAGE(OFFSET($H$3,0,0,'Données projet'!$E$14+1,1))</f>
        <v>212.19771249416107</v>
      </c>
      <c r="DU121" s="60">
        <f t="shared" si="98"/>
        <v>125.93313963856127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32.486999999999973</v>
      </c>
      <c r="D122" s="12">
        <f t="shared" si="86"/>
        <v>9.9838644242217605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327.84526923960635</v>
      </c>
      <c r="H122" s="68">
        <f t="shared" si="56"/>
        <v>330.63675553885287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322.16651999999942</v>
      </c>
      <c r="P122" s="14">
        <f t="shared" si="87"/>
        <v>75.803963102731529</v>
      </c>
      <c r="Q122" s="22">
        <f t="shared" si="107"/>
        <v>693.13192473725633</v>
      </c>
      <c r="R122" s="60">
        <f t="shared" si="55"/>
        <v>986.4652580705897</v>
      </c>
      <c r="S122" s="60">
        <f ca="1">AVERAGE(OFFSET($R$3,0,0,'Données projet'!$E$9+1,1))-AVERAGE(OFFSET($H$3,0,0,'Données projet'!$E$9+1,1))</f>
        <v>455.09463986470064</v>
      </c>
      <c r="T122" s="60">
        <f t="shared" si="88"/>
        <v>266.42568447709669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1.4210854715202004E-13</v>
      </c>
      <c r="AJ122" s="14">
        <f>AI122*VLOOKUP('Données projet'!$B$10,Paramètres!$A$1:$I$89,3,0)*VLOOKUP('Données projet'!$B$10,Paramètres!$A$1:$I$89,5,0)</f>
        <v>1.2192913345643319E-13</v>
      </c>
      <c r="AK122" s="14">
        <f t="shared" si="89"/>
        <v>1.7899324464546674E-12</v>
      </c>
      <c r="AL122" s="22">
        <f t="shared" si="58"/>
        <v>3.3298255850118335E-12</v>
      </c>
      <c r="AM122" s="60">
        <f t="shared" si="59"/>
        <v>293.33333333333667</v>
      </c>
      <c r="AN122" s="60">
        <f ca="1">AVERAGE(OFFSET($AM$3,0,0,'Données projet'!$E$10+1,1))-AVERAGE(OFFSET($H$3,0,0,'Données projet'!$E$10+1,1))</f>
        <v>201.39673092164992</v>
      </c>
      <c r="AO122" s="60">
        <f t="shared" si="90"/>
        <v>278.95637851890405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-1.7053025658242404E-13</v>
      </c>
      <c r="BE122" s="14">
        <f>BD122*VLOOKUP('Données projet'!$B$11,Paramètres!$A$1:$I$89,3,0)*VLOOKUP('Données projet'!$B$11,Paramètres!$A$1:$I$89,5,0)</f>
        <v>-1.7025740817189217E-13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123.29894837876157</v>
      </c>
      <c r="BJ122" s="60">
        <f t="shared" si="92"/>
        <v>103.52963511757127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303.4901999999995</v>
      </c>
      <c r="CA122" s="14">
        <f t="shared" si="93"/>
        <v>71.907650167874138</v>
      </c>
      <c r="CB122" s="22">
        <f t="shared" si="64"/>
        <v>653.81792237571324</v>
      </c>
      <c r="CC122" s="60">
        <f t="shared" si="65"/>
        <v>947.15125570904661</v>
      </c>
      <c r="CD122" s="60">
        <f ca="1">AVERAGE(OFFSET($CC$3,0,0,'Données projet'!$E$12+1,1))-AVERAGE(OFFSET($H$3,0,0,'Données projet'!$E$12+1,1))</f>
        <v>428.49602929661046</v>
      </c>
      <c r="CE122" s="60">
        <f t="shared" si="94"/>
        <v>252.32489414103878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3.813056537183002E-14</v>
      </c>
      <c r="CV122" s="14">
        <f t="shared" si="95"/>
        <v>6.4086286045526829E-13</v>
      </c>
      <c r="CW122" s="22">
        <f t="shared" si="67"/>
        <v>1.1825802166488628E-12</v>
      </c>
      <c r="CX122" s="60">
        <f t="shared" si="68"/>
        <v>293.33333333333451</v>
      </c>
      <c r="CY122" s="60">
        <f ca="1">AVERAGE(OFFSET($CX$3,0,0,'Données projet'!$E$13+1,1))-AVERAGE(OFFSET($H$3,0,0,'Données projet'!$E$13+1,1))</f>
        <v>226.5873967387837</v>
      </c>
      <c r="CZ122" s="60">
        <f t="shared" si="96"/>
        <v>188.57459946241204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-6.2527760746888816E-13</v>
      </c>
      <c r="DP122" s="18">
        <f>DO122*VLOOKUP('Données projet'!$B$14,Paramètres!$A$1:$I$89,3,0)*VLOOKUP('Données projet'!$B$14,Paramètres!$A$1:$I$89,5,0)</f>
        <v>-2.9262992029543964E-13</v>
      </c>
      <c r="DQ122" s="14" t="e">
        <f t="shared" si="97"/>
        <v>#NUM!</v>
      </c>
      <c r="DR122" s="22" t="e">
        <f t="shared" si="70"/>
        <v>#NUM!</v>
      </c>
      <c r="DS122" s="60" t="e">
        <f t="shared" si="71"/>
        <v>#NUM!</v>
      </c>
      <c r="DT122" s="60">
        <f ca="1">AVERAGE(OFFSET($DS$3,0,0,'Données projet'!$E$14+1,1))-AVERAGE(OFFSET($H$3,0,0,'Données projet'!$E$14+1,1))</f>
        <v>212.19771249416107</v>
      </c>
      <c r="DU122" s="60">
        <f t="shared" si="98"/>
        <v>125.93313963856127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123" s="12">
        <f t="shared" si="86"/>
        <v>10.05796057160342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330.52460792114903</v>
      </c>
      <c r="H123" s="68">
        <f t="shared" si="56"/>
        <v>331.24128132887591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326.14919999999944</v>
      </c>
      <c r="P123" s="14">
        <f t="shared" si="87"/>
        <v>76.631393510479555</v>
      </c>
      <c r="Q123" s="22">
        <f t="shared" si="107"/>
        <v>701.50953369741762</v>
      </c>
      <c r="R123" s="60">
        <f t="shared" si="55"/>
        <v>994.84286703075099</v>
      </c>
      <c r="S123" s="60">
        <f ca="1">AVERAGE(OFFSET($R$3,0,0,'Données projet'!$E$9+1,1))-AVERAGE(OFFSET($H$3,0,0,'Données projet'!$E$9+1,1))</f>
        <v>455.09463986470064</v>
      </c>
      <c r="T123" s="60">
        <f t="shared" si="88"/>
        <v>266.42568447709669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1.4210854715202004E-13</v>
      </c>
      <c r="AJ123" s="14">
        <f>AI123*VLOOKUP('Données projet'!$B$10,Paramètres!$A$1:$I$89,3,0)*VLOOKUP('Données projet'!$B$10,Paramètres!$A$1:$I$89,5,0)</f>
        <v>1.2192913345643319E-13</v>
      </c>
      <c r="AK123" s="14">
        <f t="shared" si="89"/>
        <v>1.7899324464546674E-12</v>
      </c>
      <c r="AL123" s="22">
        <f t="shared" si="58"/>
        <v>3.3298255850118335E-12</v>
      </c>
      <c r="AM123" s="60">
        <f t="shared" si="59"/>
        <v>293.33333333333667</v>
      </c>
      <c r="AN123" s="60">
        <f ca="1">AVERAGE(OFFSET($AM$3,0,0,'Données projet'!$E$10+1,1))-AVERAGE(OFFSET($H$3,0,0,'Données projet'!$E$10+1,1))</f>
        <v>201.39673092164992</v>
      </c>
      <c r="AO123" s="60">
        <f t="shared" si="90"/>
        <v>278.95637851890405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-1.7053025658242404E-13</v>
      </c>
      <c r="BE123" s="14">
        <f>BD123*VLOOKUP('Données projet'!$B$11,Paramètres!$A$1:$I$89,3,0)*VLOOKUP('Données projet'!$B$11,Paramètres!$A$1:$I$89,5,0)</f>
        <v>-1.7025740817189217E-13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123.29894837876157</v>
      </c>
      <c r="BJ123" s="60">
        <f t="shared" si="92"/>
        <v>103.52963511757127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307.24199999999951</v>
      </c>
      <c r="CA123" s="14">
        <f t="shared" si="93"/>
        <v>72.692550770207717</v>
      </c>
      <c r="CB123" s="22">
        <f t="shared" si="64"/>
        <v>661.71934259144427</v>
      </c>
      <c r="CC123" s="60">
        <f t="shared" si="65"/>
        <v>955.05267592477753</v>
      </c>
      <c r="CD123" s="60">
        <f ca="1">AVERAGE(OFFSET($CC$3,0,0,'Données projet'!$E$12+1,1))-AVERAGE(OFFSET($H$3,0,0,'Données projet'!$E$12+1,1))</f>
        <v>428.49602929661046</v>
      </c>
      <c r="CE123" s="60">
        <f t="shared" si="94"/>
        <v>252.32489414103878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3.813056537183002E-14</v>
      </c>
      <c r="CV123" s="14">
        <f t="shared" si="95"/>
        <v>6.4086286045526829E-13</v>
      </c>
      <c r="CW123" s="22">
        <f t="shared" si="67"/>
        <v>1.1825802166488628E-12</v>
      </c>
      <c r="CX123" s="60">
        <f t="shared" si="68"/>
        <v>293.33333333333451</v>
      </c>
      <c r="CY123" s="60">
        <f ca="1">AVERAGE(OFFSET($CX$3,0,0,'Données projet'!$E$13+1,1))-AVERAGE(OFFSET($H$3,0,0,'Données projet'!$E$13+1,1))</f>
        <v>226.5873967387837</v>
      </c>
      <c r="CZ123" s="60">
        <f t="shared" si="96"/>
        <v>188.57459946241204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-6.2527760746888816E-13</v>
      </c>
      <c r="DP123" s="18">
        <f>DO123*VLOOKUP('Données projet'!$B$14,Paramètres!$A$1:$I$89,3,0)*VLOOKUP('Données projet'!$B$14,Paramètres!$A$1:$I$89,5,0)</f>
        <v>-2.9262992029543964E-13</v>
      </c>
      <c r="DQ123" s="14" t="e">
        <f t="shared" si="97"/>
        <v>#NUM!</v>
      </c>
      <c r="DR123" s="22" t="e">
        <f t="shared" si="70"/>
        <v>#NUM!</v>
      </c>
      <c r="DS123" s="60" t="e">
        <f t="shared" si="71"/>
        <v>#NUM!</v>
      </c>
      <c r="DT123" s="60">
        <f ca="1">AVERAGE(OFFSET($DS$3,0,0,'Données projet'!$E$14+1,1))-AVERAGE(OFFSET($H$3,0,0,'Données projet'!$E$14+1,1))</f>
        <v>212.19771249416107</v>
      </c>
      <c r="DU123" s="60">
        <f t="shared" si="98"/>
        <v>125.93313963856127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33.03299999999998</v>
      </c>
      <c r="D124" s="12">
        <f t="shared" si="86"/>
        <v>10.131984879689933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333.20339205374665</v>
      </c>
      <c r="H124" s="68">
        <f t="shared" si="56"/>
        <v>331.84568199879328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291.9196799999994</v>
      </c>
      <c r="P124" s="14">
        <f t="shared" si="87"/>
        <v>69.47983563531173</v>
      </c>
      <c r="Q124" s="22">
        <f t="shared" si="107"/>
        <v>629.43748973150025</v>
      </c>
      <c r="R124" s="60">
        <f t="shared" si="55"/>
        <v>922.77082306483362</v>
      </c>
      <c r="S124" s="60">
        <f ca="1">AVERAGE(OFFSET($R$3,0,0,'Données projet'!$E$9+1,1))-AVERAGE(OFFSET($H$3,0,0,'Données projet'!$E$9+1,1))</f>
        <v>455.09463986470064</v>
      </c>
      <c r="T124" s="60">
        <f t="shared" si="88"/>
        <v>266.42568447709669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1.4210854715202004E-13</v>
      </c>
      <c r="AJ124" s="14">
        <f>AI124*VLOOKUP('Données projet'!$B$10,Paramètres!$A$1:$I$89,3,0)*VLOOKUP('Données projet'!$B$10,Paramètres!$A$1:$I$89,5,0)</f>
        <v>1.2192913345643319E-13</v>
      </c>
      <c r="AK124" s="14">
        <f t="shared" si="89"/>
        <v>1.7899324464546674E-12</v>
      </c>
      <c r="AL124" s="22">
        <f t="shared" si="58"/>
        <v>3.3298255850118335E-12</v>
      </c>
      <c r="AM124" s="60">
        <f t="shared" si="59"/>
        <v>293.33333333333667</v>
      </c>
      <c r="AN124" s="60">
        <f ca="1">AVERAGE(OFFSET($AM$3,0,0,'Données projet'!$E$10+1,1))-AVERAGE(OFFSET($H$3,0,0,'Données projet'!$E$10+1,1))</f>
        <v>201.39673092164992</v>
      </c>
      <c r="AO124" s="60">
        <f t="shared" si="90"/>
        <v>278.95637851890405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-1.7053025658242404E-13</v>
      </c>
      <c r="BE124" s="14">
        <f>BD124*VLOOKUP('Données projet'!$B$11,Paramètres!$A$1:$I$89,3,0)*VLOOKUP('Données projet'!$B$11,Paramètres!$A$1:$I$89,5,0)</f>
        <v>-1.7025740817189217E-13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123.29894837876157</v>
      </c>
      <c r="BJ124" s="60">
        <f t="shared" si="92"/>
        <v>103.52963511757127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274.9967999999995</v>
      </c>
      <c r="CA124" s="14">
        <f t="shared" si="93"/>
        <v>65.908581953881495</v>
      </c>
      <c r="CB124" s="22">
        <f t="shared" si="64"/>
        <v>593.74354023634271</v>
      </c>
      <c r="CC124" s="60">
        <f t="shared" si="65"/>
        <v>887.07687356967608</v>
      </c>
      <c r="CD124" s="60">
        <f ca="1">AVERAGE(OFFSET($CC$3,0,0,'Données projet'!$E$12+1,1))-AVERAGE(OFFSET($H$3,0,0,'Données projet'!$E$12+1,1))</f>
        <v>428.49602929661046</v>
      </c>
      <c r="CE124" s="60">
        <f t="shared" si="94"/>
        <v>252.32489414103878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3.813056537183002E-14</v>
      </c>
      <c r="CV124" s="14">
        <f t="shared" si="95"/>
        <v>6.4086286045526829E-13</v>
      </c>
      <c r="CW124" s="22">
        <f t="shared" si="67"/>
        <v>1.1825802166488628E-12</v>
      </c>
      <c r="CX124" s="60">
        <f t="shared" si="68"/>
        <v>293.33333333333451</v>
      </c>
      <c r="CY124" s="60">
        <f ca="1">AVERAGE(OFFSET($CX$3,0,0,'Données projet'!$E$13+1,1))-AVERAGE(OFFSET($H$3,0,0,'Données projet'!$E$13+1,1))</f>
        <v>226.5873967387837</v>
      </c>
      <c r="CZ124" s="60">
        <f t="shared" si="96"/>
        <v>188.57459946241204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-6.2527760746888816E-13</v>
      </c>
      <c r="DP124" s="18">
        <f>DO124*VLOOKUP('Données projet'!$B$14,Paramètres!$A$1:$I$89,3,0)*VLOOKUP('Données projet'!$B$14,Paramètres!$A$1:$I$89,5,0)</f>
        <v>-2.9262992029543964E-13</v>
      </c>
      <c r="DQ124" s="14" t="e">
        <f t="shared" si="97"/>
        <v>#NUM!</v>
      </c>
      <c r="DR124" s="22" t="e">
        <f t="shared" si="70"/>
        <v>#NUM!</v>
      </c>
      <c r="DS124" s="60" t="e">
        <f t="shared" si="71"/>
        <v>#NUM!</v>
      </c>
      <c r="DT124" s="60">
        <f ca="1">AVERAGE(OFFSET($DS$3,0,0,'Données projet'!$E$14+1,1))-AVERAGE(OFFSET($H$3,0,0,'Données projet'!$E$14+1,1))</f>
        <v>212.19771249416107</v>
      </c>
      <c r="DU124" s="60">
        <f t="shared" si="98"/>
        <v>125.93313963856127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33.305999999999983</v>
      </c>
      <c r="D125" s="12">
        <f t="shared" si="86"/>
        <v>10.205938010999127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335.88162675157213</v>
      </c>
      <c r="H125" s="68">
        <f t="shared" si="56"/>
        <v>332.44995870249011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295.3641599999994</v>
      </c>
      <c r="P125" s="14">
        <f t="shared" si="87"/>
        <v>70.203734243178047</v>
      </c>
      <c r="Q125" s="22">
        <f t="shared" si="107"/>
        <v>636.6974158068673</v>
      </c>
      <c r="R125" s="60">
        <f t="shared" si="55"/>
        <v>930.03074914020067</v>
      </c>
      <c r="S125" s="60">
        <f ca="1">AVERAGE(OFFSET($R$3,0,0,'Données projet'!$E$9+1,1))-AVERAGE(OFFSET($H$3,0,0,'Données projet'!$E$9+1,1))</f>
        <v>455.09463986470064</v>
      </c>
      <c r="T125" s="60">
        <f t="shared" si="88"/>
        <v>266.42568447709669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1.4210854715202004E-13</v>
      </c>
      <c r="AJ125" s="14">
        <f>AI125*VLOOKUP('Données projet'!$B$10,Paramètres!$A$1:$I$89,3,0)*VLOOKUP('Données projet'!$B$10,Paramètres!$A$1:$I$89,5,0)</f>
        <v>1.2192913345643319E-13</v>
      </c>
      <c r="AK125" s="14">
        <f t="shared" si="89"/>
        <v>1.7899324464546674E-12</v>
      </c>
      <c r="AL125" s="22">
        <f t="shared" si="58"/>
        <v>3.3298255850118335E-12</v>
      </c>
      <c r="AM125" s="60">
        <f t="shared" si="59"/>
        <v>293.33333333333667</v>
      </c>
      <c r="AN125" s="60">
        <f ca="1">AVERAGE(OFFSET($AM$3,0,0,'Données projet'!$E$10+1,1))-AVERAGE(OFFSET($H$3,0,0,'Données projet'!$E$10+1,1))</f>
        <v>201.39673092164992</v>
      </c>
      <c r="AO125" s="60">
        <f t="shared" si="90"/>
        <v>278.95637851890405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-1.7053025658242404E-13</v>
      </c>
      <c r="BE125" s="14">
        <f>BD125*VLOOKUP('Données projet'!$B$11,Paramètres!$A$1:$I$89,3,0)*VLOOKUP('Données projet'!$B$11,Paramètres!$A$1:$I$89,5,0)</f>
        <v>-1.7025740817189217E-13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123.29894837876157</v>
      </c>
      <c r="BJ125" s="60">
        <f t="shared" si="92"/>
        <v>103.52963511757127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278.24159999999949</v>
      </c>
      <c r="CA125" s="14">
        <f t="shared" si="93"/>
        <v>66.595272276139681</v>
      </c>
      <c r="CB125" s="22">
        <f t="shared" si="64"/>
        <v>600.59088588094244</v>
      </c>
      <c r="CC125" s="60">
        <f t="shared" si="65"/>
        <v>893.92421921427581</v>
      </c>
      <c r="CD125" s="60">
        <f ca="1">AVERAGE(OFFSET($CC$3,0,0,'Données projet'!$E$12+1,1))-AVERAGE(OFFSET($H$3,0,0,'Données projet'!$E$12+1,1))</f>
        <v>428.49602929661046</v>
      </c>
      <c r="CE125" s="60">
        <f t="shared" si="94"/>
        <v>252.32489414103878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3.813056537183002E-14</v>
      </c>
      <c r="CV125" s="14">
        <f t="shared" si="95"/>
        <v>6.4086286045526829E-13</v>
      </c>
      <c r="CW125" s="22">
        <f t="shared" si="67"/>
        <v>1.1825802166488628E-12</v>
      </c>
      <c r="CX125" s="60">
        <f t="shared" si="68"/>
        <v>293.33333333333451</v>
      </c>
      <c r="CY125" s="60">
        <f ca="1">AVERAGE(OFFSET($CX$3,0,0,'Données projet'!$E$13+1,1))-AVERAGE(OFFSET($H$3,0,0,'Données projet'!$E$13+1,1))</f>
        <v>226.5873967387837</v>
      </c>
      <c r="CZ125" s="60">
        <f t="shared" si="96"/>
        <v>188.57459946241204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-6.2527760746888816E-13</v>
      </c>
      <c r="DP125" s="18">
        <f>DO125*VLOOKUP('Données projet'!$B$14,Paramètres!$A$1:$I$89,3,0)*VLOOKUP('Données projet'!$B$14,Paramètres!$A$1:$I$89,5,0)</f>
        <v>-2.9262992029543964E-13</v>
      </c>
      <c r="DQ125" s="14" t="e">
        <f t="shared" si="97"/>
        <v>#NUM!</v>
      </c>
      <c r="DR125" s="22" t="e">
        <f t="shared" si="70"/>
        <v>#NUM!</v>
      </c>
      <c r="DS125" s="60" t="e">
        <f t="shared" si="71"/>
        <v>#NUM!</v>
      </c>
      <c r="DT125" s="60">
        <f ca="1">AVERAGE(OFFSET($DS$3,0,0,'Données projet'!$E$14+1,1))-AVERAGE(OFFSET($H$3,0,0,'Données projet'!$E$14+1,1))</f>
        <v>212.19771249416107</v>
      </c>
      <c r="DU125" s="60">
        <f t="shared" si="98"/>
        <v>125.93313963856127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33.578999999999986</v>
      </c>
      <c r="D126" s="12">
        <f t="shared" si="86"/>
        <v>10.279820616560862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338.55931704011886</v>
      </c>
      <c r="H126" s="68">
        <f t="shared" si="56"/>
        <v>333.0541125738435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298.8086399999994</v>
      </c>
      <c r="P126" s="14">
        <f t="shared" si="87"/>
        <v>70.926650849267929</v>
      </c>
      <c r="Q126" s="22">
        <f t="shared" si="107"/>
        <v>643.95563156247397</v>
      </c>
      <c r="R126" s="60">
        <f t="shared" si="55"/>
        <v>937.28896489580734</v>
      </c>
      <c r="S126" s="60">
        <f ca="1">AVERAGE(OFFSET($R$3,0,0,'Données projet'!$E$9+1,1))-AVERAGE(OFFSET($H$3,0,0,'Données projet'!$E$9+1,1))</f>
        <v>455.09463986470064</v>
      </c>
      <c r="T126" s="60">
        <f t="shared" si="88"/>
        <v>266.42568447709669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1.4210854715202004E-13</v>
      </c>
      <c r="AJ126" s="14">
        <f>AI126*VLOOKUP('Données projet'!$B$10,Paramètres!$A$1:$I$89,3,0)*VLOOKUP('Données projet'!$B$10,Paramètres!$A$1:$I$89,5,0)</f>
        <v>1.2192913345643319E-13</v>
      </c>
      <c r="AK126" s="14">
        <f t="shared" si="89"/>
        <v>1.7899324464546674E-12</v>
      </c>
      <c r="AL126" s="22">
        <f t="shared" si="58"/>
        <v>3.3298255850118335E-12</v>
      </c>
      <c r="AM126" s="60">
        <f t="shared" si="59"/>
        <v>293.33333333333667</v>
      </c>
      <c r="AN126" s="60">
        <f ca="1">AVERAGE(OFFSET($AM$3,0,0,'Données projet'!$E$10+1,1))-AVERAGE(OFFSET($H$3,0,0,'Données projet'!$E$10+1,1))</f>
        <v>201.39673092164992</v>
      </c>
      <c r="AO126" s="60">
        <f t="shared" si="90"/>
        <v>278.95637851890405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-1.7053025658242404E-13</v>
      </c>
      <c r="BE126" s="14">
        <f>BD126*VLOOKUP('Données projet'!$B$11,Paramètres!$A$1:$I$89,3,0)*VLOOKUP('Données projet'!$B$11,Paramètres!$A$1:$I$89,5,0)</f>
        <v>-1.7025740817189217E-13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123.29894837876157</v>
      </c>
      <c r="BJ126" s="60">
        <f t="shared" si="92"/>
        <v>103.52963511757127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281.48639999999949</v>
      </c>
      <c r="CA126" s="14">
        <f t="shared" si="93"/>
        <v>67.281031071373235</v>
      </c>
      <c r="CB126" s="22">
        <f t="shared" si="64"/>
        <v>607.43660911597419</v>
      </c>
      <c r="CC126" s="60">
        <f t="shared" si="65"/>
        <v>900.76994244930756</v>
      </c>
      <c r="CD126" s="60">
        <f ca="1">AVERAGE(OFFSET($CC$3,0,0,'Données projet'!$E$12+1,1))-AVERAGE(OFFSET($H$3,0,0,'Données projet'!$E$12+1,1))</f>
        <v>428.49602929661046</v>
      </c>
      <c r="CE126" s="60">
        <f t="shared" si="94"/>
        <v>252.32489414103878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3.813056537183002E-14</v>
      </c>
      <c r="CV126" s="14">
        <f t="shared" si="95"/>
        <v>6.4086286045526829E-13</v>
      </c>
      <c r="CW126" s="22">
        <f t="shared" si="67"/>
        <v>1.1825802166488628E-12</v>
      </c>
      <c r="CX126" s="60">
        <f t="shared" si="68"/>
        <v>293.33333333333451</v>
      </c>
      <c r="CY126" s="60">
        <f ca="1">AVERAGE(OFFSET($CX$3,0,0,'Données projet'!$E$13+1,1))-AVERAGE(OFFSET($H$3,0,0,'Données projet'!$E$13+1,1))</f>
        <v>226.5873967387837</v>
      </c>
      <c r="CZ126" s="60">
        <f t="shared" si="96"/>
        <v>188.57459946241204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-6.2527760746888816E-13</v>
      </c>
      <c r="DP126" s="18">
        <f>DO126*VLOOKUP('Données projet'!$B$14,Paramètres!$A$1:$I$89,3,0)*VLOOKUP('Données projet'!$B$14,Paramètres!$A$1:$I$89,5,0)</f>
        <v>-2.9262992029543964E-13</v>
      </c>
      <c r="DQ126" s="14" t="e">
        <f t="shared" si="97"/>
        <v>#NUM!</v>
      </c>
      <c r="DR126" s="22" t="e">
        <f t="shared" si="70"/>
        <v>#NUM!</v>
      </c>
      <c r="DS126" s="60" t="e">
        <f t="shared" si="71"/>
        <v>#NUM!</v>
      </c>
      <c r="DT126" s="60">
        <f ca="1">AVERAGE(OFFSET($DS$3,0,0,'Données projet'!$E$14+1,1))-AVERAGE(OFFSET($H$3,0,0,'Données projet'!$E$14+1,1))</f>
        <v>212.19771249416107</v>
      </c>
      <c r="DU126" s="60">
        <f t="shared" si="98"/>
        <v>125.93313963856127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33.85199999999999</v>
      </c>
      <c r="D127" s="12">
        <f t="shared" si="86"/>
        <v>10.353633336208013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341.23646785844772</v>
      </c>
      <c r="H127" s="68">
        <f t="shared" si="56"/>
        <v>333.65814472722894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302.2531199999994</v>
      </c>
      <c r="P127" s="14">
        <f t="shared" si="87"/>
        <v>71.648598083211283</v>
      </c>
      <c r="Q127" s="22">
        <f t="shared" si="107"/>
        <v>651.21215899492529</v>
      </c>
      <c r="R127" s="60">
        <f t="shared" si="55"/>
        <v>944.54549232825866</v>
      </c>
      <c r="S127" s="60">
        <f ca="1">AVERAGE(OFFSET($R$3,0,0,'Données projet'!$E$9+1,1))-AVERAGE(OFFSET($H$3,0,0,'Données projet'!$E$9+1,1))</f>
        <v>455.09463986470064</v>
      </c>
      <c r="T127" s="60">
        <f t="shared" si="88"/>
        <v>266.42568447709669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1.4210854715202004E-13</v>
      </c>
      <c r="AJ127" s="14">
        <f>AI127*VLOOKUP('Données projet'!$B$10,Paramètres!$A$1:$I$89,3,0)*VLOOKUP('Données projet'!$B$10,Paramètres!$A$1:$I$89,5,0)</f>
        <v>1.2192913345643319E-13</v>
      </c>
      <c r="AK127" s="14">
        <f t="shared" si="89"/>
        <v>1.7899324464546674E-12</v>
      </c>
      <c r="AL127" s="22">
        <f t="shared" si="58"/>
        <v>3.3298255850118335E-12</v>
      </c>
      <c r="AM127" s="60">
        <f t="shared" si="59"/>
        <v>293.33333333333667</v>
      </c>
      <c r="AN127" s="60">
        <f ca="1">AVERAGE(OFFSET($AM$3,0,0,'Données projet'!$E$10+1,1))-AVERAGE(OFFSET($H$3,0,0,'Données projet'!$E$10+1,1))</f>
        <v>201.39673092164992</v>
      </c>
      <c r="AO127" s="60">
        <f t="shared" si="90"/>
        <v>278.95637851890405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-1.7053025658242404E-13</v>
      </c>
      <c r="BE127" s="14">
        <f>BD127*VLOOKUP('Données projet'!$B$11,Paramètres!$A$1:$I$89,3,0)*VLOOKUP('Données projet'!$B$11,Paramètres!$A$1:$I$89,5,0)</f>
        <v>-1.7025740817189217E-13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123.29894837876157</v>
      </c>
      <c r="BJ127" s="60">
        <f t="shared" si="92"/>
        <v>103.52963511757127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284.73119999999943</v>
      </c>
      <c r="CA127" s="14">
        <f t="shared" si="93"/>
        <v>67.965870320050826</v>
      </c>
      <c r="CB127" s="22">
        <f t="shared" si="64"/>
        <v>614.28073080742081</v>
      </c>
      <c r="CC127" s="60">
        <f t="shared" si="65"/>
        <v>907.61406414075418</v>
      </c>
      <c r="CD127" s="60">
        <f ca="1">AVERAGE(OFFSET($CC$3,0,0,'Données projet'!$E$12+1,1))-AVERAGE(OFFSET($H$3,0,0,'Données projet'!$E$12+1,1))</f>
        <v>428.49602929661046</v>
      </c>
      <c r="CE127" s="60">
        <f t="shared" si="94"/>
        <v>252.32489414103878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3.813056537183002E-14</v>
      </c>
      <c r="CV127" s="14">
        <f t="shared" si="95"/>
        <v>6.4086286045526829E-13</v>
      </c>
      <c r="CW127" s="22">
        <f t="shared" si="67"/>
        <v>1.1825802166488628E-12</v>
      </c>
      <c r="CX127" s="60">
        <f t="shared" si="68"/>
        <v>293.33333333333451</v>
      </c>
      <c r="CY127" s="60">
        <f ca="1">AVERAGE(OFFSET($CX$3,0,0,'Données projet'!$E$13+1,1))-AVERAGE(OFFSET($H$3,0,0,'Données projet'!$E$13+1,1))</f>
        <v>226.5873967387837</v>
      </c>
      <c r="CZ127" s="60">
        <f t="shared" si="96"/>
        <v>188.57459946241204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-6.2527760746888816E-13</v>
      </c>
      <c r="DP127" s="18">
        <f>DO127*VLOOKUP('Données projet'!$B$14,Paramètres!$A$1:$I$89,3,0)*VLOOKUP('Données projet'!$B$14,Paramètres!$A$1:$I$89,5,0)</f>
        <v>-2.9262992029543964E-13</v>
      </c>
      <c r="DQ127" s="14" t="e">
        <f t="shared" si="97"/>
        <v>#NUM!</v>
      </c>
      <c r="DR127" s="22" t="e">
        <f t="shared" si="70"/>
        <v>#NUM!</v>
      </c>
      <c r="DS127" s="60" t="e">
        <f t="shared" si="71"/>
        <v>#NUM!</v>
      </c>
      <c r="DT127" s="60">
        <f ca="1">AVERAGE(OFFSET($DS$3,0,0,'Données projet'!$E$14+1,1))-AVERAGE(OFFSET($H$3,0,0,'Données projet'!$E$14+1,1))</f>
        <v>212.19771249416107</v>
      </c>
      <c r="DU127" s="60">
        <f t="shared" si="98"/>
        <v>125.93313963856127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34.124999999999993</v>
      </c>
      <c r="D128" s="12">
        <f t="shared" si="86"/>
        <v>10.427376798857695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343.91308406135767</v>
      </c>
      <c r="H128" s="68">
        <f t="shared" si="56"/>
        <v>334.26205625801049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305.69759999999934</v>
      </c>
      <c r="P128" s="14">
        <f t="shared" si="87"/>
        <v>72.369588270212233</v>
      </c>
      <c r="Q128" s="22">
        <f t="shared" si="107"/>
        <v>658.46701957061839</v>
      </c>
      <c r="R128" s="60">
        <f t="shared" si="55"/>
        <v>951.80035290395176</v>
      </c>
      <c r="S128" s="60">
        <f ca="1">AVERAGE(OFFSET($R$3,0,0,'Données projet'!$E$9+1,1))-AVERAGE(OFFSET($H$3,0,0,'Données projet'!$E$9+1,1))</f>
        <v>455.09463986470064</v>
      </c>
      <c r="T128" s="60">
        <f t="shared" si="88"/>
        <v>266.42568447709669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1.4210854715202004E-13</v>
      </c>
      <c r="AJ128" s="14">
        <f>AI128*VLOOKUP('Données projet'!$B$10,Paramètres!$A$1:$I$89,3,0)*VLOOKUP('Données projet'!$B$10,Paramètres!$A$1:$I$89,5,0)</f>
        <v>1.2192913345643319E-13</v>
      </c>
      <c r="AK128" s="14">
        <f t="shared" si="89"/>
        <v>1.7899324464546674E-12</v>
      </c>
      <c r="AL128" s="22">
        <f t="shared" si="58"/>
        <v>3.3298255850118335E-12</v>
      </c>
      <c r="AM128" s="60">
        <f t="shared" si="59"/>
        <v>293.33333333333667</v>
      </c>
      <c r="AN128" s="60">
        <f ca="1">AVERAGE(OFFSET($AM$3,0,0,'Données projet'!$E$10+1,1))-AVERAGE(OFFSET($H$3,0,0,'Données projet'!$E$10+1,1))</f>
        <v>201.39673092164992</v>
      </c>
      <c r="AO128" s="60">
        <f t="shared" si="90"/>
        <v>278.95637851890405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-1.7053025658242404E-13</v>
      </c>
      <c r="BE128" s="14">
        <f>BD128*VLOOKUP('Données projet'!$B$11,Paramètres!$A$1:$I$89,3,0)*VLOOKUP('Données projet'!$B$11,Paramètres!$A$1:$I$89,5,0)</f>
        <v>-1.7025740817189217E-13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123.29894837876157</v>
      </c>
      <c r="BJ128" s="60">
        <f t="shared" si="92"/>
        <v>103.52963511757127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287.97599999999943</v>
      </c>
      <c r="CA128" s="14">
        <f t="shared" si="93"/>
        <v>68.649801713863027</v>
      </c>
      <c r="CB128" s="22">
        <f t="shared" si="64"/>
        <v>621.12327131831046</v>
      </c>
      <c r="CC128" s="60">
        <f t="shared" si="65"/>
        <v>914.45660465164383</v>
      </c>
      <c r="CD128" s="60">
        <f ca="1">AVERAGE(OFFSET($CC$3,0,0,'Données projet'!$E$12+1,1))-AVERAGE(OFFSET($H$3,0,0,'Données projet'!$E$12+1,1))</f>
        <v>428.49602929661046</v>
      </c>
      <c r="CE128" s="60">
        <f t="shared" si="94"/>
        <v>252.32489414103878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3.813056537183002E-14</v>
      </c>
      <c r="CV128" s="14">
        <f t="shared" si="95"/>
        <v>6.4086286045526829E-13</v>
      </c>
      <c r="CW128" s="22">
        <f t="shared" si="67"/>
        <v>1.1825802166488628E-12</v>
      </c>
      <c r="CX128" s="60">
        <f t="shared" si="68"/>
        <v>293.33333333333451</v>
      </c>
      <c r="CY128" s="60">
        <f ca="1">AVERAGE(OFFSET($CX$3,0,0,'Données projet'!$E$13+1,1))-AVERAGE(OFFSET($H$3,0,0,'Données projet'!$E$13+1,1))</f>
        <v>226.5873967387837</v>
      </c>
      <c r="CZ128" s="60">
        <f t="shared" si="96"/>
        <v>188.57459946241204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-6.2527760746888816E-13</v>
      </c>
      <c r="DP128" s="18">
        <f>DO128*VLOOKUP('Données projet'!$B$14,Paramètres!$A$1:$I$89,3,0)*VLOOKUP('Données projet'!$B$14,Paramètres!$A$1:$I$89,5,0)</f>
        <v>-2.9262992029543964E-13</v>
      </c>
      <c r="DQ128" s="14" t="e">
        <f t="shared" si="97"/>
        <v>#NUM!</v>
      </c>
      <c r="DR128" s="22" t="e">
        <f t="shared" si="70"/>
        <v>#NUM!</v>
      </c>
      <c r="DS128" s="60" t="e">
        <f t="shared" si="71"/>
        <v>#NUM!</v>
      </c>
      <c r="DT128" s="60">
        <f ca="1">AVERAGE(OFFSET($DS$3,0,0,'Données projet'!$E$14+1,1))-AVERAGE(OFFSET($H$3,0,0,'Données projet'!$E$14+1,1))</f>
        <v>212.19771249416107</v>
      </c>
      <c r="DU128" s="60">
        <f t="shared" si="98"/>
        <v>125.93313963856127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34.397999999999996</v>
      </c>
      <c r="D129" s="12">
        <f t="shared" si="86"/>
        <v>10.501051622783342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346.58917042148545</v>
      </c>
      <c r="H129" s="68">
        <f t="shared" si="56"/>
        <v>334.86584824301434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309.14207999999934</v>
      </c>
      <c r="P129" s="14">
        <f t="shared" si="87"/>
        <v>73.089633441733085</v>
      </c>
      <c r="Q129" s="22">
        <f t="shared" si="107"/>
        <v>665.72023424435065</v>
      </c>
      <c r="R129" s="60">
        <f t="shared" si="55"/>
        <v>959.05356757768391</v>
      </c>
      <c r="S129" s="60">
        <f ca="1">AVERAGE(OFFSET($R$3,0,0,'Données projet'!$E$9+1,1))-AVERAGE(OFFSET($H$3,0,0,'Données projet'!$E$9+1,1))</f>
        <v>455.09463986470064</v>
      </c>
      <c r="T129" s="60">
        <f t="shared" si="88"/>
        <v>266.42568447709669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1.4210854715202004E-13</v>
      </c>
      <c r="AJ129" s="14">
        <f>AI129*VLOOKUP('Données projet'!$B$10,Paramètres!$A$1:$I$89,3,0)*VLOOKUP('Données projet'!$B$10,Paramètres!$A$1:$I$89,5,0)</f>
        <v>1.2192913345643319E-13</v>
      </c>
      <c r="AK129" s="14">
        <f t="shared" si="89"/>
        <v>1.7899324464546674E-12</v>
      </c>
      <c r="AL129" s="22">
        <f t="shared" si="58"/>
        <v>3.3298255850118335E-12</v>
      </c>
      <c r="AM129" s="60">
        <f t="shared" si="59"/>
        <v>293.33333333333667</v>
      </c>
      <c r="AN129" s="60">
        <f ca="1">AVERAGE(OFFSET($AM$3,0,0,'Données projet'!$E$10+1,1))-AVERAGE(OFFSET($H$3,0,0,'Données projet'!$E$10+1,1))</f>
        <v>201.39673092164992</v>
      </c>
      <c r="AO129" s="60">
        <f t="shared" si="90"/>
        <v>278.95637851890405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-1.7053025658242404E-13</v>
      </c>
      <c r="BE129" s="14">
        <f>BD129*VLOOKUP('Données projet'!$B$11,Paramètres!$A$1:$I$89,3,0)*VLOOKUP('Données projet'!$B$11,Paramètres!$A$1:$I$89,5,0)</f>
        <v>-1.7025740817189217E-13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123.29894837876157</v>
      </c>
      <c r="BJ129" s="60">
        <f t="shared" si="92"/>
        <v>103.52963511757127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291.22079999999943</v>
      </c>
      <c r="CA129" s="14">
        <f t="shared" si="93"/>
        <v>69.33283666585649</v>
      </c>
      <c r="CB129" s="22">
        <f t="shared" si="64"/>
        <v>627.96425052636573</v>
      </c>
      <c r="CC129" s="60">
        <f t="shared" si="65"/>
        <v>921.29758385969899</v>
      </c>
      <c r="CD129" s="60">
        <f ca="1">AVERAGE(OFFSET($CC$3,0,0,'Données projet'!$E$12+1,1))-AVERAGE(OFFSET($H$3,0,0,'Données projet'!$E$12+1,1))</f>
        <v>428.49602929661046</v>
      </c>
      <c r="CE129" s="60">
        <f t="shared" si="94"/>
        <v>252.32489414103878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3.813056537183002E-14</v>
      </c>
      <c r="CV129" s="14">
        <f t="shared" si="95"/>
        <v>6.4086286045526829E-13</v>
      </c>
      <c r="CW129" s="22">
        <f t="shared" si="67"/>
        <v>1.1825802166488628E-12</v>
      </c>
      <c r="CX129" s="60">
        <f t="shared" si="68"/>
        <v>293.33333333333451</v>
      </c>
      <c r="CY129" s="60">
        <f ca="1">AVERAGE(OFFSET($CX$3,0,0,'Données projet'!$E$13+1,1))-AVERAGE(OFFSET($H$3,0,0,'Données projet'!$E$13+1,1))</f>
        <v>226.5873967387837</v>
      </c>
      <c r="CZ129" s="60">
        <f t="shared" si="96"/>
        <v>188.57459946241204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-6.2527760746888816E-13</v>
      </c>
      <c r="DP129" s="18">
        <f>DO129*VLOOKUP('Données projet'!$B$14,Paramètres!$A$1:$I$89,3,0)*VLOOKUP('Données projet'!$B$14,Paramètres!$A$1:$I$89,5,0)</f>
        <v>-2.9262992029543964E-13</v>
      </c>
      <c r="DQ129" s="14" t="e">
        <f t="shared" si="97"/>
        <v>#NUM!</v>
      </c>
      <c r="DR129" s="22" t="e">
        <f t="shared" si="70"/>
        <v>#NUM!</v>
      </c>
      <c r="DS129" s="60" t="e">
        <f t="shared" si="71"/>
        <v>#NUM!</v>
      </c>
      <c r="DT129" s="60">
        <f ca="1">AVERAGE(OFFSET($DS$3,0,0,'Données projet'!$E$14+1,1))-AVERAGE(OFFSET($H$3,0,0,'Données projet'!$E$14+1,1))</f>
        <v>212.19771249416107</v>
      </c>
      <c r="DU129" s="60">
        <f t="shared" si="98"/>
        <v>125.93313963856127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34.670999999999999</v>
      </c>
      <c r="D130" s="12">
        <f t="shared" si="86"/>
        <v>10.574658415877819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349.26473163133755</v>
      </c>
      <c r="H130" s="68">
        <f t="shared" si="56"/>
        <v>335.4695217409872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312.58655999999934</v>
      </c>
      <c r="P130" s="14">
        <f t="shared" si="87"/>
        <v>73.808745345687839</v>
      </c>
      <c r="Q130" s="22">
        <f t="shared" si="107"/>
        <v>672.97182347707178</v>
      </c>
      <c r="R130" s="60">
        <f t="shared" si="55"/>
        <v>966.30515681040515</v>
      </c>
      <c r="S130" s="60">
        <f ca="1">AVERAGE(OFFSET($R$3,0,0,'Données projet'!$E$9+1,1))-AVERAGE(OFFSET($H$3,0,0,'Données projet'!$E$9+1,1))</f>
        <v>455.09463986470064</v>
      </c>
      <c r="T130" s="60">
        <f t="shared" si="88"/>
        <v>266.42568447709669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1.4210854715202004E-13</v>
      </c>
      <c r="AJ130" s="14">
        <f>AI130*VLOOKUP('Données projet'!$B$10,Paramètres!$A$1:$I$89,3,0)*VLOOKUP('Données projet'!$B$10,Paramètres!$A$1:$I$89,5,0)</f>
        <v>1.2192913345643319E-13</v>
      </c>
      <c r="AK130" s="14">
        <f t="shared" si="89"/>
        <v>1.7899324464546674E-12</v>
      </c>
      <c r="AL130" s="22">
        <f t="shared" si="58"/>
        <v>3.3298255850118335E-12</v>
      </c>
      <c r="AM130" s="60">
        <f t="shared" si="59"/>
        <v>293.33333333333667</v>
      </c>
      <c r="AN130" s="60">
        <f ca="1">AVERAGE(OFFSET($AM$3,0,0,'Données projet'!$E$10+1,1))-AVERAGE(OFFSET($H$3,0,0,'Données projet'!$E$10+1,1))</f>
        <v>201.39673092164992</v>
      </c>
      <c r="AO130" s="60">
        <f t="shared" si="90"/>
        <v>278.95637851890405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-1.7053025658242404E-13</v>
      </c>
      <c r="BE130" s="14">
        <f>BD130*VLOOKUP('Données projet'!$B$11,Paramètres!$A$1:$I$89,3,0)*VLOOKUP('Données projet'!$B$11,Paramètres!$A$1:$I$89,5,0)</f>
        <v>-1.7025740817189217E-13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123.29894837876157</v>
      </c>
      <c r="BJ130" s="60">
        <f t="shared" si="92"/>
        <v>103.52963511757127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294.46559999999943</v>
      </c>
      <c r="CA130" s="14">
        <f t="shared" si="93"/>
        <v>70.0149863201041</v>
      </c>
      <c r="CB130" s="22">
        <f t="shared" si="64"/>
        <v>634.80368784084692</v>
      </c>
      <c r="CC130" s="60">
        <f t="shared" si="65"/>
        <v>928.13702117418029</v>
      </c>
      <c r="CD130" s="60">
        <f ca="1">AVERAGE(OFFSET($CC$3,0,0,'Données projet'!$E$12+1,1))-AVERAGE(OFFSET($H$3,0,0,'Données projet'!$E$12+1,1))</f>
        <v>428.49602929661046</v>
      </c>
      <c r="CE130" s="60">
        <f t="shared" si="94"/>
        <v>252.32489414103878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3.813056537183002E-14</v>
      </c>
      <c r="CV130" s="14">
        <f t="shared" si="95"/>
        <v>6.4086286045526829E-13</v>
      </c>
      <c r="CW130" s="22">
        <f t="shared" si="67"/>
        <v>1.1825802166488628E-12</v>
      </c>
      <c r="CX130" s="60">
        <f t="shared" si="68"/>
        <v>293.33333333333451</v>
      </c>
      <c r="CY130" s="60">
        <f ca="1">AVERAGE(OFFSET($CX$3,0,0,'Données projet'!$E$13+1,1))-AVERAGE(OFFSET($H$3,0,0,'Données projet'!$E$13+1,1))</f>
        <v>226.5873967387837</v>
      </c>
      <c r="CZ130" s="60">
        <f t="shared" si="96"/>
        <v>188.57459946241204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-6.2527760746888816E-13</v>
      </c>
      <c r="DP130" s="18">
        <f>DO130*VLOOKUP('Données projet'!$B$14,Paramètres!$A$1:$I$89,3,0)*VLOOKUP('Données projet'!$B$14,Paramètres!$A$1:$I$89,5,0)</f>
        <v>-2.9262992029543964E-13</v>
      </c>
      <c r="DQ130" s="14" t="e">
        <f t="shared" si="97"/>
        <v>#NUM!</v>
      </c>
      <c r="DR130" s="22" t="e">
        <f t="shared" si="70"/>
        <v>#NUM!</v>
      </c>
      <c r="DS130" s="60" t="e">
        <f t="shared" si="71"/>
        <v>#NUM!</v>
      </c>
      <c r="DT130" s="60">
        <f ca="1">AVERAGE(OFFSET($DS$3,0,0,'Données projet'!$E$14+1,1))-AVERAGE(OFFSET($H$3,0,0,'Données projet'!$E$14+1,1))</f>
        <v>212.19771249416107</v>
      </c>
      <c r="DU130" s="60">
        <f t="shared" si="98"/>
        <v>125.93313963856127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131" s="12">
        <f t="shared" si="86"/>
        <v>10.648197775908045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351.93977230525508</v>
      </c>
      <c r="H131" s="68">
        <f t="shared" si="56"/>
        <v>336.07307779303989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316.03103999999934</v>
      </c>
      <c r="P131" s="14">
        <f t="shared" si="87"/>
        <v>74.526935456174002</v>
      </c>
      <c r="Q131" s="22">
        <f t="shared" ref="Q131:Q153" si="108">(O131+P131)*0.475*44/12</f>
        <v>680.22180725283522</v>
      </c>
      <c r="R131" s="60">
        <f t="shared" ref="R131:R194" si="109">Q131+(I131+J131)*44/12</f>
        <v>973.55514058616859</v>
      </c>
      <c r="S131" s="60">
        <f ca="1">AVERAGE(OFFSET($R$3,0,0,'Données projet'!$E$9+1,1))-AVERAGE(OFFSET($H$3,0,0,'Données projet'!$E$9+1,1))</f>
        <v>455.09463986470064</v>
      </c>
      <c r="T131" s="60">
        <f t="shared" si="88"/>
        <v>266.42568447709669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1.4210854715202004E-13</v>
      </c>
      <c r="AJ131" s="14">
        <f>AI131*VLOOKUP('Données projet'!$B$10,Paramètres!$A$1:$I$89,3,0)*VLOOKUP('Données projet'!$B$10,Paramètres!$A$1:$I$89,5,0)</f>
        <v>1.2192913345643319E-13</v>
      </c>
      <c r="AK131" s="14">
        <f t="shared" si="89"/>
        <v>1.7899324464546674E-12</v>
      </c>
      <c r="AL131" s="22">
        <f t="shared" si="58"/>
        <v>3.3298255850118335E-12</v>
      </c>
      <c r="AM131" s="60">
        <f t="shared" si="59"/>
        <v>293.33333333333667</v>
      </c>
      <c r="AN131" s="60">
        <f ca="1">AVERAGE(OFFSET($AM$3,0,0,'Données projet'!$E$10+1,1))-AVERAGE(OFFSET($H$3,0,0,'Données projet'!$E$10+1,1))</f>
        <v>201.39673092164992</v>
      </c>
      <c r="AO131" s="60">
        <f t="shared" si="90"/>
        <v>278.95637851890405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-1.7053025658242404E-13</v>
      </c>
      <c r="BE131" s="14">
        <f>BD131*VLOOKUP('Données projet'!$B$11,Paramètres!$A$1:$I$89,3,0)*VLOOKUP('Données projet'!$B$11,Paramètres!$A$1:$I$89,5,0)</f>
        <v>-1.7025740817189217E-13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123.29894837876157</v>
      </c>
      <c r="BJ131" s="60">
        <f t="shared" si="92"/>
        <v>103.52963511757127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297.71039999999937</v>
      </c>
      <c r="CA131" s="14">
        <f t="shared" si="93"/>
        <v>70.696261560936534</v>
      </c>
      <c r="CB131" s="22">
        <f t="shared" si="64"/>
        <v>641.64160221862994</v>
      </c>
      <c r="CC131" s="60">
        <f t="shared" si="65"/>
        <v>934.9749355519632</v>
      </c>
      <c r="CD131" s="60">
        <f ca="1">AVERAGE(OFFSET($CC$3,0,0,'Données projet'!$E$12+1,1))-AVERAGE(OFFSET($H$3,0,0,'Données projet'!$E$12+1,1))</f>
        <v>428.49602929661046</v>
      </c>
      <c r="CE131" s="60">
        <f t="shared" si="94"/>
        <v>252.32489414103878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3.813056537183002E-14</v>
      </c>
      <c r="CV131" s="14">
        <f t="shared" si="95"/>
        <v>6.4086286045526829E-13</v>
      </c>
      <c r="CW131" s="22">
        <f t="shared" si="67"/>
        <v>1.1825802166488628E-12</v>
      </c>
      <c r="CX131" s="60">
        <f t="shared" si="68"/>
        <v>293.33333333333451</v>
      </c>
      <c r="CY131" s="60">
        <f ca="1">AVERAGE(OFFSET($CX$3,0,0,'Données projet'!$E$13+1,1))-AVERAGE(OFFSET($H$3,0,0,'Données projet'!$E$13+1,1))</f>
        <v>226.5873967387837</v>
      </c>
      <c r="CZ131" s="60">
        <f t="shared" si="96"/>
        <v>188.57459946241204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-6.2527760746888816E-13</v>
      </c>
      <c r="DP131" s="18">
        <f>DO131*VLOOKUP('Données projet'!$B$14,Paramètres!$A$1:$I$89,3,0)*VLOOKUP('Données projet'!$B$14,Paramètres!$A$1:$I$89,5,0)</f>
        <v>-2.9262992029543964E-13</v>
      </c>
      <c r="DQ131" s="14" t="e">
        <f t="shared" si="97"/>
        <v>#NUM!</v>
      </c>
      <c r="DR131" s="22" t="e">
        <f t="shared" si="70"/>
        <v>#NUM!</v>
      </c>
      <c r="DS131" s="60" t="e">
        <f t="shared" si="71"/>
        <v>#NUM!</v>
      </c>
      <c r="DT131" s="60">
        <f ca="1">AVERAGE(OFFSET($DS$3,0,0,'Données projet'!$E$14+1,1))-AVERAGE(OFFSET($H$3,0,0,'Données projet'!$E$14+1,1))</f>
        <v>212.19771249416107</v>
      </c>
      <c r="DU131" s="60">
        <f t="shared" si="98"/>
        <v>125.93313963856127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35.217000000000006</v>
      </c>
      <c r="D132" s="12">
        <f t="shared" si="86"/>
        <v>10.721670290761447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354.6142969813165</v>
      </c>
      <c r="H132" s="68">
        <f t="shared" ref="H132:H195" si="110">(B132+E132+F132)*44/12+(C132+D132)*0.475*44/12</f>
        <v>336.67651742307623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319.47551999999928</v>
      </c>
      <c r="P132" s="14">
        <f t="shared" si="87"/>
        <v>75.244214982768113</v>
      </c>
      <c r="Q132" s="22">
        <f t="shared" si="108"/>
        <v>687.47020509498645</v>
      </c>
      <c r="R132" s="60">
        <f t="shared" si="109"/>
        <v>980.80353842831983</v>
      </c>
      <c r="S132" s="60">
        <f ca="1">AVERAGE(OFFSET($R$3,0,0,'Données projet'!$E$9+1,1))-AVERAGE(OFFSET($H$3,0,0,'Données projet'!$E$9+1,1))</f>
        <v>455.09463986470064</v>
      </c>
      <c r="T132" s="60">
        <f t="shared" si="88"/>
        <v>266.42568447709669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1.4210854715202004E-13</v>
      </c>
      <c r="AJ132" s="14">
        <f>AI132*VLOOKUP('Données projet'!$B$10,Paramètres!$A$1:$I$89,3,0)*VLOOKUP('Données projet'!$B$10,Paramètres!$A$1:$I$89,5,0)</f>
        <v>1.2192913345643319E-13</v>
      </c>
      <c r="AK132" s="14">
        <f t="shared" si="89"/>
        <v>1.7899324464546674E-12</v>
      </c>
      <c r="AL132" s="22">
        <f t="shared" ref="AL132:AL153" si="112">(AJ132+AK132)*0.475*44/12</f>
        <v>3.3298255850118335E-12</v>
      </c>
      <c r="AM132" s="60">
        <f t="shared" ref="AM132:AM195" si="113">AL132+(AD132+AE132)*44/12</f>
        <v>293.33333333333667</v>
      </c>
      <c r="AN132" s="60">
        <f ca="1">AVERAGE(OFFSET($AM$3,0,0,'Données projet'!$E$10+1,1))-AVERAGE(OFFSET($H$3,0,0,'Données projet'!$E$10+1,1))</f>
        <v>201.39673092164992</v>
      </c>
      <c r="AO132" s="60">
        <f t="shared" si="90"/>
        <v>278.95637851890405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-1.7053025658242404E-13</v>
      </c>
      <c r="BE132" s="14">
        <f>BD132*VLOOKUP('Données projet'!$B$11,Paramètres!$A$1:$I$89,3,0)*VLOOKUP('Données projet'!$B$11,Paramètres!$A$1:$I$89,5,0)</f>
        <v>-1.7025740817189217E-13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123.29894837876157</v>
      </c>
      <c r="BJ132" s="60">
        <f t="shared" si="92"/>
        <v>103.52963511757127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300.95519999999942</v>
      </c>
      <c r="CA132" s="14">
        <f t="shared" si="93"/>
        <v>71.376673021759657</v>
      </c>
      <c r="CB132" s="22">
        <f t="shared" ref="CB132:CB153" si="118">(BZ132+CA132)*0.475*44/12</f>
        <v>648.47801217956373</v>
      </c>
      <c r="CC132" s="60">
        <f t="shared" ref="CC132:CC195" si="119">CB132+(BT132+BU132)*44/12</f>
        <v>941.81134551289711</v>
      </c>
      <c r="CD132" s="60">
        <f ca="1">AVERAGE(OFFSET($CC$3,0,0,'Données projet'!$E$12+1,1))-AVERAGE(OFFSET($H$3,0,0,'Données projet'!$E$12+1,1))</f>
        <v>428.49602929661046</v>
      </c>
      <c r="CE132" s="60">
        <f t="shared" si="94"/>
        <v>252.32489414103878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3.813056537183002E-14</v>
      </c>
      <c r="CV132" s="14">
        <f t="shared" si="95"/>
        <v>6.4086286045526829E-13</v>
      </c>
      <c r="CW132" s="22">
        <f t="shared" ref="CW132:CW153" si="121">(CU132+CV132)*0.475*44/12</f>
        <v>1.1825802166488628E-12</v>
      </c>
      <c r="CX132" s="60">
        <f t="shared" ref="CX132:CX195" si="122">CW132+(CO132+CP132)*44/12</f>
        <v>293.33333333333451</v>
      </c>
      <c r="CY132" s="60">
        <f ca="1">AVERAGE(OFFSET($CX$3,0,0,'Données projet'!$E$13+1,1))-AVERAGE(OFFSET($H$3,0,0,'Données projet'!$E$13+1,1))</f>
        <v>226.5873967387837</v>
      </c>
      <c r="CZ132" s="60">
        <f t="shared" si="96"/>
        <v>188.57459946241204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-6.2527760746888816E-13</v>
      </c>
      <c r="DP132" s="18">
        <f>DO132*VLOOKUP('Données projet'!$B$14,Paramètres!$A$1:$I$89,3,0)*VLOOKUP('Données projet'!$B$14,Paramètres!$A$1:$I$89,5,0)</f>
        <v>-2.9262992029543964E-13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0" t="e">
        <f t="shared" ref="DS132:DS195" si="125">DR132+(DJ132+DK132)*44/12</f>
        <v>#NUM!</v>
      </c>
      <c r="DT132" s="60">
        <f ca="1">AVERAGE(OFFSET($DS$3,0,0,'Données projet'!$E$14+1,1))-AVERAGE(OFFSET($H$3,0,0,'Données projet'!$E$14+1,1))</f>
        <v>212.19771249416107</v>
      </c>
      <c r="DU132" s="60">
        <f t="shared" si="98"/>
        <v>125.93313963856127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35.490000000000009</v>
      </c>
      <c r="D133" s="12">
        <f t="shared" ref="D133:D196" si="140">IFERROR(EXP(-1.0587+0.8836*LN(C133)+0.284),0)</f>
        <v>10.795076538684516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357.28831012317875</v>
      </c>
      <c r="H133" s="68">
        <f t="shared" si="110"/>
        <v>337.27984163820889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322.91999999999928</v>
      </c>
      <c r="P133" s="14">
        <f t="shared" ref="P133:P196" si="141">EXP(-1.0587+0.8836*LN(O133)+0.284)</f>
        <v>75.960594879408617</v>
      </c>
      <c r="Q133" s="22">
        <f t="shared" si="108"/>
        <v>694.71703608163534</v>
      </c>
      <c r="R133" s="60">
        <f t="shared" si="109"/>
        <v>988.0503694149686</v>
      </c>
      <c r="S133" s="60">
        <f ca="1">AVERAGE(OFFSET($R$3,0,0,'Données projet'!$E$9+1,1))-AVERAGE(OFFSET($H$3,0,0,'Données projet'!$E$9+1,1))</f>
        <v>455.09463986470064</v>
      </c>
      <c r="T133" s="60">
        <f t="shared" ref="T133:T196" si="142">$T$3</f>
        <v>266.42568447709669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1.4210854715202004E-13</v>
      </c>
      <c r="AJ133" s="14">
        <f>AI133*VLOOKUP('Données projet'!$B$10,Paramètres!$A$1:$I$89,3,0)*VLOOKUP('Données projet'!$B$10,Paramètres!$A$1:$I$89,5,0)</f>
        <v>1.2192913345643319E-13</v>
      </c>
      <c r="AK133" s="14">
        <f t="shared" ref="AK133:AK153" si="143">EXP(-1.0587+0.8836*LN(AJ133)+0.284)</f>
        <v>1.7899324464546674E-12</v>
      </c>
      <c r="AL133" s="22">
        <f t="shared" si="112"/>
        <v>3.3298255850118335E-12</v>
      </c>
      <c r="AM133" s="60">
        <f t="shared" si="113"/>
        <v>293.33333333333667</v>
      </c>
      <c r="AN133" s="60">
        <f ca="1">AVERAGE(OFFSET($AM$3,0,0,'Données projet'!$E$10+1,1))-AVERAGE(OFFSET($H$3,0,0,'Données projet'!$E$10+1,1))</f>
        <v>201.39673092164992</v>
      </c>
      <c r="AO133" s="60">
        <f t="shared" ref="AO133:AO196" si="144">$AO$3</f>
        <v>278.95637851890405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-1.7053025658242404E-13</v>
      </c>
      <c r="BE133" s="14">
        <f>BD133*VLOOKUP('Données projet'!$B$11,Paramètres!$A$1:$I$89,3,0)*VLOOKUP('Données projet'!$B$11,Paramètres!$A$1:$I$89,5,0)</f>
        <v>-1.7025740817189217E-13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123.29894837876157</v>
      </c>
      <c r="BJ133" s="60">
        <f t="shared" ref="BJ133:BJ196" si="146">$BJ$3</f>
        <v>103.52963511757127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304.19999999999936</v>
      </c>
      <c r="CA133" s="14">
        <f t="shared" ref="CA133:CA153" si="147">EXP(-1.0587+0.8836*LN(BZ133)+0.284)</f>
        <v>72.056231093480946</v>
      </c>
      <c r="CB133" s="22">
        <f t="shared" si="118"/>
        <v>655.31293582114483</v>
      </c>
      <c r="CC133" s="60">
        <f t="shared" si="119"/>
        <v>948.6462691544782</v>
      </c>
      <c r="CD133" s="60">
        <f ca="1">AVERAGE(OFFSET($CC$3,0,0,'Données projet'!$E$12+1,1))-AVERAGE(OFFSET($H$3,0,0,'Données projet'!$E$12+1,1))</f>
        <v>428.49602929661046</v>
      </c>
      <c r="CE133" s="60">
        <f t="shared" ref="CE133:CE196" si="148">$CE$3</f>
        <v>252.32489414103878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3.813056537183002E-14</v>
      </c>
      <c r="CV133" s="14">
        <f t="shared" ref="CV133:CV153" si="149">EXP(-1.0587+0.8836*LN(CU133)+0.284)</f>
        <v>6.4086286045526829E-13</v>
      </c>
      <c r="CW133" s="22">
        <f t="shared" si="121"/>
        <v>1.1825802166488628E-12</v>
      </c>
      <c r="CX133" s="60">
        <f t="shared" si="122"/>
        <v>293.33333333333451</v>
      </c>
      <c r="CY133" s="60">
        <f ca="1">AVERAGE(OFFSET($CX$3,0,0,'Données projet'!$E$13+1,1))-AVERAGE(OFFSET($H$3,0,0,'Données projet'!$E$13+1,1))</f>
        <v>226.5873967387837</v>
      </c>
      <c r="CZ133" s="60">
        <f t="shared" ref="CZ133:CZ196" si="150">$CZ$3</f>
        <v>188.57459946241204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-6.2527760746888816E-13</v>
      </c>
      <c r="DP133" s="18">
        <f>DO133*VLOOKUP('Données projet'!$B$14,Paramètres!$A$1:$I$89,3,0)*VLOOKUP('Données projet'!$B$14,Paramètres!$A$1:$I$89,5,0)</f>
        <v>-2.9262992029543964E-13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0" t="e">
        <f t="shared" si="125"/>
        <v>#NUM!</v>
      </c>
      <c r="DT133" s="60">
        <f ca="1">AVERAGE(OFFSET($DS$3,0,0,'Données projet'!$E$14+1,1))-AVERAGE(OFFSET($H$3,0,0,'Données projet'!$E$14+1,1))</f>
        <v>212.19771249416107</v>
      </c>
      <c r="DU133" s="60">
        <f t="shared" ref="DU133:DU196" si="152">$DU$3</f>
        <v>125.93313963856127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35.763000000000012</v>
      </c>
      <c r="D134" s="12">
        <f t="shared" si="140"/>
        <v>10.868417088513807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359.96181612186109</v>
      </c>
      <c r="H134" s="68">
        <f t="shared" si="110"/>
        <v>337.88305142916158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292.45787999999931</v>
      </c>
      <c r="P134" s="14">
        <f t="shared" si="141"/>
        <v>69.59301004501954</v>
      </c>
      <c r="Q134" s="22">
        <f t="shared" si="108"/>
        <v>630.57196682840777</v>
      </c>
      <c r="R134" s="60">
        <f t="shared" si="109"/>
        <v>923.90530016174102</v>
      </c>
      <c r="S134" s="60">
        <f ca="1">AVERAGE(OFFSET($R$3,0,0,'Données projet'!$E$9+1,1))-AVERAGE(OFFSET($H$3,0,0,'Données projet'!$E$9+1,1))</f>
        <v>455.09463986470064</v>
      </c>
      <c r="T134" s="60">
        <f t="shared" si="142"/>
        <v>266.42568447709669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1.4210854715202004E-13</v>
      </c>
      <c r="AJ134" s="14">
        <f>AI134*VLOOKUP('Données projet'!$B$10,Paramètres!$A$1:$I$89,3,0)*VLOOKUP('Données projet'!$B$10,Paramètres!$A$1:$I$89,5,0)</f>
        <v>1.2192913345643319E-13</v>
      </c>
      <c r="AK134" s="14">
        <f t="shared" si="143"/>
        <v>1.7899324464546674E-12</v>
      </c>
      <c r="AL134" s="22">
        <f t="shared" si="112"/>
        <v>3.3298255850118335E-12</v>
      </c>
      <c r="AM134" s="60">
        <f t="shared" si="113"/>
        <v>293.33333333333667</v>
      </c>
      <c r="AN134" s="60">
        <f ca="1">AVERAGE(OFFSET($AM$3,0,0,'Données projet'!$E$10+1,1))-AVERAGE(OFFSET($H$3,0,0,'Données projet'!$E$10+1,1))</f>
        <v>201.39673092164992</v>
      </c>
      <c r="AO134" s="60">
        <f t="shared" si="144"/>
        <v>278.95637851890405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-1.7053025658242404E-13</v>
      </c>
      <c r="BE134" s="14">
        <f>BD134*VLOOKUP('Données projet'!$B$11,Paramètres!$A$1:$I$89,3,0)*VLOOKUP('Données projet'!$B$11,Paramètres!$A$1:$I$89,5,0)</f>
        <v>-1.7025740817189217E-13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123.29894837876157</v>
      </c>
      <c r="BJ134" s="60">
        <f t="shared" si="146"/>
        <v>103.52963511757127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275.50379999999939</v>
      </c>
      <c r="CA134" s="14">
        <f t="shared" si="147"/>
        <v>66.015939215007748</v>
      </c>
      <c r="CB134" s="22">
        <f t="shared" si="118"/>
        <v>594.81354579947072</v>
      </c>
      <c r="CC134" s="60">
        <f t="shared" si="119"/>
        <v>888.14687913280409</v>
      </c>
      <c r="CD134" s="60">
        <f ca="1">AVERAGE(OFFSET($CC$3,0,0,'Données projet'!$E$12+1,1))-AVERAGE(OFFSET($H$3,0,0,'Données projet'!$E$12+1,1))</f>
        <v>428.49602929661046</v>
      </c>
      <c r="CE134" s="60">
        <f t="shared" si="148"/>
        <v>252.32489414103878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3.813056537183002E-14</v>
      </c>
      <c r="CV134" s="14">
        <f t="shared" si="149"/>
        <v>6.4086286045526829E-13</v>
      </c>
      <c r="CW134" s="22">
        <f t="shared" si="121"/>
        <v>1.1825802166488628E-12</v>
      </c>
      <c r="CX134" s="60">
        <f t="shared" si="122"/>
        <v>293.33333333333451</v>
      </c>
      <c r="CY134" s="60">
        <f ca="1">AVERAGE(OFFSET($CX$3,0,0,'Données projet'!$E$13+1,1))-AVERAGE(OFFSET($H$3,0,0,'Données projet'!$E$13+1,1))</f>
        <v>226.5873967387837</v>
      </c>
      <c r="CZ134" s="60">
        <f t="shared" si="150"/>
        <v>188.57459946241204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-6.2527760746888816E-13</v>
      </c>
      <c r="DP134" s="18">
        <f>DO134*VLOOKUP('Données projet'!$B$14,Paramètres!$A$1:$I$89,3,0)*VLOOKUP('Données projet'!$B$14,Paramètres!$A$1:$I$89,5,0)</f>
        <v>-2.9262992029543964E-13</v>
      </c>
      <c r="DQ134" s="14" t="e">
        <f t="shared" si="151"/>
        <v>#NUM!</v>
      </c>
      <c r="DR134" s="22" t="e">
        <f t="shared" si="124"/>
        <v>#NUM!</v>
      </c>
      <c r="DS134" s="60" t="e">
        <f t="shared" si="125"/>
        <v>#NUM!</v>
      </c>
      <c r="DT134" s="60">
        <f ca="1">AVERAGE(OFFSET($DS$3,0,0,'Données projet'!$E$14+1,1))-AVERAGE(OFFSET($H$3,0,0,'Données projet'!$E$14+1,1))</f>
        <v>212.19771249416107</v>
      </c>
      <c r="DU134" s="60">
        <f t="shared" si="152"/>
        <v>125.93313963856127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36.036000000000016</v>
      </c>
      <c r="D135" s="12">
        <f t="shared" si="140"/>
        <v>10.941692499899746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362.63481929747178</v>
      </c>
      <c r="H135" s="68">
        <f t="shared" si="110"/>
        <v>338.48614777065876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295.36415999999929</v>
      </c>
      <c r="P135" s="14">
        <f t="shared" si="141"/>
        <v>70.203734243177976</v>
      </c>
      <c r="Q135" s="22">
        <f t="shared" si="108"/>
        <v>636.69741580686696</v>
      </c>
      <c r="R135" s="60">
        <f t="shared" si="109"/>
        <v>930.03074914020021</v>
      </c>
      <c r="S135" s="60">
        <f ca="1">AVERAGE(OFFSET($R$3,0,0,'Données projet'!$E$9+1,1))-AVERAGE(OFFSET($H$3,0,0,'Données projet'!$E$9+1,1))</f>
        <v>455.09463986470064</v>
      </c>
      <c r="T135" s="60">
        <f t="shared" si="142"/>
        <v>266.42568447709669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1.4210854715202004E-13</v>
      </c>
      <c r="AJ135" s="14">
        <f>AI135*VLOOKUP('Données projet'!$B$10,Paramètres!$A$1:$I$89,3,0)*VLOOKUP('Données projet'!$B$10,Paramètres!$A$1:$I$89,5,0)</f>
        <v>1.2192913345643319E-13</v>
      </c>
      <c r="AK135" s="14">
        <f t="shared" si="143"/>
        <v>1.7899324464546674E-12</v>
      </c>
      <c r="AL135" s="22">
        <f t="shared" si="112"/>
        <v>3.3298255850118335E-12</v>
      </c>
      <c r="AM135" s="60">
        <f t="shared" si="113"/>
        <v>293.33333333333667</v>
      </c>
      <c r="AN135" s="60">
        <f ca="1">AVERAGE(OFFSET($AM$3,0,0,'Données projet'!$E$10+1,1))-AVERAGE(OFFSET($H$3,0,0,'Données projet'!$E$10+1,1))</f>
        <v>201.39673092164992</v>
      </c>
      <c r="AO135" s="60">
        <f t="shared" si="144"/>
        <v>278.95637851890405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-1.7053025658242404E-13</v>
      </c>
      <c r="BE135" s="14">
        <f>BD135*VLOOKUP('Données projet'!$B$11,Paramètres!$A$1:$I$89,3,0)*VLOOKUP('Données projet'!$B$11,Paramètres!$A$1:$I$89,5,0)</f>
        <v>-1.7025740817189217E-13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123.29894837876157</v>
      </c>
      <c r="BJ135" s="60">
        <f t="shared" si="146"/>
        <v>103.52963511757127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278.24159999999938</v>
      </c>
      <c r="CA135" s="14">
        <f t="shared" si="147"/>
        <v>66.595272276139625</v>
      </c>
      <c r="CB135" s="22">
        <f t="shared" si="118"/>
        <v>600.59088588094198</v>
      </c>
      <c r="CC135" s="60">
        <f t="shared" si="119"/>
        <v>893.92421921427535</v>
      </c>
      <c r="CD135" s="60">
        <f ca="1">AVERAGE(OFFSET($CC$3,0,0,'Données projet'!$E$12+1,1))-AVERAGE(OFFSET($H$3,0,0,'Données projet'!$E$12+1,1))</f>
        <v>428.49602929661046</v>
      </c>
      <c r="CE135" s="60">
        <f t="shared" si="148"/>
        <v>252.32489414103878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3.813056537183002E-14</v>
      </c>
      <c r="CV135" s="14">
        <f t="shared" si="149"/>
        <v>6.4086286045526829E-13</v>
      </c>
      <c r="CW135" s="22">
        <f t="shared" si="121"/>
        <v>1.1825802166488628E-12</v>
      </c>
      <c r="CX135" s="60">
        <f t="shared" si="122"/>
        <v>293.33333333333451</v>
      </c>
      <c r="CY135" s="60">
        <f ca="1">AVERAGE(OFFSET($CX$3,0,0,'Données projet'!$E$13+1,1))-AVERAGE(OFFSET($H$3,0,0,'Données projet'!$E$13+1,1))</f>
        <v>226.5873967387837</v>
      </c>
      <c r="CZ135" s="60">
        <f t="shared" si="150"/>
        <v>188.57459946241204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-6.2527760746888816E-13</v>
      </c>
      <c r="DP135" s="18">
        <f>DO135*VLOOKUP('Données projet'!$B$14,Paramètres!$A$1:$I$89,3,0)*VLOOKUP('Données projet'!$B$14,Paramètres!$A$1:$I$89,5,0)</f>
        <v>-2.9262992029543964E-13</v>
      </c>
      <c r="DQ135" s="14" t="e">
        <f t="shared" si="151"/>
        <v>#NUM!</v>
      </c>
      <c r="DR135" s="22" t="e">
        <f t="shared" si="124"/>
        <v>#NUM!</v>
      </c>
      <c r="DS135" s="60" t="e">
        <f t="shared" si="125"/>
        <v>#NUM!</v>
      </c>
      <c r="DT135" s="60">
        <f ca="1">AVERAGE(OFFSET($DS$3,0,0,'Données projet'!$E$14+1,1))-AVERAGE(OFFSET($H$3,0,0,'Données projet'!$E$14+1,1))</f>
        <v>212.19771249416107</v>
      </c>
      <c r="DU135" s="60">
        <f t="shared" si="152"/>
        <v>125.93313963856127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36.309000000000019</v>
      </c>
      <c r="D136" s="12">
        <f t="shared" si="140"/>
        <v>11.014903323523397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365.30732390088252</v>
      </c>
      <c r="H136" s="68">
        <f t="shared" si="110"/>
        <v>339.08913162180329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298.27043999999927</v>
      </c>
      <c r="P136" s="14">
        <f t="shared" si="141"/>
        <v>70.813759345855843</v>
      </c>
      <c r="Q136" s="22">
        <f t="shared" si="108"/>
        <v>642.8216471940309</v>
      </c>
      <c r="R136" s="60">
        <f t="shared" si="109"/>
        <v>936.15498052736416</v>
      </c>
      <c r="S136" s="60">
        <f ca="1">AVERAGE(OFFSET($R$3,0,0,'Données projet'!$E$9+1,1))-AVERAGE(OFFSET($H$3,0,0,'Données projet'!$E$9+1,1))</f>
        <v>455.09463986470064</v>
      </c>
      <c r="T136" s="60">
        <f t="shared" si="142"/>
        <v>266.42568447709669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1.4210854715202004E-13</v>
      </c>
      <c r="AJ136" s="14">
        <f>AI136*VLOOKUP('Données projet'!$B$10,Paramètres!$A$1:$I$89,3,0)*VLOOKUP('Données projet'!$B$10,Paramètres!$A$1:$I$89,5,0)</f>
        <v>1.2192913345643319E-13</v>
      </c>
      <c r="AK136" s="14">
        <f t="shared" si="143"/>
        <v>1.7899324464546674E-12</v>
      </c>
      <c r="AL136" s="22">
        <f t="shared" si="112"/>
        <v>3.3298255850118335E-12</v>
      </c>
      <c r="AM136" s="60">
        <f t="shared" si="113"/>
        <v>293.33333333333667</v>
      </c>
      <c r="AN136" s="60">
        <f ca="1">AVERAGE(OFFSET($AM$3,0,0,'Données projet'!$E$10+1,1))-AVERAGE(OFFSET($H$3,0,0,'Données projet'!$E$10+1,1))</f>
        <v>201.39673092164992</v>
      </c>
      <c r="AO136" s="60">
        <f t="shared" si="144"/>
        <v>278.95637851890405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-1.7053025658242404E-13</v>
      </c>
      <c r="BE136" s="14">
        <f>BD136*VLOOKUP('Données projet'!$B$11,Paramètres!$A$1:$I$89,3,0)*VLOOKUP('Données projet'!$B$11,Paramètres!$A$1:$I$89,5,0)</f>
        <v>-1.7025740817189217E-13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123.29894837876157</v>
      </c>
      <c r="BJ136" s="60">
        <f t="shared" si="146"/>
        <v>103.52963511757127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280.97939999999937</v>
      </c>
      <c r="CA136" s="14">
        <f t="shared" si="147"/>
        <v>67.173942175199301</v>
      </c>
      <c r="CB136" s="22">
        <f t="shared" si="118"/>
        <v>606.36707095513759</v>
      </c>
      <c r="CC136" s="60">
        <f t="shared" si="119"/>
        <v>899.70040428847096</v>
      </c>
      <c r="CD136" s="60">
        <f ca="1">AVERAGE(OFFSET($CC$3,0,0,'Données projet'!$E$12+1,1))-AVERAGE(OFFSET($H$3,0,0,'Données projet'!$E$12+1,1))</f>
        <v>428.49602929661046</v>
      </c>
      <c r="CE136" s="60">
        <f t="shared" si="148"/>
        <v>252.32489414103878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3.813056537183002E-14</v>
      </c>
      <c r="CV136" s="14">
        <f t="shared" si="149"/>
        <v>6.4086286045526829E-13</v>
      </c>
      <c r="CW136" s="22">
        <f t="shared" si="121"/>
        <v>1.1825802166488628E-12</v>
      </c>
      <c r="CX136" s="60">
        <f t="shared" si="122"/>
        <v>293.33333333333451</v>
      </c>
      <c r="CY136" s="60">
        <f ca="1">AVERAGE(OFFSET($CX$3,0,0,'Données projet'!$E$13+1,1))-AVERAGE(OFFSET($H$3,0,0,'Données projet'!$E$13+1,1))</f>
        <v>226.5873967387837</v>
      </c>
      <c r="CZ136" s="60">
        <f t="shared" si="150"/>
        <v>188.57459946241204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-6.2527760746888816E-13</v>
      </c>
      <c r="DP136" s="18">
        <f>DO136*VLOOKUP('Données projet'!$B$14,Paramètres!$A$1:$I$89,3,0)*VLOOKUP('Données projet'!$B$14,Paramètres!$A$1:$I$89,5,0)</f>
        <v>-2.9262992029543964E-13</v>
      </c>
      <c r="DQ136" s="14" t="e">
        <f t="shared" si="151"/>
        <v>#NUM!</v>
      </c>
      <c r="DR136" s="22" t="e">
        <f t="shared" si="124"/>
        <v>#NUM!</v>
      </c>
      <c r="DS136" s="60" t="e">
        <f t="shared" si="125"/>
        <v>#NUM!</v>
      </c>
      <c r="DT136" s="60">
        <f ca="1">AVERAGE(OFFSET($DS$3,0,0,'Données projet'!$E$14+1,1))-AVERAGE(OFFSET($H$3,0,0,'Données projet'!$E$14+1,1))</f>
        <v>212.19771249416107</v>
      </c>
      <c r="DU136" s="60">
        <f t="shared" si="152"/>
        <v>125.93313963856127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36.582000000000022</v>
      </c>
      <c r="D137" s="12">
        <f t="shared" si="140"/>
        <v>11.088050101306525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367.97933411534876</v>
      </c>
      <c r="H137" s="68">
        <f t="shared" si="110"/>
        <v>339.69200392644223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301.17671999999925</v>
      </c>
      <c r="P137" s="14">
        <f t="shared" si="141"/>
        <v>71.423092953709514</v>
      </c>
      <c r="Q137" s="22">
        <f t="shared" si="108"/>
        <v>648.94467422770936</v>
      </c>
      <c r="R137" s="60">
        <f t="shared" si="109"/>
        <v>942.27800756104261</v>
      </c>
      <c r="S137" s="60">
        <f ca="1">AVERAGE(OFFSET($R$3,0,0,'Données projet'!$E$9+1,1))-AVERAGE(OFFSET($H$3,0,0,'Données projet'!$E$9+1,1))</f>
        <v>455.09463986470064</v>
      </c>
      <c r="T137" s="60">
        <f t="shared" si="142"/>
        <v>266.42568447709669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1.4210854715202004E-13</v>
      </c>
      <c r="AJ137" s="14">
        <f>AI137*VLOOKUP('Données projet'!$B$10,Paramètres!$A$1:$I$89,3,0)*VLOOKUP('Données projet'!$B$10,Paramètres!$A$1:$I$89,5,0)</f>
        <v>1.2192913345643319E-13</v>
      </c>
      <c r="AK137" s="14">
        <f t="shared" si="143"/>
        <v>1.7899324464546674E-12</v>
      </c>
      <c r="AL137" s="22">
        <f t="shared" si="112"/>
        <v>3.3298255850118335E-12</v>
      </c>
      <c r="AM137" s="60">
        <f t="shared" si="113"/>
        <v>293.33333333333667</v>
      </c>
      <c r="AN137" s="60">
        <f ca="1">AVERAGE(OFFSET($AM$3,0,0,'Données projet'!$E$10+1,1))-AVERAGE(OFFSET($H$3,0,0,'Données projet'!$E$10+1,1))</f>
        <v>201.39673092164992</v>
      </c>
      <c r="AO137" s="60">
        <f t="shared" si="144"/>
        <v>278.95637851890405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-1.7053025658242404E-13</v>
      </c>
      <c r="BE137" s="14">
        <f>BD137*VLOOKUP('Données projet'!$B$11,Paramètres!$A$1:$I$89,3,0)*VLOOKUP('Données projet'!$B$11,Paramètres!$A$1:$I$89,5,0)</f>
        <v>-1.7025740817189217E-13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123.29894837876157</v>
      </c>
      <c r="BJ137" s="60">
        <f t="shared" si="146"/>
        <v>103.52963511757127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283.71719999999937</v>
      </c>
      <c r="CA137" s="14">
        <f t="shared" si="147"/>
        <v>67.751956122170526</v>
      </c>
      <c r="CB137" s="22">
        <f t="shared" si="118"/>
        <v>612.14211357944589</v>
      </c>
      <c r="CC137" s="60">
        <f t="shared" si="119"/>
        <v>905.47544691277926</v>
      </c>
      <c r="CD137" s="60">
        <f ca="1">AVERAGE(OFFSET($CC$3,0,0,'Données projet'!$E$12+1,1))-AVERAGE(OFFSET($H$3,0,0,'Données projet'!$E$12+1,1))</f>
        <v>428.49602929661046</v>
      </c>
      <c r="CE137" s="60">
        <f t="shared" si="148"/>
        <v>252.32489414103878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3.813056537183002E-14</v>
      </c>
      <c r="CV137" s="14">
        <f t="shared" si="149"/>
        <v>6.4086286045526829E-13</v>
      </c>
      <c r="CW137" s="22">
        <f t="shared" si="121"/>
        <v>1.1825802166488628E-12</v>
      </c>
      <c r="CX137" s="60">
        <f t="shared" si="122"/>
        <v>293.33333333333451</v>
      </c>
      <c r="CY137" s="60">
        <f ca="1">AVERAGE(OFFSET($CX$3,0,0,'Données projet'!$E$13+1,1))-AVERAGE(OFFSET($H$3,0,0,'Données projet'!$E$13+1,1))</f>
        <v>226.5873967387837</v>
      </c>
      <c r="CZ137" s="60">
        <f t="shared" si="150"/>
        <v>188.57459946241204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-6.2527760746888816E-13</v>
      </c>
      <c r="DP137" s="18">
        <f>DO137*VLOOKUP('Données projet'!$B$14,Paramètres!$A$1:$I$89,3,0)*VLOOKUP('Données projet'!$B$14,Paramètres!$A$1:$I$89,5,0)</f>
        <v>-2.9262992029543964E-13</v>
      </c>
      <c r="DQ137" s="14" t="e">
        <f t="shared" si="151"/>
        <v>#NUM!</v>
      </c>
      <c r="DR137" s="22" t="e">
        <f t="shared" si="124"/>
        <v>#NUM!</v>
      </c>
      <c r="DS137" s="60" t="e">
        <f t="shared" si="125"/>
        <v>#NUM!</v>
      </c>
      <c r="DT137" s="60">
        <f ca="1">AVERAGE(OFFSET($DS$3,0,0,'Données projet'!$E$14+1,1))-AVERAGE(OFFSET($H$3,0,0,'Données projet'!$E$14+1,1))</f>
        <v>212.19771249416107</v>
      </c>
      <c r="DU137" s="60">
        <f t="shared" si="152"/>
        <v>125.93313963856127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36.855000000000025</v>
      </c>
      <c r="D138" s="12">
        <f t="shared" si="140"/>
        <v>11.161133366615282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370.6508540580831</v>
      </c>
      <c r="H138" s="68">
        <f t="shared" si="110"/>
        <v>340.29476561352169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304.08299999999929</v>
      </c>
      <c r="P138" s="14">
        <f t="shared" si="141"/>
        <v>72.031742512249494</v>
      </c>
      <c r="Q138" s="22">
        <f t="shared" si="108"/>
        <v>655.06650987549995</v>
      </c>
      <c r="R138" s="60">
        <f t="shared" si="109"/>
        <v>948.39984320883332</v>
      </c>
      <c r="S138" s="60">
        <f ca="1">AVERAGE(OFFSET($R$3,0,0,'Données projet'!$E$9+1,1))-AVERAGE(OFFSET($H$3,0,0,'Données projet'!$E$9+1,1))</f>
        <v>455.09463986470064</v>
      </c>
      <c r="T138" s="60">
        <f t="shared" si="142"/>
        <v>266.42568447709669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1.4210854715202004E-13</v>
      </c>
      <c r="AJ138" s="14">
        <f>AI138*VLOOKUP('Données projet'!$B$10,Paramètres!$A$1:$I$89,3,0)*VLOOKUP('Données projet'!$B$10,Paramètres!$A$1:$I$89,5,0)</f>
        <v>1.2192913345643319E-13</v>
      </c>
      <c r="AK138" s="14">
        <f t="shared" si="143"/>
        <v>1.7899324464546674E-12</v>
      </c>
      <c r="AL138" s="22">
        <f t="shared" si="112"/>
        <v>3.3298255850118335E-12</v>
      </c>
      <c r="AM138" s="60">
        <f t="shared" si="113"/>
        <v>293.33333333333667</v>
      </c>
      <c r="AN138" s="60">
        <f ca="1">AVERAGE(OFFSET($AM$3,0,0,'Données projet'!$E$10+1,1))-AVERAGE(OFFSET($H$3,0,0,'Données projet'!$E$10+1,1))</f>
        <v>201.39673092164992</v>
      </c>
      <c r="AO138" s="60">
        <f t="shared" si="144"/>
        <v>278.95637851890405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-1.7053025658242404E-13</v>
      </c>
      <c r="BE138" s="14">
        <f>BD138*VLOOKUP('Données projet'!$B$11,Paramètres!$A$1:$I$89,3,0)*VLOOKUP('Données projet'!$B$11,Paramètres!$A$1:$I$89,5,0)</f>
        <v>-1.7025740817189217E-13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123.29894837876157</v>
      </c>
      <c r="BJ138" s="60">
        <f t="shared" si="146"/>
        <v>103.52963511757127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286.45499999999936</v>
      </c>
      <c r="CA138" s="14">
        <f t="shared" si="147"/>
        <v>68.329321179865531</v>
      </c>
      <c r="CB138" s="22">
        <f t="shared" si="118"/>
        <v>617.91602605493142</v>
      </c>
      <c r="CC138" s="60">
        <f t="shared" si="119"/>
        <v>911.24935938826479</v>
      </c>
      <c r="CD138" s="60">
        <f ca="1">AVERAGE(OFFSET($CC$3,0,0,'Données projet'!$E$12+1,1))-AVERAGE(OFFSET($H$3,0,0,'Données projet'!$E$12+1,1))</f>
        <v>428.49602929661046</v>
      </c>
      <c r="CE138" s="60">
        <f t="shared" si="148"/>
        <v>252.32489414103878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3.813056537183002E-14</v>
      </c>
      <c r="CV138" s="14">
        <f t="shared" si="149"/>
        <v>6.4086286045526829E-13</v>
      </c>
      <c r="CW138" s="22">
        <f t="shared" si="121"/>
        <v>1.1825802166488628E-12</v>
      </c>
      <c r="CX138" s="60">
        <f t="shared" si="122"/>
        <v>293.33333333333451</v>
      </c>
      <c r="CY138" s="60">
        <f ca="1">AVERAGE(OFFSET($CX$3,0,0,'Données projet'!$E$13+1,1))-AVERAGE(OFFSET($H$3,0,0,'Données projet'!$E$13+1,1))</f>
        <v>226.5873967387837</v>
      </c>
      <c r="CZ138" s="60">
        <f t="shared" si="150"/>
        <v>188.57459946241204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-6.2527760746888816E-13</v>
      </c>
      <c r="DP138" s="18">
        <f>DO138*VLOOKUP('Données projet'!$B$14,Paramètres!$A$1:$I$89,3,0)*VLOOKUP('Données projet'!$B$14,Paramètres!$A$1:$I$89,5,0)</f>
        <v>-2.9262992029543964E-13</v>
      </c>
      <c r="DQ138" s="14" t="e">
        <f t="shared" si="151"/>
        <v>#NUM!</v>
      </c>
      <c r="DR138" s="22" t="e">
        <f t="shared" si="124"/>
        <v>#NUM!</v>
      </c>
      <c r="DS138" s="60" t="e">
        <f t="shared" si="125"/>
        <v>#NUM!</v>
      </c>
      <c r="DT138" s="60">
        <f ca="1">AVERAGE(OFFSET($DS$3,0,0,'Données projet'!$E$14+1,1))-AVERAGE(OFFSET($H$3,0,0,'Données projet'!$E$14+1,1))</f>
        <v>212.19771249416107</v>
      </c>
      <c r="DU138" s="60">
        <f t="shared" si="152"/>
        <v>125.93313963856127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37.128000000000029</v>
      </c>
      <c r="D139" s="12">
        <f t="shared" si="140"/>
        <v>11.234153644457562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373.32188778177789</v>
      </c>
      <c r="H139" s="68">
        <f t="shared" si="110"/>
        <v>340.89741759743032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306.98927999999921</v>
      </c>
      <c r="P139" s="14">
        <f t="shared" si="141"/>
        <v>72.639715316458506</v>
      </c>
      <c r="Q139" s="22">
        <f t="shared" si="108"/>
        <v>661.18716684283038</v>
      </c>
      <c r="R139" s="60">
        <f t="shared" si="109"/>
        <v>954.52050017616375</v>
      </c>
      <c r="S139" s="60">
        <f ca="1">AVERAGE(OFFSET($R$3,0,0,'Données projet'!$E$9+1,1))-AVERAGE(OFFSET($H$3,0,0,'Données projet'!$E$9+1,1))</f>
        <v>455.09463986470064</v>
      </c>
      <c r="T139" s="60">
        <f t="shared" si="142"/>
        <v>266.42568447709669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1.4210854715202004E-13</v>
      </c>
      <c r="AJ139" s="14">
        <f>AI139*VLOOKUP('Données projet'!$B$10,Paramètres!$A$1:$I$89,3,0)*VLOOKUP('Données projet'!$B$10,Paramètres!$A$1:$I$89,5,0)</f>
        <v>1.2192913345643319E-13</v>
      </c>
      <c r="AK139" s="14">
        <f t="shared" si="143"/>
        <v>1.7899324464546674E-12</v>
      </c>
      <c r="AL139" s="22">
        <f t="shared" si="112"/>
        <v>3.3298255850118335E-12</v>
      </c>
      <c r="AM139" s="60">
        <f t="shared" si="113"/>
        <v>293.33333333333667</v>
      </c>
      <c r="AN139" s="60">
        <f ca="1">AVERAGE(OFFSET($AM$3,0,0,'Données projet'!$E$10+1,1))-AVERAGE(OFFSET($H$3,0,0,'Données projet'!$E$10+1,1))</f>
        <v>201.39673092164992</v>
      </c>
      <c r="AO139" s="60">
        <f t="shared" si="144"/>
        <v>278.95637851890405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-1.7053025658242404E-13</v>
      </c>
      <c r="BE139" s="14">
        <f>BD139*VLOOKUP('Données projet'!$B$11,Paramètres!$A$1:$I$89,3,0)*VLOOKUP('Données projet'!$B$11,Paramètres!$A$1:$I$89,5,0)</f>
        <v>-1.7025740817189217E-13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123.29894837876157</v>
      </c>
      <c r="BJ139" s="60">
        <f t="shared" si="146"/>
        <v>103.52963511757127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289.19279999999935</v>
      </c>
      <c r="CA139" s="14">
        <f t="shared" si="147"/>
        <v>68.906044268306161</v>
      </c>
      <c r="CB139" s="22">
        <f t="shared" si="118"/>
        <v>623.68882043396547</v>
      </c>
      <c r="CC139" s="60">
        <f t="shared" si="119"/>
        <v>917.02215376729873</v>
      </c>
      <c r="CD139" s="60">
        <f ca="1">AVERAGE(OFFSET($CC$3,0,0,'Données projet'!$E$12+1,1))-AVERAGE(OFFSET($H$3,0,0,'Données projet'!$E$12+1,1))</f>
        <v>428.49602929661046</v>
      </c>
      <c r="CE139" s="60">
        <f t="shared" si="148"/>
        <v>252.32489414103878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3.813056537183002E-14</v>
      </c>
      <c r="CV139" s="14">
        <f t="shared" si="149"/>
        <v>6.4086286045526829E-13</v>
      </c>
      <c r="CW139" s="22">
        <f t="shared" si="121"/>
        <v>1.1825802166488628E-12</v>
      </c>
      <c r="CX139" s="60">
        <f t="shared" si="122"/>
        <v>293.33333333333451</v>
      </c>
      <c r="CY139" s="60">
        <f ca="1">AVERAGE(OFFSET($CX$3,0,0,'Données projet'!$E$13+1,1))-AVERAGE(OFFSET($H$3,0,0,'Données projet'!$E$13+1,1))</f>
        <v>226.5873967387837</v>
      </c>
      <c r="CZ139" s="60">
        <f t="shared" si="150"/>
        <v>188.57459946241204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-6.2527760746888816E-13</v>
      </c>
      <c r="DP139" s="18">
        <f>DO139*VLOOKUP('Données projet'!$B$14,Paramètres!$A$1:$I$89,3,0)*VLOOKUP('Données projet'!$B$14,Paramètres!$A$1:$I$89,5,0)</f>
        <v>-2.9262992029543964E-13</v>
      </c>
      <c r="DQ139" s="14" t="e">
        <f t="shared" si="151"/>
        <v>#NUM!</v>
      </c>
      <c r="DR139" s="22" t="e">
        <f t="shared" si="124"/>
        <v>#NUM!</v>
      </c>
      <c r="DS139" s="60" t="e">
        <f t="shared" si="125"/>
        <v>#NUM!</v>
      </c>
      <c r="DT139" s="60">
        <f ca="1">AVERAGE(OFFSET($DS$3,0,0,'Données projet'!$E$14+1,1))-AVERAGE(OFFSET($H$3,0,0,'Données projet'!$E$14+1,1))</f>
        <v>212.19771249416107</v>
      </c>
      <c r="DU139" s="60">
        <f t="shared" si="152"/>
        <v>125.93313963856127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37.401000000000032</v>
      </c>
      <c r="D140" s="12">
        <f t="shared" si="140"/>
        <v>11.307111451674508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375.99243927608421</v>
      </c>
      <c r="H140" s="68">
        <f t="shared" si="110"/>
        <v>341.49996077833316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309.89555999999925</v>
      </c>
      <c r="P140" s="14">
        <f t="shared" si="141"/>
        <v>73.247018515231034</v>
      </c>
      <c r="Q140" s="22">
        <f t="shared" si="108"/>
        <v>667.30665758069279</v>
      </c>
      <c r="R140" s="60">
        <f t="shared" si="109"/>
        <v>960.63999091402616</v>
      </c>
      <c r="S140" s="60">
        <f ca="1">AVERAGE(OFFSET($R$3,0,0,'Données projet'!$E$9+1,1))-AVERAGE(OFFSET($H$3,0,0,'Données projet'!$E$9+1,1))</f>
        <v>455.09463986470064</v>
      </c>
      <c r="T140" s="60">
        <f t="shared" si="142"/>
        <v>266.42568447709669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1.4210854715202004E-13</v>
      </c>
      <c r="AJ140" s="14">
        <f>AI140*VLOOKUP('Données projet'!$B$10,Paramètres!$A$1:$I$89,3,0)*VLOOKUP('Données projet'!$B$10,Paramètres!$A$1:$I$89,5,0)</f>
        <v>1.2192913345643319E-13</v>
      </c>
      <c r="AK140" s="14">
        <f t="shared" si="143"/>
        <v>1.7899324464546674E-12</v>
      </c>
      <c r="AL140" s="22">
        <f t="shared" si="112"/>
        <v>3.3298255850118335E-12</v>
      </c>
      <c r="AM140" s="60">
        <f t="shared" si="113"/>
        <v>293.33333333333667</v>
      </c>
      <c r="AN140" s="60">
        <f ca="1">AVERAGE(OFFSET($AM$3,0,0,'Données projet'!$E$10+1,1))-AVERAGE(OFFSET($H$3,0,0,'Données projet'!$E$10+1,1))</f>
        <v>201.39673092164992</v>
      </c>
      <c r="AO140" s="60">
        <f t="shared" si="144"/>
        <v>278.95637851890405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-1.7053025658242404E-13</v>
      </c>
      <c r="BE140" s="14">
        <f>BD140*VLOOKUP('Données projet'!$B$11,Paramètres!$A$1:$I$89,3,0)*VLOOKUP('Données projet'!$B$11,Paramètres!$A$1:$I$89,5,0)</f>
        <v>-1.7025740817189217E-13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123.29894837876157</v>
      </c>
      <c r="BJ140" s="60">
        <f t="shared" si="146"/>
        <v>103.52963511757127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291.93059999999929</v>
      </c>
      <c r="CA140" s="14">
        <f t="shared" si="147"/>
        <v>69.482132168934584</v>
      </c>
      <c r="CB140" s="22">
        <f t="shared" si="118"/>
        <v>629.4605085275598</v>
      </c>
      <c r="CC140" s="60">
        <f t="shared" si="119"/>
        <v>922.79384186089305</v>
      </c>
      <c r="CD140" s="60">
        <f ca="1">AVERAGE(OFFSET($CC$3,0,0,'Données projet'!$E$12+1,1))-AVERAGE(OFFSET($H$3,0,0,'Données projet'!$E$12+1,1))</f>
        <v>428.49602929661046</v>
      </c>
      <c r="CE140" s="60">
        <f t="shared" si="148"/>
        <v>252.32489414103878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3.813056537183002E-14</v>
      </c>
      <c r="CV140" s="14">
        <f t="shared" si="149"/>
        <v>6.4086286045526829E-13</v>
      </c>
      <c r="CW140" s="22">
        <f t="shared" si="121"/>
        <v>1.1825802166488628E-12</v>
      </c>
      <c r="CX140" s="60">
        <f t="shared" si="122"/>
        <v>293.33333333333451</v>
      </c>
      <c r="CY140" s="60">
        <f ca="1">AVERAGE(OFFSET($CX$3,0,0,'Données projet'!$E$13+1,1))-AVERAGE(OFFSET($H$3,0,0,'Données projet'!$E$13+1,1))</f>
        <v>226.5873967387837</v>
      </c>
      <c r="CZ140" s="60">
        <f t="shared" si="150"/>
        <v>188.57459946241204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-6.2527760746888816E-13</v>
      </c>
      <c r="DP140" s="18">
        <f>DO140*VLOOKUP('Données projet'!$B$14,Paramètres!$A$1:$I$89,3,0)*VLOOKUP('Données projet'!$B$14,Paramètres!$A$1:$I$89,5,0)</f>
        <v>-2.9262992029543964E-13</v>
      </c>
      <c r="DQ140" s="14" t="e">
        <f t="shared" si="151"/>
        <v>#NUM!</v>
      </c>
      <c r="DR140" s="22" t="e">
        <f t="shared" si="124"/>
        <v>#NUM!</v>
      </c>
      <c r="DS140" s="60" t="e">
        <f t="shared" si="125"/>
        <v>#NUM!</v>
      </c>
      <c r="DT140" s="60">
        <f ca="1">AVERAGE(OFFSET($DS$3,0,0,'Données projet'!$E$14+1,1))-AVERAGE(OFFSET($H$3,0,0,'Données projet'!$E$14+1,1))</f>
        <v>212.19771249416107</v>
      </c>
      <c r="DU140" s="60">
        <f t="shared" si="152"/>
        <v>125.93313963856127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37.674000000000035</v>
      </c>
      <c r="D141" s="12">
        <f t="shared" si="140"/>
        <v>11.380007297126186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378.66251246904449</v>
      </c>
      <c r="H141" s="68">
        <f t="shared" si="110"/>
        <v>342.10239604249483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312.80183999999923</v>
      </c>
      <c r="P141" s="14">
        <f t="shared" si="141"/>
        <v>73.853659115640255</v>
      </c>
      <c r="Q141" s="22">
        <f t="shared" si="108"/>
        <v>673.42499429307202</v>
      </c>
      <c r="R141" s="60">
        <f t="shared" si="109"/>
        <v>966.75832762640539</v>
      </c>
      <c r="S141" s="60">
        <f ca="1">AVERAGE(OFFSET($R$3,0,0,'Données projet'!$E$9+1,1))-AVERAGE(OFFSET($H$3,0,0,'Données projet'!$E$9+1,1))</f>
        <v>455.09463986470064</v>
      </c>
      <c r="T141" s="60">
        <f t="shared" si="142"/>
        <v>266.42568447709669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1.4210854715202004E-13</v>
      </c>
      <c r="AJ141" s="14">
        <f>AI141*VLOOKUP('Données projet'!$B$10,Paramètres!$A$1:$I$89,3,0)*VLOOKUP('Données projet'!$B$10,Paramètres!$A$1:$I$89,5,0)</f>
        <v>1.2192913345643319E-13</v>
      </c>
      <c r="AK141" s="14">
        <f t="shared" si="143"/>
        <v>1.7899324464546674E-12</v>
      </c>
      <c r="AL141" s="22">
        <f t="shared" si="112"/>
        <v>3.3298255850118335E-12</v>
      </c>
      <c r="AM141" s="60">
        <f t="shared" si="113"/>
        <v>293.33333333333667</v>
      </c>
      <c r="AN141" s="60">
        <f ca="1">AVERAGE(OFFSET($AM$3,0,0,'Données projet'!$E$10+1,1))-AVERAGE(OFFSET($H$3,0,0,'Données projet'!$E$10+1,1))</f>
        <v>201.39673092164992</v>
      </c>
      <c r="AO141" s="60">
        <f t="shared" si="144"/>
        <v>278.95637851890405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-1.7053025658242404E-13</v>
      </c>
      <c r="BE141" s="14">
        <f>BD141*VLOOKUP('Données projet'!$B$11,Paramètres!$A$1:$I$89,3,0)*VLOOKUP('Données projet'!$B$11,Paramètres!$A$1:$I$89,5,0)</f>
        <v>-1.7025740817189217E-13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123.29894837876157</v>
      </c>
      <c r="BJ141" s="60">
        <f t="shared" si="146"/>
        <v>103.52963511757127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294.66839999999928</v>
      </c>
      <c r="CA141" s="14">
        <f t="shared" si="147"/>
        <v>70.057591528661433</v>
      </c>
      <c r="CB141" s="22">
        <f t="shared" si="118"/>
        <v>635.23110191241733</v>
      </c>
      <c r="CC141" s="60">
        <f t="shared" si="119"/>
        <v>928.5644352457507</v>
      </c>
      <c r="CD141" s="60">
        <f ca="1">AVERAGE(OFFSET($CC$3,0,0,'Données projet'!$E$12+1,1))-AVERAGE(OFFSET($H$3,0,0,'Données projet'!$E$12+1,1))</f>
        <v>428.49602929661046</v>
      </c>
      <c r="CE141" s="60">
        <f t="shared" si="148"/>
        <v>252.32489414103878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3.813056537183002E-14</v>
      </c>
      <c r="CV141" s="14">
        <f t="shared" si="149"/>
        <v>6.4086286045526829E-13</v>
      </c>
      <c r="CW141" s="22">
        <f t="shared" si="121"/>
        <v>1.1825802166488628E-12</v>
      </c>
      <c r="CX141" s="60">
        <f t="shared" si="122"/>
        <v>293.33333333333451</v>
      </c>
      <c r="CY141" s="60">
        <f ca="1">AVERAGE(OFFSET($CX$3,0,0,'Données projet'!$E$13+1,1))-AVERAGE(OFFSET($H$3,0,0,'Données projet'!$E$13+1,1))</f>
        <v>226.5873967387837</v>
      </c>
      <c r="CZ141" s="60">
        <f t="shared" si="150"/>
        <v>188.57459946241204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-6.2527760746888816E-13</v>
      </c>
      <c r="DP141" s="18">
        <f>DO141*VLOOKUP('Données projet'!$B$14,Paramètres!$A$1:$I$89,3,0)*VLOOKUP('Données projet'!$B$14,Paramètres!$A$1:$I$89,5,0)</f>
        <v>-2.9262992029543964E-13</v>
      </c>
      <c r="DQ141" s="14" t="e">
        <f t="shared" si="151"/>
        <v>#NUM!</v>
      </c>
      <c r="DR141" s="22" t="e">
        <f t="shared" si="124"/>
        <v>#NUM!</v>
      </c>
      <c r="DS141" s="60" t="e">
        <f t="shared" si="125"/>
        <v>#NUM!</v>
      </c>
      <c r="DT141" s="60">
        <f ca="1">AVERAGE(OFFSET($DS$3,0,0,'Données projet'!$E$14+1,1))-AVERAGE(OFFSET($H$3,0,0,'Données projet'!$E$14+1,1))</f>
        <v>212.19771249416107</v>
      </c>
      <c r="DU141" s="60">
        <f t="shared" si="152"/>
        <v>125.93313963856127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37.947000000000038</v>
      </c>
      <c r="D142" s="12">
        <f t="shared" si="140"/>
        <v>11.452841681871742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381.33211122848388</v>
      </c>
      <c r="H142" s="68">
        <f t="shared" si="110"/>
        <v>342.70472426259334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315.70811999999916</v>
      </c>
      <c r="P142" s="14">
        <f t="shared" si="141"/>
        <v>74.459643987042966</v>
      </c>
      <c r="Q142" s="22">
        <f t="shared" si="108"/>
        <v>679.54218894409837</v>
      </c>
      <c r="R142" s="60">
        <f t="shared" si="109"/>
        <v>972.87552227743163</v>
      </c>
      <c r="S142" s="60">
        <f ca="1">AVERAGE(OFFSET($R$3,0,0,'Données projet'!$E$9+1,1))-AVERAGE(OFFSET($H$3,0,0,'Données projet'!$E$9+1,1))</f>
        <v>455.09463986470064</v>
      </c>
      <c r="T142" s="60">
        <f t="shared" si="142"/>
        <v>266.42568447709669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1.4210854715202004E-13</v>
      </c>
      <c r="AJ142" s="14">
        <f>AI142*VLOOKUP('Données projet'!$B$10,Paramètres!$A$1:$I$89,3,0)*VLOOKUP('Données projet'!$B$10,Paramètres!$A$1:$I$89,5,0)</f>
        <v>1.2192913345643319E-13</v>
      </c>
      <c r="AK142" s="14">
        <f t="shared" si="143"/>
        <v>1.7899324464546674E-12</v>
      </c>
      <c r="AL142" s="22">
        <f t="shared" si="112"/>
        <v>3.3298255850118335E-12</v>
      </c>
      <c r="AM142" s="60">
        <f t="shared" si="113"/>
        <v>293.33333333333667</v>
      </c>
      <c r="AN142" s="60">
        <f ca="1">AVERAGE(OFFSET($AM$3,0,0,'Données projet'!$E$10+1,1))-AVERAGE(OFFSET($H$3,0,0,'Données projet'!$E$10+1,1))</f>
        <v>201.39673092164992</v>
      </c>
      <c r="AO142" s="60">
        <f t="shared" si="144"/>
        <v>278.95637851890405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-1.7053025658242404E-13</v>
      </c>
      <c r="BE142" s="14">
        <f>BD142*VLOOKUP('Données projet'!$B$11,Paramètres!$A$1:$I$89,3,0)*VLOOKUP('Données projet'!$B$11,Paramètres!$A$1:$I$89,5,0)</f>
        <v>-1.7025740817189217E-13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123.29894837876157</v>
      </c>
      <c r="BJ142" s="60">
        <f t="shared" si="146"/>
        <v>103.52963511757127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297.40619999999927</v>
      </c>
      <c r="CA142" s="14">
        <f t="shared" si="147"/>
        <v>70.632428863759543</v>
      </c>
      <c r="CB142" s="22">
        <f t="shared" si="118"/>
        <v>641.0006119377133</v>
      </c>
      <c r="CC142" s="60">
        <f t="shared" si="119"/>
        <v>934.33394527104656</v>
      </c>
      <c r="CD142" s="60">
        <f ca="1">AVERAGE(OFFSET($CC$3,0,0,'Données projet'!$E$12+1,1))-AVERAGE(OFFSET($H$3,0,0,'Données projet'!$E$12+1,1))</f>
        <v>428.49602929661046</v>
      </c>
      <c r="CE142" s="60">
        <f t="shared" si="148"/>
        <v>252.32489414103878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3.813056537183002E-14</v>
      </c>
      <c r="CV142" s="14">
        <f t="shared" si="149"/>
        <v>6.4086286045526829E-13</v>
      </c>
      <c r="CW142" s="22">
        <f t="shared" si="121"/>
        <v>1.1825802166488628E-12</v>
      </c>
      <c r="CX142" s="60">
        <f t="shared" si="122"/>
        <v>293.33333333333451</v>
      </c>
      <c r="CY142" s="60">
        <f ca="1">AVERAGE(OFFSET($CX$3,0,0,'Données projet'!$E$13+1,1))-AVERAGE(OFFSET($H$3,0,0,'Données projet'!$E$13+1,1))</f>
        <v>226.5873967387837</v>
      </c>
      <c r="CZ142" s="60">
        <f t="shared" si="150"/>
        <v>188.57459946241204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-6.2527760746888816E-13</v>
      </c>
      <c r="DP142" s="18">
        <f>DO142*VLOOKUP('Données projet'!$B$14,Paramètres!$A$1:$I$89,3,0)*VLOOKUP('Données projet'!$B$14,Paramètres!$A$1:$I$89,5,0)</f>
        <v>-2.9262992029543964E-13</v>
      </c>
      <c r="DQ142" s="14" t="e">
        <f t="shared" si="151"/>
        <v>#NUM!</v>
      </c>
      <c r="DR142" s="22" t="e">
        <f t="shared" si="124"/>
        <v>#NUM!</v>
      </c>
      <c r="DS142" s="60" t="e">
        <f t="shared" si="125"/>
        <v>#NUM!</v>
      </c>
      <c r="DT142" s="60">
        <f ca="1">AVERAGE(OFFSET($DS$3,0,0,'Données projet'!$E$14+1,1))-AVERAGE(OFFSET($H$3,0,0,'Données projet'!$E$14+1,1))</f>
        <v>212.19771249416107</v>
      </c>
      <c r="DU142" s="60">
        <f t="shared" si="152"/>
        <v>125.93313963856127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38.220000000000041</v>
      </c>
      <c r="D143" s="12">
        <f t="shared" si="140"/>
        <v>11.525615099344273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384.00123936335967</v>
      </c>
      <c r="H143" s="68">
        <f t="shared" si="110"/>
        <v>343.30694629802468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318.61439999999919</v>
      </c>
      <c r="P143" s="14">
        <f t="shared" si="141"/>
        <v>75.064979865028292</v>
      </c>
      <c r="Q143" s="22">
        <f t="shared" si="108"/>
        <v>685.65825326492302</v>
      </c>
      <c r="R143" s="60">
        <f t="shared" si="109"/>
        <v>978.99158659825639</v>
      </c>
      <c r="S143" s="60">
        <f ca="1">AVERAGE(OFFSET($R$3,0,0,'Données projet'!$E$9+1,1))-AVERAGE(OFFSET($H$3,0,0,'Données projet'!$E$9+1,1))</f>
        <v>455.09463986470064</v>
      </c>
      <c r="T143" s="60">
        <f t="shared" si="142"/>
        <v>266.42568447709669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1.4210854715202004E-13</v>
      </c>
      <c r="AJ143" s="14">
        <f>AI143*VLOOKUP('Données projet'!$B$10,Paramètres!$A$1:$I$89,3,0)*VLOOKUP('Données projet'!$B$10,Paramètres!$A$1:$I$89,5,0)</f>
        <v>1.2192913345643319E-13</v>
      </c>
      <c r="AK143" s="14">
        <f t="shared" si="143"/>
        <v>1.7899324464546674E-12</v>
      </c>
      <c r="AL143" s="22">
        <f t="shared" si="112"/>
        <v>3.3298255850118335E-12</v>
      </c>
      <c r="AM143" s="60">
        <f t="shared" si="113"/>
        <v>293.33333333333667</v>
      </c>
      <c r="AN143" s="60">
        <f ca="1">AVERAGE(OFFSET($AM$3,0,0,'Données projet'!$E$10+1,1))-AVERAGE(OFFSET($H$3,0,0,'Données projet'!$E$10+1,1))</f>
        <v>201.39673092164992</v>
      </c>
      <c r="AO143" s="60">
        <f t="shared" si="144"/>
        <v>278.95637851890405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-1.7053025658242404E-13</v>
      </c>
      <c r="BE143" s="14">
        <f>BD143*VLOOKUP('Données projet'!$B$11,Paramètres!$A$1:$I$89,3,0)*VLOOKUP('Données projet'!$B$11,Paramètres!$A$1:$I$89,5,0)</f>
        <v>-1.7025740817189217E-13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123.29894837876157</v>
      </c>
      <c r="BJ143" s="60">
        <f t="shared" si="146"/>
        <v>103.52963511757127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300.14399999999927</v>
      </c>
      <c r="CA143" s="14">
        <f t="shared" si="147"/>
        <v>71.206650563609728</v>
      </c>
      <c r="CB143" s="22">
        <f t="shared" si="118"/>
        <v>646.76904973161891</v>
      </c>
      <c r="CC143" s="60">
        <f t="shared" si="119"/>
        <v>940.10238306495216</v>
      </c>
      <c r="CD143" s="60">
        <f ca="1">AVERAGE(OFFSET($CC$3,0,0,'Données projet'!$E$12+1,1))-AVERAGE(OFFSET($H$3,0,0,'Données projet'!$E$12+1,1))</f>
        <v>428.49602929661046</v>
      </c>
      <c r="CE143" s="60">
        <f t="shared" si="148"/>
        <v>252.32489414103878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3.813056537183002E-14</v>
      </c>
      <c r="CV143" s="14">
        <f t="shared" si="149"/>
        <v>6.4086286045526829E-13</v>
      </c>
      <c r="CW143" s="22">
        <f t="shared" si="121"/>
        <v>1.1825802166488628E-12</v>
      </c>
      <c r="CX143" s="60">
        <f t="shared" si="122"/>
        <v>293.33333333333451</v>
      </c>
      <c r="CY143" s="60">
        <f ca="1">AVERAGE(OFFSET($CX$3,0,0,'Données projet'!$E$13+1,1))-AVERAGE(OFFSET($H$3,0,0,'Données projet'!$E$13+1,1))</f>
        <v>226.5873967387837</v>
      </c>
      <c r="CZ143" s="60">
        <f t="shared" si="150"/>
        <v>188.57459946241204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-6.2527760746888816E-13</v>
      </c>
      <c r="DP143" s="18">
        <f>DO143*VLOOKUP('Données projet'!$B$14,Paramètres!$A$1:$I$89,3,0)*VLOOKUP('Données projet'!$B$14,Paramètres!$A$1:$I$89,5,0)</f>
        <v>-2.9262992029543964E-13</v>
      </c>
      <c r="DQ143" s="14" t="e">
        <f t="shared" si="151"/>
        <v>#NUM!</v>
      </c>
      <c r="DR143" s="22" t="e">
        <f t="shared" si="124"/>
        <v>#NUM!</v>
      </c>
      <c r="DS143" s="60" t="e">
        <f t="shared" si="125"/>
        <v>#NUM!</v>
      </c>
      <c r="DT143" s="60">
        <f ca="1">AVERAGE(OFFSET($DS$3,0,0,'Données projet'!$E$14+1,1))-AVERAGE(OFFSET($H$3,0,0,'Données projet'!$E$14+1,1))</f>
        <v>212.19771249416107</v>
      </c>
      <c r="DU143" s="60">
        <f t="shared" si="152"/>
        <v>125.93313963856127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38.493000000000045</v>
      </c>
      <c r="D144" s="12">
        <f t="shared" si="140"/>
        <v>11.598328035520462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386.66990062507057</v>
      </c>
      <c r="H144" s="68">
        <f t="shared" si="110"/>
        <v>343.90906299519821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292.13495999999913</v>
      </c>
      <c r="P144" s="14">
        <f t="shared" si="141"/>
        <v>69.525108311202104</v>
      </c>
      <c r="Q144" s="22">
        <f t="shared" si="108"/>
        <v>629.89128564200882</v>
      </c>
      <c r="R144" s="60">
        <f t="shared" si="109"/>
        <v>923.22461897534208</v>
      </c>
      <c r="S144" s="60">
        <f ca="1">AVERAGE(OFFSET($R$3,0,0,'Données projet'!$E$9+1,1))-AVERAGE(OFFSET($H$3,0,0,'Données projet'!$E$9+1,1))</f>
        <v>455.09463986470064</v>
      </c>
      <c r="T144" s="60">
        <f t="shared" si="142"/>
        <v>266.42568447709669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1.4210854715202004E-13</v>
      </c>
      <c r="AJ144" s="14">
        <f>AI144*VLOOKUP('Données projet'!$B$10,Paramètres!$A$1:$I$89,3,0)*VLOOKUP('Données projet'!$B$10,Paramètres!$A$1:$I$89,5,0)</f>
        <v>1.2192913345643319E-13</v>
      </c>
      <c r="AK144" s="14">
        <f t="shared" si="143"/>
        <v>1.7899324464546674E-12</v>
      </c>
      <c r="AL144" s="22">
        <f t="shared" si="112"/>
        <v>3.3298255850118335E-12</v>
      </c>
      <c r="AM144" s="60">
        <f t="shared" si="113"/>
        <v>293.33333333333667</v>
      </c>
      <c r="AN144" s="60">
        <f ca="1">AVERAGE(OFFSET($AM$3,0,0,'Données projet'!$E$10+1,1))-AVERAGE(OFFSET($H$3,0,0,'Données projet'!$E$10+1,1))</f>
        <v>201.39673092164992</v>
      </c>
      <c r="AO144" s="60">
        <f t="shared" si="144"/>
        <v>278.95637851890405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-1.7053025658242404E-13</v>
      </c>
      <c r="BE144" s="14">
        <f>BD144*VLOOKUP('Données projet'!$B$11,Paramètres!$A$1:$I$89,3,0)*VLOOKUP('Données projet'!$B$11,Paramètres!$A$1:$I$89,5,0)</f>
        <v>-1.7025740817189217E-13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123.29894837876157</v>
      </c>
      <c r="BJ144" s="60">
        <f t="shared" si="146"/>
        <v>103.52963511757127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275.19959999999924</v>
      </c>
      <c r="CA144" s="14">
        <f t="shared" si="147"/>
        <v>65.951527620662489</v>
      </c>
      <c r="CB144" s="22">
        <f t="shared" si="118"/>
        <v>594.17154727265245</v>
      </c>
      <c r="CC144" s="60">
        <f t="shared" si="119"/>
        <v>887.50488060598582</v>
      </c>
      <c r="CD144" s="60">
        <f ca="1">AVERAGE(OFFSET($CC$3,0,0,'Données projet'!$E$12+1,1))-AVERAGE(OFFSET($H$3,0,0,'Données projet'!$E$12+1,1))</f>
        <v>428.49602929661046</v>
      </c>
      <c r="CE144" s="60">
        <f t="shared" si="148"/>
        <v>252.32489414103878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3.813056537183002E-14</v>
      </c>
      <c r="CV144" s="14">
        <f t="shared" si="149"/>
        <v>6.4086286045526829E-13</v>
      </c>
      <c r="CW144" s="22">
        <f t="shared" si="121"/>
        <v>1.1825802166488628E-12</v>
      </c>
      <c r="CX144" s="60">
        <f t="shared" si="122"/>
        <v>293.33333333333451</v>
      </c>
      <c r="CY144" s="60">
        <f ca="1">AVERAGE(OFFSET($CX$3,0,0,'Données projet'!$E$13+1,1))-AVERAGE(OFFSET($H$3,0,0,'Données projet'!$E$13+1,1))</f>
        <v>226.5873967387837</v>
      </c>
      <c r="CZ144" s="60">
        <f t="shared" si="150"/>
        <v>188.57459946241204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-6.2527760746888816E-13</v>
      </c>
      <c r="DP144" s="18">
        <f>DO144*VLOOKUP('Données projet'!$B$14,Paramètres!$A$1:$I$89,3,0)*VLOOKUP('Données projet'!$B$14,Paramètres!$A$1:$I$89,5,0)</f>
        <v>-2.9262992029543964E-13</v>
      </c>
      <c r="DQ144" s="14" t="e">
        <f t="shared" si="151"/>
        <v>#NUM!</v>
      </c>
      <c r="DR144" s="22" t="e">
        <f t="shared" si="124"/>
        <v>#NUM!</v>
      </c>
      <c r="DS144" s="60" t="e">
        <f t="shared" si="125"/>
        <v>#NUM!</v>
      </c>
      <c r="DT144" s="60">
        <f ca="1">AVERAGE(OFFSET($DS$3,0,0,'Données projet'!$E$14+1,1))-AVERAGE(OFFSET($H$3,0,0,'Données projet'!$E$14+1,1))</f>
        <v>212.19771249416107</v>
      </c>
      <c r="DU144" s="60">
        <f t="shared" si="152"/>
        <v>125.93313963856127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38.766000000000048</v>
      </c>
      <c r="D145" s="12">
        <f t="shared" si="140"/>
        <v>11.67098096908536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389.33809870872955</v>
      </c>
      <c r="H145" s="68">
        <f t="shared" si="110"/>
        <v>344.51107518782379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294.71831999999915</v>
      </c>
      <c r="P145" s="14">
        <f t="shared" si="141"/>
        <v>70.068078441055917</v>
      </c>
      <c r="Q145" s="22">
        <f t="shared" si="108"/>
        <v>635.33631061817096</v>
      </c>
      <c r="R145" s="60">
        <f t="shared" si="109"/>
        <v>928.66964395150421</v>
      </c>
      <c r="S145" s="60">
        <f ca="1">AVERAGE(OFFSET($R$3,0,0,'Données projet'!$E$9+1,1))-AVERAGE(OFFSET($H$3,0,0,'Données projet'!$E$9+1,1))</f>
        <v>455.09463986470064</v>
      </c>
      <c r="T145" s="60">
        <f t="shared" si="142"/>
        <v>266.42568447709669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1.4210854715202004E-13</v>
      </c>
      <c r="AJ145" s="14">
        <f>AI145*VLOOKUP('Données projet'!$B$10,Paramètres!$A$1:$I$89,3,0)*VLOOKUP('Données projet'!$B$10,Paramètres!$A$1:$I$89,5,0)</f>
        <v>1.2192913345643319E-13</v>
      </c>
      <c r="AK145" s="14">
        <f t="shared" si="143"/>
        <v>1.7899324464546674E-12</v>
      </c>
      <c r="AL145" s="22">
        <f t="shared" si="112"/>
        <v>3.3298255850118335E-12</v>
      </c>
      <c r="AM145" s="60">
        <f t="shared" si="113"/>
        <v>293.33333333333667</v>
      </c>
      <c r="AN145" s="60">
        <f ca="1">AVERAGE(OFFSET($AM$3,0,0,'Données projet'!$E$10+1,1))-AVERAGE(OFFSET($H$3,0,0,'Données projet'!$E$10+1,1))</f>
        <v>201.39673092164992</v>
      </c>
      <c r="AO145" s="60">
        <f t="shared" si="144"/>
        <v>278.95637851890405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-1.7053025658242404E-13</v>
      </c>
      <c r="BE145" s="14">
        <f>BD145*VLOOKUP('Données projet'!$B$11,Paramètres!$A$1:$I$89,3,0)*VLOOKUP('Données projet'!$B$11,Paramètres!$A$1:$I$89,5,0)</f>
        <v>-1.7025740817189217E-13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123.29894837876157</v>
      </c>
      <c r="BJ145" s="60">
        <f t="shared" si="146"/>
        <v>103.52963511757127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277.63319999999919</v>
      </c>
      <c r="CA145" s="14">
        <f t="shared" si="147"/>
        <v>66.466589162975524</v>
      </c>
      <c r="CB145" s="22">
        <f t="shared" si="118"/>
        <v>599.30713279218094</v>
      </c>
      <c r="CC145" s="60">
        <f t="shared" si="119"/>
        <v>892.64046612551419</v>
      </c>
      <c r="CD145" s="60">
        <f ca="1">AVERAGE(OFFSET($CC$3,0,0,'Données projet'!$E$12+1,1))-AVERAGE(OFFSET($H$3,0,0,'Données projet'!$E$12+1,1))</f>
        <v>428.49602929661046</v>
      </c>
      <c r="CE145" s="60">
        <f t="shared" si="148"/>
        <v>252.32489414103878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3.813056537183002E-14</v>
      </c>
      <c r="CV145" s="14">
        <f t="shared" si="149"/>
        <v>6.4086286045526829E-13</v>
      </c>
      <c r="CW145" s="22">
        <f t="shared" si="121"/>
        <v>1.1825802166488628E-12</v>
      </c>
      <c r="CX145" s="60">
        <f t="shared" si="122"/>
        <v>293.33333333333451</v>
      </c>
      <c r="CY145" s="60">
        <f ca="1">AVERAGE(OFFSET($CX$3,0,0,'Données projet'!$E$13+1,1))-AVERAGE(OFFSET($H$3,0,0,'Données projet'!$E$13+1,1))</f>
        <v>226.5873967387837</v>
      </c>
      <c r="CZ145" s="60">
        <f t="shared" si="150"/>
        <v>188.57459946241204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-6.2527760746888816E-13</v>
      </c>
      <c r="DP145" s="18">
        <f>DO145*VLOOKUP('Données projet'!$B$14,Paramètres!$A$1:$I$89,3,0)*VLOOKUP('Données projet'!$B$14,Paramètres!$A$1:$I$89,5,0)</f>
        <v>-2.9262992029543964E-13</v>
      </c>
      <c r="DQ145" s="14" t="e">
        <f t="shared" si="151"/>
        <v>#NUM!</v>
      </c>
      <c r="DR145" s="22" t="e">
        <f t="shared" si="124"/>
        <v>#NUM!</v>
      </c>
      <c r="DS145" s="60" t="e">
        <f t="shared" si="125"/>
        <v>#NUM!</v>
      </c>
      <c r="DT145" s="60">
        <f ca="1">AVERAGE(OFFSET($DS$3,0,0,'Données projet'!$E$14+1,1))-AVERAGE(OFFSET($H$3,0,0,'Données projet'!$E$14+1,1))</f>
        <v>212.19771249416107</v>
      </c>
      <c r="DU145" s="60">
        <f t="shared" si="152"/>
        <v>125.93313963856127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39.039000000000051</v>
      </c>
      <c r="D146" s="12">
        <f t="shared" si="140"/>
        <v>11.743574371592326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392.00583725439725</v>
      </c>
      <c r="H146" s="68">
        <f t="shared" si="110"/>
        <v>345.11298369719009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297.30167999999912</v>
      </c>
      <c r="P146" s="14">
        <f t="shared" si="141"/>
        <v>70.610494849824818</v>
      </c>
      <c r="Q146" s="22">
        <f t="shared" si="108"/>
        <v>640.78037119677663</v>
      </c>
      <c r="R146" s="60">
        <f t="shared" si="109"/>
        <v>934.11370453011</v>
      </c>
      <c r="S146" s="60">
        <f ca="1">AVERAGE(OFFSET($R$3,0,0,'Données projet'!$E$9+1,1))-AVERAGE(OFFSET($H$3,0,0,'Données projet'!$E$9+1,1))</f>
        <v>455.09463986470064</v>
      </c>
      <c r="T146" s="60">
        <f t="shared" si="142"/>
        <v>266.42568447709669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1.4210854715202004E-13</v>
      </c>
      <c r="AJ146" s="14">
        <f>AI146*VLOOKUP('Données projet'!$B$10,Paramètres!$A$1:$I$89,3,0)*VLOOKUP('Données projet'!$B$10,Paramètres!$A$1:$I$89,5,0)</f>
        <v>1.2192913345643319E-13</v>
      </c>
      <c r="AK146" s="14">
        <f t="shared" si="143"/>
        <v>1.7899324464546674E-12</v>
      </c>
      <c r="AL146" s="22">
        <f t="shared" si="112"/>
        <v>3.3298255850118335E-12</v>
      </c>
      <c r="AM146" s="60">
        <f t="shared" si="113"/>
        <v>293.33333333333667</v>
      </c>
      <c r="AN146" s="60">
        <f ca="1">AVERAGE(OFFSET($AM$3,0,0,'Données projet'!$E$10+1,1))-AVERAGE(OFFSET($H$3,0,0,'Données projet'!$E$10+1,1))</f>
        <v>201.39673092164992</v>
      </c>
      <c r="AO146" s="60">
        <f t="shared" si="144"/>
        <v>278.95637851890405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-1.7053025658242404E-13</v>
      </c>
      <c r="BE146" s="14">
        <f>BD146*VLOOKUP('Données projet'!$B$11,Paramètres!$A$1:$I$89,3,0)*VLOOKUP('Données projet'!$B$11,Paramètres!$A$1:$I$89,5,0)</f>
        <v>-1.7025740817189217E-13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123.29894837876157</v>
      </c>
      <c r="BJ146" s="60">
        <f t="shared" si="146"/>
        <v>103.52963511757127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280.0667999999992</v>
      </c>
      <c r="CA146" s="14">
        <f t="shared" si="147"/>
        <v>66.981125445388756</v>
      </c>
      <c r="CB146" s="22">
        <f t="shared" si="118"/>
        <v>604.44180348405064</v>
      </c>
      <c r="CC146" s="60">
        <f t="shared" si="119"/>
        <v>897.77513681738401</v>
      </c>
      <c r="CD146" s="60">
        <f ca="1">AVERAGE(OFFSET($CC$3,0,0,'Données projet'!$E$12+1,1))-AVERAGE(OFFSET($H$3,0,0,'Données projet'!$E$12+1,1))</f>
        <v>428.49602929661046</v>
      </c>
      <c r="CE146" s="60">
        <f t="shared" si="148"/>
        <v>252.32489414103878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3.813056537183002E-14</v>
      </c>
      <c r="CV146" s="14">
        <f t="shared" si="149"/>
        <v>6.4086286045526829E-13</v>
      </c>
      <c r="CW146" s="22">
        <f t="shared" si="121"/>
        <v>1.1825802166488628E-12</v>
      </c>
      <c r="CX146" s="60">
        <f t="shared" si="122"/>
        <v>293.33333333333451</v>
      </c>
      <c r="CY146" s="60">
        <f ca="1">AVERAGE(OFFSET($CX$3,0,0,'Données projet'!$E$13+1,1))-AVERAGE(OFFSET($H$3,0,0,'Données projet'!$E$13+1,1))</f>
        <v>226.5873967387837</v>
      </c>
      <c r="CZ146" s="60">
        <f t="shared" si="150"/>
        <v>188.57459946241204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-6.2527760746888816E-13</v>
      </c>
      <c r="DP146" s="18">
        <f>DO146*VLOOKUP('Données projet'!$B$14,Paramètres!$A$1:$I$89,3,0)*VLOOKUP('Données projet'!$B$14,Paramètres!$A$1:$I$89,5,0)</f>
        <v>-2.9262992029543964E-13</v>
      </c>
      <c r="DQ146" s="14" t="e">
        <f t="shared" si="151"/>
        <v>#NUM!</v>
      </c>
      <c r="DR146" s="22" t="e">
        <f t="shared" si="124"/>
        <v>#NUM!</v>
      </c>
      <c r="DS146" s="60" t="e">
        <f t="shared" si="125"/>
        <v>#NUM!</v>
      </c>
      <c r="DT146" s="60">
        <f ca="1">AVERAGE(OFFSET($DS$3,0,0,'Données projet'!$E$14+1,1))-AVERAGE(OFFSET($H$3,0,0,'Données projet'!$E$14+1,1))</f>
        <v>212.19771249416107</v>
      </c>
      <c r="DU146" s="60">
        <f t="shared" si="152"/>
        <v>125.93313963856127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147" s="12">
        <f t="shared" si="140"/>
        <v>11.816108707618415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394.67311984828297</v>
      </c>
      <c r="H147" s="68">
        <f t="shared" si="110"/>
        <v>345.71478933243549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299.88503999999909</v>
      </c>
      <c r="P147" s="14">
        <f t="shared" si="141"/>
        <v>71.152362906464447</v>
      </c>
      <c r="Q147" s="22">
        <f t="shared" si="108"/>
        <v>646.2234767287573</v>
      </c>
      <c r="R147" s="60">
        <f t="shared" si="109"/>
        <v>939.55681006209056</v>
      </c>
      <c r="S147" s="60">
        <f ca="1">AVERAGE(OFFSET($R$3,0,0,'Données projet'!$E$9+1,1))-AVERAGE(OFFSET($H$3,0,0,'Données projet'!$E$9+1,1))</f>
        <v>455.09463986470064</v>
      </c>
      <c r="T147" s="60">
        <f t="shared" si="142"/>
        <v>266.42568447709669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1.4210854715202004E-13</v>
      </c>
      <c r="AJ147" s="14">
        <f>AI147*VLOOKUP('Données projet'!$B$10,Paramètres!$A$1:$I$89,3,0)*VLOOKUP('Données projet'!$B$10,Paramètres!$A$1:$I$89,5,0)</f>
        <v>1.2192913345643319E-13</v>
      </c>
      <c r="AK147" s="14">
        <f t="shared" si="143"/>
        <v>1.7899324464546674E-12</v>
      </c>
      <c r="AL147" s="22">
        <f t="shared" si="112"/>
        <v>3.3298255850118335E-12</v>
      </c>
      <c r="AM147" s="60">
        <f t="shared" si="113"/>
        <v>293.33333333333667</v>
      </c>
      <c r="AN147" s="60">
        <f ca="1">AVERAGE(OFFSET($AM$3,0,0,'Données projet'!$E$10+1,1))-AVERAGE(OFFSET($H$3,0,0,'Données projet'!$E$10+1,1))</f>
        <v>201.39673092164992</v>
      </c>
      <c r="AO147" s="60">
        <f t="shared" si="144"/>
        <v>278.95637851890405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-1.7053025658242404E-13</v>
      </c>
      <c r="BE147" s="14">
        <f>BD147*VLOOKUP('Données projet'!$B$11,Paramètres!$A$1:$I$89,3,0)*VLOOKUP('Données projet'!$B$11,Paramètres!$A$1:$I$89,5,0)</f>
        <v>-1.7025740817189217E-13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123.29894837876157</v>
      </c>
      <c r="BJ147" s="60">
        <f t="shared" si="146"/>
        <v>103.52963511757127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282.50039999999916</v>
      </c>
      <c r="CA147" s="14">
        <f t="shared" si="147"/>
        <v>67.495141560894254</v>
      </c>
      <c r="CB147" s="22">
        <f t="shared" si="118"/>
        <v>609.57556821855599</v>
      </c>
      <c r="CC147" s="60">
        <f t="shared" si="119"/>
        <v>902.90890155188936</v>
      </c>
      <c r="CD147" s="60">
        <f ca="1">AVERAGE(OFFSET($CC$3,0,0,'Données projet'!$E$12+1,1))-AVERAGE(OFFSET($H$3,0,0,'Données projet'!$E$12+1,1))</f>
        <v>428.49602929661046</v>
      </c>
      <c r="CE147" s="60">
        <f t="shared" si="148"/>
        <v>252.32489414103878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3.813056537183002E-14</v>
      </c>
      <c r="CV147" s="14">
        <f t="shared" si="149"/>
        <v>6.4086286045526829E-13</v>
      </c>
      <c r="CW147" s="22">
        <f t="shared" si="121"/>
        <v>1.1825802166488628E-12</v>
      </c>
      <c r="CX147" s="60">
        <f t="shared" si="122"/>
        <v>293.33333333333451</v>
      </c>
      <c r="CY147" s="60">
        <f ca="1">AVERAGE(OFFSET($CX$3,0,0,'Données projet'!$E$13+1,1))-AVERAGE(OFFSET($H$3,0,0,'Données projet'!$E$13+1,1))</f>
        <v>226.5873967387837</v>
      </c>
      <c r="CZ147" s="60">
        <f t="shared" si="150"/>
        <v>188.57459946241204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-6.2527760746888816E-13</v>
      </c>
      <c r="DP147" s="18">
        <f>DO147*VLOOKUP('Données projet'!$B$14,Paramètres!$A$1:$I$89,3,0)*VLOOKUP('Données projet'!$B$14,Paramètres!$A$1:$I$89,5,0)</f>
        <v>-2.9262992029543964E-13</v>
      </c>
      <c r="DQ147" s="14" t="e">
        <f t="shared" si="151"/>
        <v>#NUM!</v>
      </c>
      <c r="DR147" s="22" t="e">
        <f t="shared" si="124"/>
        <v>#NUM!</v>
      </c>
      <c r="DS147" s="60" t="e">
        <f t="shared" si="125"/>
        <v>#NUM!</v>
      </c>
      <c r="DT147" s="60">
        <f ca="1">AVERAGE(OFFSET($DS$3,0,0,'Données projet'!$E$14+1,1))-AVERAGE(OFFSET($H$3,0,0,'Données projet'!$E$14+1,1))</f>
        <v>212.19771249416107</v>
      </c>
      <c r="DU147" s="60">
        <f t="shared" si="152"/>
        <v>125.93313963856127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39.585000000000058</v>
      </c>
      <c r="D148" s="12">
        <f t="shared" si="140"/>
        <v>11.888584434915277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397.33995002390793</v>
      </c>
      <c r="H148" s="68">
        <f t="shared" si="110"/>
        <v>346.31649289081088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302.46839999999906</v>
      </c>
      <c r="P148" s="14">
        <f t="shared" si="141"/>
        <v>71.693687882090543</v>
      </c>
      <c r="Q148" s="22">
        <f t="shared" si="108"/>
        <v>651.66563639463936</v>
      </c>
      <c r="R148" s="60">
        <f t="shared" si="109"/>
        <v>944.99896972797274</v>
      </c>
      <c r="S148" s="60">
        <f ca="1">AVERAGE(OFFSET($R$3,0,0,'Données projet'!$E$9+1,1))-AVERAGE(OFFSET($H$3,0,0,'Données projet'!$E$9+1,1))</f>
        <v>455.09463986470064</v>
      </c>
      <c r="T148" s="60">
        <f t="shared" si="142"/>
        <v>266.42568447709669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1.4210854715202004E-13</v>
      </c>
      <c r="AJ148" s="14">
        <f>AI148*VLOOKUP('Données projet'!$B$10,Paramètres!$A$1:$I$89,3,0)*VLOOKUP('Données projet'!$B$10,Paramètres!$A$1:$I$89,5,0)</f>
        <v>1.2192913345643319E-13</v>
      </c>
      <c r="AK148" s="14">
        <f t="shared" si="143"/>
        <v>1.7899324464546674E-12</v>
      </c>
      <c r="AL148" s="22">
        <f t="shared" si="112"/>
        <v>3.3298255850118335E-12</v>
      </c>
      <c r="AM148" s="60">
        <f t="shared" si="113"/>
        <v>293.33333333333667</v>
      </c>
      <c r="AN148" s="60">
        <f ca="1">AVERAGE(OFFSET($AM$3,0,0,'Données projet'!$E$10+1,1))-AVERAGE(OFFSET($H$3,0,0,'Données projet'!$E$10+1,1))</f>
        <v>201.39673092164992</v>
      </c>
      <c r="AO148" s="60">
        <f t="shared" si="144"/>
        <v>278.95637851890405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-1.7053025658242404E-13</v>
      </c>
      <c r="BE148" s="14">
        <f>BD148*VLOOKUP('Données projet'!$B$11,Paramètres!$A$1:$I$89,3,0)*VLOOKUP('Données projet'!$B$11,Paramètres!$A$1:$I$89,5,0)</f>
        <v>-1.7025740817189217E-13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123.29894837876157</v>
      </c>
      <c r="BJ148" s="60">
        <f t="shared" si="146"/>
        <v>103.52963511757127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284.93399999999917</v>
      </c>
      <c r="CA148" s="14">
        <f t="shared" si="147"/>
        <v>68.008642509673109</v>
      </c>
      <c r="CB148" s="22">
        <f t="shared" si="118"/>
        <v>614.7084357043459</v>
      </c>
      <c r="CC148" s="60">
        <f t="shared" si="119"/>
        <v>908.04176903767916</v>
      </c>
      <c r="CD148" s="60">
        <f ca="1">AVERAGE(OFFSET($CC$3,0,0,'Données projet'!$E$12+1,1))-AVERAGE(OFFSET($H$3,0,0,'Données projet'!$E$12+1,1))</f>
        <v>428.49602929661046</v>
      </c>
      <c r="CE148" s="60">
        <f t="shared" si="148"/>
        <v>252.32489414103878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3.813056537183002E-14</v>
      </c>
      <c r="CV148" s="14">
        <f t="shared" si="149"/>
        <v>6.4086286045526829E-13</v>
      </c>
      <c r="CW148" s="22">
        <f t="shared" si="121"/>
        <v>1.1825802166488628E-12</v>
      </c>
      <c r="CX148" s="60">
        <f t="shared" si="122"/>
        <v>293.33333333333451</v>
      </c>
      <c r="CY148" s="60">
        <f ca="1">AVERAGE(OFFSET($CX$3,0,0,'Données projet'!$E$13+1,1))-AVERAGE(OFFSET($H$3,0,0,'Données projet'!$E$13+1,1))</f>
        <v>226.5873967387837</v>
      </c>
      <c r="CZ148" s="60">
        <f t="shared" si="150"/>
        <v>188.57459946241204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-6.2527760746888816E-13</v>
      </c>
      <c r="DP148" s="18">
        <f>DO148*VLOOKUP('Données projet'!$B$14,Paramètres!$A$1:$I$89,3,0)*VLOOKUP('Données projet'!$B$14,Paramètres!$A$1:$I$89,5,0)</f>
        <v>-2.9262992029543964E-13</v>
      </c>
      <c r="DQ148" s="14" t="e">
        <f t="shared" si="151"/>
        <v>#NUM!</v>
      </c>
      <c r="DR148" s="22" t="e">
        <f t="shared" si="124"/>
        <v>#NUM!</v>
      </c>
      <c r="DS148" s="60" t="e">
        <f t="shared" si="125"/>
        <v>#NUM!</v>
      </c>
      <c r="DT148" s="60">
        <f ca="1">AVERAGE(OFFSET($DS$3,0,0,'Données projet'!$E$14+1,1))-AVERAGE(OFFSET($H$3,0,0,'Données projet'!$E$14+1,1))</f>
        <v>212.19771249416107</v>
      </c>
      <c r="DU148" s="60">
        <f t="shared" si="152"/>
        <v>125.93313963856127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39.858000000000061</v>
      </c>
      <c r="D149" s="12">
        <f t="shared" si="140"/>
        <v>11.961002004555807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400.00633126323828</v>
      </c>
      <c r="H149" s="68">
        <f t="shared" si="110"/>
        <v>346.91809515793483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305.05175999999904</v>
      </c>
      <c r="P149" s="14">
        <f t="shared" si="141"/>
        <v>72.234474952581991</v>
      </c>
      <c r="Q149" s="22">
        <f t="shared" si="108"/>
        <v>657.10685920907861</v>
      </c>
      <c r="R149" s="60">
        <f t="shared" si="109"/>
        <v>950.44019254241198</v>
      </c>
      <c r="S149" s="60">
        <f ca="1">AVERAGE(OFFSET($R$3,0,0,'Données projet'!$E$9+1,1))-AVERAGE(OFFSET($H$3,0,0,'Données projet'!$E$9+1,1))</f>
        <v>455.09463986470064</v>
      </c>
      <c r="T149" s="60">
        <f t="shared" si="142"/>
        <v>266.42568447709669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1.4210854715202004E-13</v>
      </c>
      <c r="AJ149" s="14">
        <f>AI149*VLOOKUP('Données projet'!$B$10,Paramètres!$A$1:$I$89,3,0)*VLOOKUP('Données projet'!$B$10,Paramètres!$A$1:$I$89,5,0)</f>
        <v>1.2192913345643319E-13</v>
      </c>
      <c r="AK149" s="14">
        <f t="shared" si="143"/>
        <v>1.7899324464546674E-12</v>
      </c>
      <c r="AL149" s="22">
        <f t="shared" si="112"/>
        <v>3.3298255850118335E-12</v>
      </c>
      <c r="AM149" s="60">
        <f t="shared" si="113"/>
        <v>293.33333333333667</v>
      </c>
      <c r="AN149" s="60">
        <f ca="1">AVERAGE(OFFSET($AM$3,0,0,'Données projet'!$E$10+1,1))-AVERAGE(OFFSET($H$3,0,0,'Données projet'!$E$10+1,1))</f>
        <v>201.39673092164992</v>
      </c>
      <c r="AO149" s="60">
        <f t="shared" si="144"/>
        <v>278.95637851890405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-1.7053025658242404E-13</v>
      </c>
      <c r="BE149" s="14">
        <f>BD149*VLOOKUP('Données projet'!$B$11,Paramètres!$A$1:$I$89,3,0)*VLOOKUP('Données projet'!$B$11,Paramètres!$A$1:$I$89,5,0)</f>
        <v>-1.7025740817189217E-13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123.29894837876157</v>
      </c>
      <c r="BJ149" s="60">
        <f t="shared" si="146"/>
        <v>103.52963511757127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287.36759999999913</v>
      </c>
      <c r="CA149" s="14">
        <f t="shared" si="147"/>
        <v>68.521633201564995</v>
      </c>
      <c r="CB149" s="22">
        <f t="shared" si="118"/>
        <v>619.84041449272411</v>
      </c>
      <c r="CC149" s="60">
        <f t="shared" si="119"/>
        <v>913.17374782605748</v>
      </c>
      <c r="CD149" s="60">
        <f ca="1">AVERAGE(OFFSET($CC$3,0,0,'Données projet'!$E$12+1,1))-AVERAGE(OFFSET($H$3,0,0,'Données projet'!$E$12+1,1))</f>
        <v>428.49602929661046</v>
      </c>
      <c r="CE149" s="60">
        <f t="shared" si="148"/>
        <v>252.32489414103878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3.813056537183002E-14</v>
      </c>
      <c r="CV149" s="14">
        <f t="shared" si="149"/>
        <v>6.4086286045526829E-13</v>
      </c>
      <c r="CW149" s="22">
        <f t="shared" si="121"/>
        <v>1.1825802166488628E-12</v>
      </c>
      <c r="CX149" s="60">
        <f t="shared" si="122"/>
        <v>293.33333333333451</v>
      </c>
      <c r="CY149" s="60">
        <f ca="1">AVERAGE(OFFSET($CX$3,0,0,'Données projet'!$E$13+1,1))-AVERAGE(OFFSET($H$3,0,0,'Données projet'!$E$13+1,1))</f>
        <v>226.5873967387837</v>
      </c>
      <c r="CZ149" s="60">
        <f t="shared" si="150"/>
        <v>188.57459946241204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-6.2527760746888816E-13</v>
      </c>
      <c r="DP149" s="18">
        <f>DO149*VLOOKUP('Données projet'!$B$14,Paramètres!$A$1:$I$89,3,0)*VLOOKUP('Données projet'!$B$14,Paramètres!$A$1:$I$89,5,0)</f>
        <v>-2.9262992029543964E-13</v>
      </c>
      <c r="DQ149" s="14" t="e">
        <f t="shared" si="151"/>
        <v>#NUM!</v>
      </c>
      <c r="DR149" s="22" t="e">
        <f t="shared" si="124"/>
        <v>#NUM!</v>
      </c>
      <c r="DS149" s="60" t="e">
        <f t="shared" si="125"/>
        <v>#NUM!</v>
      </c>
      <c r="DT149" s="60">
        <f ca="1">AVERAGE(OFFSET($DS$3,0,0,'Données projet'!$E$14+1,1))-AVERAGE(OFFSET($H$3,0,0,'Données projet'!$E$14+1,1))</f>
        <v>212.19771249416107</v>
      </c>
      <c r="DU149" s="60">
        <f t="shared" si="152"/>
        <v>125.93313963856127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40.131000000000064</v>
      </c>
      <c r="D150" s="12">
        <f t="shared" si="140"/>
        <v>12.033361861076655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402.67226699778524</v>
      </c>
      <c r="H150" s="68">
        <f t="shared" si="110"/>
        <v>347.51959690804199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307.63511999999901</v>
      </c>
      <c r="P150" s="14">
        <f t="shared" si="141"/>
        <v>72.774729201093322</v>
      </c>
      <c r="Q150" s="22">
        <f t="shared" si="108"/>
        <v>662.54715402523584</v>
      </c>
      <c r="R150" s="60">
        <f t="shared" si="109"/>
        <v>955.8804873585691</v>
      </c>
      <c r="S150" s="60">
        <f ca="1">AVERAGE(OFFSET($R$3,0,0,'Données projet'!$E$9+1,1))-AVERAGE(OFFSET($H$3,0,0,'Données projet'!$E$9+1,1))</f>
        <v>455.09463986470064</v>
      </c>
      <c r="T150" s="60">
        <f t="shared" si="142"/>
        <v>266.42568447709669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1.4210854715202004E-13</v>
      </c>
      <c r="AJ150" s="14">
        <f>AI150*VLOOKUP('Données projet'!$B$10,Paramètres!$A$1:$I$89,3,0)*VLOOKUP('Données projet'!$B$10,Paramètres!$A$1:$I$89,5,0)</f>
        <v>1.2192913345643319E-13</v>
      </c>
      <c r="AK150" s="14">
        <f t="shared" si="143"/>
        <v>1.7899324464546674E-12</v>
      </c>
      <c r="AL150" s="22">
        <f t="shared" si="112"/>
        <v>3.3298255850118335E-12</v>
      </c>
      <c r="AM150" s="60">
        <f t="shared" si="113"/>
        <v>293.33333333333667</v>
      </c>
      <c r="AN150" s="60">
        <f ca="1">AVERAGE(OFFSET($AM$3,0,0,'Données projet'!$E$10+1,1))-AVERAGE(OFFSET($H$3,0,0,'Données projet'!$E$10+1,1))</f>
        <v>201.39673092164992</v>
      </c>
      <c r="AO150" s="60">
        <f t="shared" si="144"/>
        <v>278.95637851890405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-1.7053025658242404E-13</v>
      </c>
      <c r="BE150" s="14">
        <f>BD150*VLOOKUP('Données projet'!$B$11,Paramètres!$A$1:$I$89,3,0)*VLOOKUP('Données projet'!$B$11,Paramètres!$A$1:$I$89,5,0)</f>
        <v>-1.7025740817189217E-13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123.29894837876157</v>
      </c>
      <c r="BJ150" s="60">
        <f t="shared" si="146"/>
        <v>103.52963511757127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289.80119999999908</v>
      </c>
      <c r="CA150" s="14">
        <f t="shared" si="147"/>
        <v>69.034118458450664</v>
      </c>
      <c r="CB150" s="22">
        <f t="shared" si="118"/>
        <v>624.97151298179995</v>
      </c>
      <c r="CC150" s="60">
        <f t="shared" si="119"/>
        <v>918.30484631513332</v>
      </c>
      <c r="CD150" s="60">
        <f ca="1">AVERAGE(OFFSET($CC$3,0,0,'Données projet'!$E$12+1,1))-AVERAGE(OFFSET($H$3,0,0,'Données projet'!$E$12+1,1))</f>
        <v>428.49602929661046</v>
      </c>
      <c r="CE150" s="60">
        <f t="shared" si="148"/>
        <v>252.32489414103878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3.813056537183002E-14</v>
      </c>
      <c r="CV150" s="14">
        <f t="shared" si="149"/>
        <v>6.4086286045526829E-13</v>
      </c>
      <c r="CW150" s="22">
        <f t="shared" si="121"/>
        <v>1.1825802166488628E-12</v>
      </c>
      <c r="CX150" s="60">
        <f t="shared" si="122"/>
        <v>293.33333333333451</v>
      </c>
      <c r="CY150" s="60">
        <f ca="1">AVERAGE(OFFSET($CX$3,0,0,'Données projet'!$E$13+1,1))-AVERAGE(OFFSET($H$3,0,0,'Données projet'!$E$13+1,1))</f>
        <v>226.5873967387837</v>
      </c>
      <c r="CZ150" s="60">
        <f t="shared" si="150"/>
        <v>188.57459946241204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-6.2527760746888816E-13</v>
      </c>
      <c r="DP150" s="18">
        <f>DO150*VLOOKUP('Données projet'!$B$14,Paramètres!$A$1:$I$89,3,0)*VLOOKUP('Données projet'!$B$14,Paramètres!$A$1:$I$89,5,0)</f>
        <v>-2.9262992029543964E-13</v>
      </c>
      <c r="DQ150" s="14" t="e">
        <f t="shared" si="151"/>
        <v>#NUM!</v>
      </c>
      <c r="DR150" s="22" t="e">
        <f t="shared" si="124"/>
        <v>#NUM!</v>
      </c>
      <c r="DS150" s="60" t="e">
        <f t="shared" si="125"/>
        <v>#NUM!</v>
      </c>
      <c r="DT150" s="60">
        <f ca="1">AVERAGE(OFFSET($DS$3,0,0,'Données projet'!$E$14+1,1))-AVERAGE(OFFSET($H$3,0,0,'Données projet'!$E$14+1,1))</f>
        <v>212.19771249416107</v>
      </c>
      <c r="DU150" s="60">
        <f t="shared" si="152"/>
        <v>125.93313963856127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40.404000000000067</v>
      </c>
      <c r="D151" s="12">
        <f t="shared" si="140"/>
        <v>12.105664442616728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405.33776060967352</v>
      </c>
      <c r="H151" s="68">
        <f t="shared" si="110"/>
        <v>348.12099890422428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310.21847999999898</v>
      </c>
      <c r="P151" s="14">
        <f t="shared" si="141"/>
        <v>73.314455620479777</v>
      </c>
      <c r="Q151" s="22">
        <f t="shared" si="108"/>
        <v>667.98652953900034</v>
      </c>
      <c r="R151" s="60">
        <f t="shared" si="109"/>
        <v>961.31986287233372</v>
      </c>
      <c r="S151" s="60">
        <f ca="1">AVERAGE(OFFSET($R$3,0,0,'Données projet'!$E$9+1,1))-AVERAGE(OFFSET($H$3,0,0,'Données projet'!$E$9+1,1))</f>
        <v>455.09463986470064</v>
      </c>
      <c r="T151" s="60">
        <f t="shared" si="142"/>
        <v>266.42568447709669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1.4210854715202004E-13</v>
      </c>
      <c r="AJ151" s="14">
        <f>AI151*VLOOKUP('Données projet'!$B$10,Paramètres!$A$1:$I$89,3,0)*VLOOKUP('Données projet'!$B$10,Paramètres!$A$1:$I$89,5,0)</f>
        <v>1.2192913345643319E-13</v>
      </c>
      <c r="AK151" s="14">
        <f t="shared" si="143"/>
        <v>1.7899324464546674E-12</v>
      </c>
      <c r="AL151" s="22">
        <f t="shared" si="112"/>
        <v>3.3298255850118335E-12</v>
      </c>
      <c r="AM151" s="60">
        <f t="shared" si="113"/>
        <v>293.33333333333667</v>
      </c>
      <c r="AN151" s="60">
        <f ca="1">AVERAGE(OFFSET($AM$3,0,0,'Données projet'!$E$10+1,1))-AVERAGE(OFFSET($H$3,0,0,'Données projet'!$E$10+1,1))</f>
        <v>201.39673092164992</v>
      </c>
      <c r="AO151" s="60">
        <f t="shared" si="144"/>
        <v>278.95637851890405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-1.7053025658242404E-13</v>
      </c>
      <c r="BE151" s="14">
        <f>BD151*VLOOKUP('Données projet'!$B$11,Paramètres!$A$1:$I$89,3,0)*VLOOKUP('Données projet'!$B$11,Paramètres!$A$1:$I$89,5,0)</f>
        <v>-1.7025740817189217E-13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123.29894837876157</v>
      </c>
      <c r="BJ151" s="60">
        <f t="shared" si="146"/>
        <v>103.52963511757127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292.2347999999991</v>
      </c>
      <c r="CA151" s="14">
        <f t="shared" si="147"/>
        <v>69.546103016553573</v>
      </c>
      <c r="CB151" s="22">
        <f t="shared" si="118"/>
        <v>630.10173942049585</v>
      </c>
      <c r="CC151" s="60">
        <f t="shared" si="119"/>
        <v>923.43507275382922</v>
      </c>
      <c r="CD151" s="60">
        <f ca="1">AVERAGE(OFFSET($CC$3,0,0,'Données projet'!$E$12+1,1))-AVERAGE(OFFSET($H$3,0,0,'Données projet'!$E$12+1,1))</f>
        <v>428.49602929661046</v>
      </c>
      <c r="CE151" s="60">
        <f t="shared" si="148"/>
        <v>252.32489414103878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3.813056537183002E-14</v>
      </c>
      <c r="CV151" s="14">
        <f t="shared" si="149"/>
        <v>6.4086286045526829E-13</v>
      </c>
      <c r="CW151" s="22">
        <f t="shared" si="121"/>
        <v>1.1825802166488628E-12</v>
      </c>
      <c r="CX151" s="60">
        <f t="shared" si="122"/>
        <v>293.33333333333451</v>
      </c>
      <c r="CY151" s="60">
        <f ca="1">AVERAGE(OFFSET($CX$3,0,0,'Données projet'!$E$13+1,1))-AVERAGE(OFFSET($H$3,0,0,'Données projet'!$E$13+1,1))</f>
        <v>226.5873967387837</v>
      </c>
      <c r="CZ151" s="60">
        <f t="shared" si="150"/>
        <v>188.57459946241204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-6.2527760746888816E-13</v>
      </c>
      <c r="DP151" s="18">
        <f>DO151*VLOOKUP('Données projet'!$B$14,Paramètres!$A$1:$I$89,3,0)*VLOOKUP('Données projet'!$B$14,Paramètres!$A$1:$I$89,5,0)</f>
        <v>-2.9262992029543964E-13</v>
      </c>
      <c r="DQ151" s="14" t="e">
        <f t="shared" si="151"/>
        <v>#NUM!</v>
      </c>
      <c r="DR151" s="22" t="e">
        <f t="shared" si="124"/>
        <v>#NUM!</v>
      </c>
      <c r="DS151" s="60" t="e">
        <f t="shared" si="125"/>
        <v>#NUM!</v>
      </c>
      <c r="DT151" s="60">
        <f ca="1">AVERAGE(OFFSET($DS$3,0,0,'Données projet'!$E$14+1,1))-AVERAGE(OFFSET($H$3,0,0,'Données projet'!$E$14+1,1))</f>
        <v>212.19771249416107</v>
      </c>
      <c r="DU151" s="60">
        <f t="shared" si="152"/>
        <v>125.93313963856127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40.677000000000071</v>
      </c>
      <c r="D152" s="12">
        <f t="shared" si="140"/>
        <v>12.177910181051889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408.00281543268187</v>
      </c>
      <c r="H152" s="68">
        <f t="shared" si="110"/>
        <v>348.72230189866553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312.80183999999895</v>
      </c>
      <c r="P152" s="14">
        <f t="shared" si="141"/>
        <v>73.853659115640198</v>
      </c>
      <c r="Q152" s="22">
        <f t="shared" si="108"/>
        <v>673.42499429307145</v>
      </c>
      <c r="R152" s="60">
        <f t="shared" si="109"/>
        <v>966.75832762640471</v>
      </c>
      <c r="S152" s="60">
        <f ca="1">AVERAGE(OFFSET($R$3,0,0,'Données projet'!$E$9+1,1))-AVERAGE(OFFSET($H$3,0,0,'Données projet'!$E$9+1,1))</f>
        <v>455.09463986470064</v>
      </c>
      <c r="T152" s="60">
        <f t="shared" si="142"/>
        <v>266.42568447709669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1.4210854715202004E-13</v>
      </c>
      <c r="AJ152" s="14">
        <f>AI152*VLOOKUP('Données projet'!$B$10,Paramètres!$A$1:$I$89,3,0)*VLOOKUP('Données projet'!$B$10,Paramètres!$A$1:$I$89,5,0)</f>
        <v>1.2192913345643319E-13</v>
      </c>
      <c r="AK152" s="14">
        <f t="shared" si="143"/>
        <v>1.7899324464546674E-12</v>
      </c>
      <c r="AL152" s="22">
        <f t="shared" si="112"/>
        <v>3.3298255850118335E-12</v>
      </c>
      <c r="AM152" s="60">
        <f t="shared" si="113"/>
        <v>293.33333333333667</v>
      </c>
      <c r="AN152" s="60">
        <f ca="1">AVERAGE(OFFSET($AM$3,0,0,'Données projet'!$E$10+1,1))-AVERAGE(OFFSET($H$3,0,0,'Données projet'!$E$10+1,1))</f>
        <v>201.39673092164992</v>
      </c>
      <c r="AO152" s="60">
        <f t="shared" si="144"/>
        <v>278.95637851890405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-1.7053025658242404E-13</v>
      </c>
      <c r="BE152" s="14">
        <f>BD152*VLOOKUP('Données projet'!$B$11,Paramètres!$A$1:$I$89,3,0)*VLOOKUP('Données projet'!$B$11,Paramètres!$A$1:$I$89,5,0)</f>
        <v>-1.7025740817189217E-13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123.29894837876157</v>
      </c>
      <c r="BJ152" s="60">
        <f t="shared" si="146"/>
        <v>103.52963511757127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294.66839999999905</v>
      </c>
      <c r="CA152" s="14">
        <f t="shared" si="147"/>
        <v>70.057591528661362</v>
      </c>
      <c r="CB152" s="22">
        <f t="shared" si="118"/>
        <v>635.23110191241688</v>
      </c>
      <c r="CC152" s="60">
        <f t="shared" si="119"/>
        <v>928.56443524575025</v>
      </c>
      <c r="CD152" s="60">
        <f ca="1">AVERAGE(OFFSET($CC$3,0,0,'Données projet'!$E$12+1,1))-AVERAGE(OFFSET($H$3,0,0,'Données projet'!$E$12+1,1))</f>
        <v>428.49602929661046</v>
      </c>
      <c r="CE152" s="60">
        <f t="shared" si="148"/>
        <v>252.32489414103878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3.813056537183002E-14</v>
      </c>
      <c r="CV152" s="14">
        <f t="shared" si="149"/>
        <v>6.4086286045526829E-13</v>
      </c>
      <c r="CW152" s="22">
        <f t="shared" si="121"/>
        <v>1.1825802166488628E-12</v>
      </c>
      <c r="CX152" s="60">
        <f t="shared" si="122"/>
        <v>293.33333333333451</v>
      </c>
      <c r="CY152" s="60">
        <f ca="1">AVERAGE(OFFSET($CX$3,0,0,'Données projet'!$E$13+1,1))-AVERAGE(OFFSET($H$3,0,0,'Données projet'!$E$13+1,1))</f>
        <v>226.5873967387837</v>
      </c>
      <c r="CZ152" s="60">
        <f t="shared" si="150"/>
        <v>188.57459946241204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-6.2527760746888816E-13</v>
      </c>
      <c r="DP152" s="18">
        <f>DO152*VLOOKUP('Données projet'!$B$14,Paramètres!$A$1:$I$89,3,0)*VLOOKUP('Données projet'!$B$14,Paramètres!$A$1:$I$89,5,0)</f>
        <v>-2.9262992029543964E-13</v>
      </c>
      <c r="DQ152" s="14" t="e">
        <f t="shared" si="151"/>
        <v>#NUM!</v>
      </c>
      <c r="DR152" s="22" t="e">
        <f t="shared" si="124"/>
        <v>#NUM!</v>
      </c>
      <c r="DS152" s="60" t="e">
        <f t="shared" si="125"/>
        <v>#NUM!</v>
      </c>
      <c r="DT152" s="60">
        <f ca="1">AVERAGE(OFFSET($DS$3,0,0,'Données projet'!$E$14+1,1))-AVERAGE(OFFSET($H$3,0,0,'Données projet'!$E$14+1,1))</f>
        <v>212.19771249416107</v>
      </c>
      <c r="DU152" s="60">
        <f t="shared" si="152"/>
        <v>125.93313963856127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40.950000000000074</v>
      </c>
      <c r="D153" s="12">
        <f t="shared" si="140"/>
        <v>12.250099502125865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410.66743475325285</v>
      </c>
      <c r="H153" s="68">
        <f t="shared" si="110"/>
        <v>349.32350663286934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315.38519999999892</v>
      </c>
      <c r="P153" s="14">
        <f t="shared" si="141"/>
        <v>74.392344505779604</v>
      </c>
      <c r="Q153" s="22">
        <f t="shared" si="108"/>
        <v>678.86255668089746</v>
      </c>
      <c r="R153" s="60">
        <f t="shared" si="109"/>
        <v>972.19589001423083</v>
      </c>
      <c r="S153" s="60">
        <f ca="1">AVERAGE(OFFSET($R$3,0,0,'Données projet'!$E$9+1,1))-AVERAGE(OFFSET($H$3,0,0,'Données projet'!$E$9+1,1))</f>
        <v>455.09463986470064</v>
      </c>
      <c r="T153" s="60">
        <f t="shared" si="142"/>
        <v>266.42568447709669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1.4210854715202004E-13</v>
      </c>
      <c r="AJ153" s="14">
        <f>AI153*VLOOKUP('Données projet'!$B$10,Paramètres!$A$1:$I$89,3,0)*VLOOKUP('Données projet'!$B$10,Paramètres!$A$1:$I$89,5,0)</f>
        <v>1.2192913345643319E-13</v>
      </c>
      <c r="AK153" s="14">
        <f t="shared" si="143"/>
        <v>1.7899324464546674E-12</v>
      </c>
      <c r="AL153" s="22">
        <f t="shared" si="112"/>
        <v>3.3298255850118335E-12</v>
      </c>
      <c r="AM153" s="60">
        <f t="shared" si="113"/>
        <v>293.33333333333667</v>
      </c>
      <c r="AN153" s="60">
        <f ca="1">AVERAGE(OFFSET($AM$3,0,0,'Données projet'!$E$10+1,1))-AVERAGE(OFFSET($H$3,0,0,'Données projet'!$E$10+1,1))</f>
        <v>201.39673092164992</v>
      </c>
      <c r="AO153" s="60">
        <f t="shared" si="144"/>
        <v>278.95637851890405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-1.7053025658242404E-13</v>
      </c>
      <c r="BE153" s="14">
        <f>BD153*VLOOKUP('Données projet'!$B$11,Paramètres!$A$1:$I$89,3,0)*VLOOKUP('Données projet'!$B$11,Paramètres!$A$1:$I$89,5,0)</f>
        <v>-1.7025740817189217E-13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123.29894837876157</v>
      </c>
      <c r="BJ153" s="60">
        <f t="shared" si="146"/>
        <v>103.52963511757127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297.10199999999907</v>
      </c>
      <c r="CA153" s="14">
        <f t="shared" si="147"/>
        <v>70.568588566272624</v>
      </c>
      <c r="CB153" s="22">
        <f t="shared" si="118"/>
        <v>640.3596084195899</v>
      </c>
      <c r="CC153" s="60">
        <f t="shared" si="119"/>
        <v>933.69294175292316</v>
      </c>
      <c r="CD153" s="60">
        <f ca="1">AVERAGE(OFFSET($CC$3,0,0,'Données projet'!$E$12+1,1))-AVERAGE(OFFSET($H$3,0,0,'Données projet'!$E$12+1,1))</f>
        <v>428.49602929661046</v>
      </c>
      <c r="CE153" s="60">
        <f t="shared" si="148"/>
        <v>252.32489414103878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3.813056537183002E-14</v>
      </c>
      <c r="CV153" s="14">
        <f t="shared" si="149"/>
        <v>6.4086286045526829E-13</v>
      </c>
      <c r="CW153" s="22">
        <f t="shared" si="121"/>
        <v>1.1825802166488628E-12</v>
      </c>
      <c r="CX153" s="60">
        <f t="shared" si="122"/>
        <v>293.33333333333451</v>
      </c>
      <c r="CY153" s="60">
        <f ca="1">AVERAGE(OFFSET($CX$3,0,0,'Données projet'!$E$13+1,1))-AVERAGE(OFFSET($H$3,0,0,'Données projet'!$E$13+1,1))</f>
        <v>226.5873967387837</v>
      </c>
      <c r="CZ153" s="60">
        <f t="shared" si="150"/>
        <v>188.57459946241204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-6.2527760746888816E-13</v>
      </c>
      <c r="DP153" s="18">
        <f>DO153*VLOOKUP('Données projet'!$B$14,Paramètres!$A$1:$I$89,3,0)*VLOOKUP('Données projet'!$B$14,Paramètres!$A$1:$I$89,5,0)</f>
        <v>-2.9262992029543964E-13</v>
      </c>
      <c r="DQ153" s="14" t="e">
        <f t="shared" si="151"/>
        <v>#NUM!</v>
      </c>
      <c r="DR153" s="22" t="e">
        <f t="shared" si="124"/>
        <v>#NUM!</v>
      </c>
      <c r="DS153" s="60" t="e">
        <f t="shared" si="125"/>
        <v>#NUM!</v>
      </c>
      <c r="DT153" s="60">
        <f ca="1">AVERAGE(OFFSET($DS$3,0,0,'Données projet'!$E$14+1,1))-AVERAGE(OFFSET($H$3,0,0,'Données projet'!$E$14+1,1))</f>
        <v>212.19771249416107</v>
      </c>
      <c r="DU153" s="60">
        <f t="shared" si="152"/>
        <v>125.93313963856127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41.223000000000077</v>
      </c>
      <c r="D154" s="12">
        <f t="shared" si="140"/>
        <v>12.322232825577638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413.33162181147713</v>
      </c>
      <c r="H154" s="68">
        <f t="shared" si="110"/>
        <v>349.92461383788122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-1.0401663530501537E-12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455.09463986470064</v>
      </c>
      <c r="T154" s="60">
        <f t="shared" si="142"/>
        <v>266.42568447709669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1.4210854715202004E-13</v>
      </c>
      <c r="AJ154" s="14">
        <f>AI154*VLOOKUP('Données projet'!$B$10,Paramètres!$A$1:$I$89,3,0)*VLOOKUP('Données projet'!$B$10,Paramètres!$A$1:$I$89,5,0)</f>
        <v>1.2192913345643319E-13</v>
      </c>
      <c r="AK154" s="14">
        <f t="shared" ref="AK154:AK203" si="164">EXP(-1.0587+0.8836*LN(AJ154)+0.284)</f>
        <v>1.7899324464546674E-12</v>
      </c>
      <c r="AL154" s="22">
        <f t="shared" ref="AL154:AL203" si="165">(AJ154+AK154)*0.475*44/12</f>
        <v>3.3298255850118335E-12</v>
      </c>
      <c r="AM154" s="60">
        <f t="shared" si="113"/>
        <v>293.33333333333667</v>
      </c>
      <c r="AN154" s="60">
        <f ca="1">AVERAGE(OFFSET($AM$3,0,0,'Données projet'!$E$10+1,1))-AVERAGE(OFFSET($H$3,0,0,'Données projet'!$E$10+1,1))</f>
        <v>201.39673092164992</v>
      </c>
      <c r="AO154" s="60">
        <f t="shared" si="144"/>
        <v>278.95637851890405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-1.7053025658242404E-13</v>
      </c>
      <c r="BE154" s="14">
        <f>BD154*VLOOKUP('Données projet'!$B$11,Paramètres!$A$1:$I$89,3,0)*VLOOKUP('Données projet'!$B$11,Paramètres!$A$1:$I$89,5,0)</f>
        <v>-1.7025740817189217E-13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123.29894837876157</v>
      </c>
      <c r="BJ154" s="60">
        <f t="shared" si="146"/>
        <v>103.52963511757127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-9.7986685432260874E-13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428.49602929661046</v>
      </c>
      <c r="CE154" s="60">
        <f t="shared" si="148"/>
        <v>252.32489414103878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3.813056537183002E-14</v>
      </c>
      <c r="CV154" s="14">
        <f t="shared" ref="CV154:CV203" si="173">EXP(-1.0587+0.8836*LN(CU154)+0.284)</f>
        <v>6.4086286045526829E-13</v>
      </c>
      <c r="CW154" s="22">
        <f t="shared" ref="CW154:CW203" si="174">(CU154+CV154)*0.475*44/12</f>
        <v>1.1825802166488628E-12</v>
      </c>
      <c r="CX154" s="60">
        <f t="shared" si="122"/>
        <v>293.33333333333451</v>
      </c>
      <c r="CY154" s="60">
        <f ca="1">AVERAGE(OFFSET($CX$3,0,0,'Données projet'!$E$13+1,1))-AVERAGE(OFFSET($H$3,0,0,'Données projet'!$E$13+1,1))</f>
        <v>226.5873967387837</v>
      </c>
      <c r="CZ154" s="60">
        <f t="shared" si="150"/>
        <v>188.57459946241204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-6.2527760746888816E-13</v>
      </c>
      <c r="DP154" s="18">
        <f>DO154*VLOOKUP('Données projet'!$B$14,Paramètres!$A$1:$I$89,3,0)*VLOOKUP('Données projet'!$B$14,Paramètres!$A$1:$I$89,5,0)</f>
        <v>-2.9262992029543964E-13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212.19771249416107</v>
      </c>
      <c r="DU154" s="60">
        <f t="shared" si="152"/>
        <v>125.93313963856127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41.49600000000008</v>
      </c>
      <c r="D155" s="12">
        <f t="shared" si="140"/>
        <v>12.394310565265293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415.99537980204849</v>
      </c>
      <c r="H155" s="68">
        <f t="shared" si="110"/>
        <v>350.52562423450388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-1.0401663530501537E-12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455.09463986470064</v>
      </c>
      <c r="T155" s="60">
        <f t="shared" si="142"/>
        <v>266.42568447709669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1.4210854715202004E-13</v>
      </c>
      <c r="AJ155" s="14">
        <f>AI155*VLOOKUP('Données projet'!$B$10,Paramètres!$A$1:$I$89,3,0)*VLOOKUP('Données projet'!$B$10,Paramètres!$A$1:$I$89,5,0)</f>
        <v>1.2192913345643319E-13</v>
      </c>
      <c r="AK155" s="14">
        <f t="shared" si="164"/>
        <v>1.7899324464546674E-12</v>
      </c>
      <c r="AL155" s="22">
        <f t="shared" si="165"/>
        <v>3.3298255850118335E-12</v>
      </c>
      <c r="AM155" s="60">
        <f t="shared" si="113"/>
        <v>293.33333333333667</v>
      </c>
      <c r="AN155" s="60">
        <f ca="1">AVERAGE(OFFSET($AM$3,0,0,'Données projet'!$E$10+1,1))-AVERAGE(OFFSET($H$3,0,0,'Données projet'!$E$10+1,1))</f>
        <v>201.39673092164992</v>
      </c>
      <c r="AO155" s="60">
        <f t="shared" si="144"/>
        <v>278.95637851890405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-1.7053025658242404E-13</v>
      </c>
      <c r="BE155" s="14">
        <f>BD155*VLOOKUP('Données projet'!$B$11,Paramètres!$A$1:$I$89,3,0)*VLOOKUP('Données projet'!$B$11,Paramètres!$A$1:$I$89,5,0)</f>
        <v>-1.7025740817189217E-13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123.29894837876157</v>
      </c>
      <c r="BJ155" s="60">
        <f t="shared" si="146"/>
        <v>103.52963511757127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-9.7986685432260874E-13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428.49602929661046</v>
      </c>
      <c r="CE155" s="60">
        <f t="shared" si="148"/>
        <v>252.32489414103878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3.813056537183002E-14</v>
      </c>
      <c r="CV155" s="14">
        <f t="shared" si="173"/>
        <v>6.4086286045526829E-13</v>
      </c>
      <c r="CW155" s="22">
        <f t="shared" si="174"/>
        <v>1.1825802166488628E-12</v>
      </c>
      <c r="CX155" s="60">
        <f t="shared" si="122"/>
        <v>293.33333333333451</v>
      </c>
      <c r="CY155" s="60">
        <f ca="1">AVERAGE(OFFSET($CX$3,0,0,'Données projet'!$E$13+1,1))-AVERAGE(OFFSET($H$3,0,0,'Données projet'!$E$13+1,1))</f>
        <v>226.5873967387837</v>
      </c>
      <c r="CZ155" s="60">
        <f t="shared" si="150"/>
        <v>188.57459946241204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-6.2527760746888816E-13</v>
      </c>
      <c r="DP155" s="18">
        <f>DO155*VLOOKUP('Données projet'!$B$14,Paramètres!$A$1:$I$89,3,0)*VLOOKUP('Données projet'!$B$14,Paramètres!$A$1:$I$89,5,0)</f>
        <v>-2.9262992029543964E-13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212.19771249416107</v>
      </c>
      <c r="DU155" s="60">
        <f t="shared" si="152"/>
        <v>125.93313963856127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41.769000000000084</v>
      </c>
      <c r="D156" s="12">
        <f t="shared" si="140"/>
        <v>12.46633312928658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418.65871187519537</v>
      </c>
      <c r="H156" s="68">
        <f t="shared" si="110"/>
        <v>351.12653853350764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-1.0401663530501537E-12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455.09463986470064</v>
      </c>
      <c r="T156" s="60">
        <f t="shared" si="142"/>
        <v>266.42568447709669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1.4210854715202004E-13</v>
      </c>
      <c r="AJ156" s="14">
        <f>AI156*VLOOKUP('Données projet'!$B$10,Paramètres!$A$1:$I$89,3,0)*VLOOKUP('Données projet'!$B$10,Paramètres!$A$1:$I$89,5,0)</f>
        <v>1.2192913345643319E-13</v>
      </c>
      <c r="AK156" s="14">
        <f t="shared" si="164"/>
        <v>1.7899324464546674E-12</v>
      </c>
      <c r="AL156" s="22">
        <f t="shared" si="165"/>
        <v>3.3298255850118335E-12</v>
      </c>
      <c r="AM156" s="60">
        <f t="shared" si="113"/>
        <v>293.33333333333667</v>
      </c>
      <c r="AN156" s="60">
        <f ca="1">AVERAGE(OFFSET($AM$3,0,0,'Données projet'!$E$10+1,1))-AVERAGE(OFFSET($H$3,0,0,'Données projet'!$E$10+1,1))</f>
        <v>201.39673092164992</v>
      </c>
      <c r="AO156" s="60">
        <f t="shared" si="144"/>
        <v>278.95637851890405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-1.7053025658242404E-13</v>
      </c>
      <c r="BE156" s="14">
        <f>BD156*VLOOKUP('Données projet'!$B$11,Paramètres!$A$1:$I$89,3,0)*VLOOKUP('Données projet'!$B$11,Paramètres!$A$1:$I$89,5,0)</f>
        <v>-1.7025740817189217E-13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123.29894837876157</v>
      </c>
      <c r="BJ156" s="60">
        <f t="shared" si="146"/>
        <v>103.52963511757127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-9.7986685432260874E-13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428.49602929661046</v>
      </c>
      <c r="CE156" s="60">
        <f t="shared" si="148"/>
        <v>252.32489414103878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3.813056537183002E-14</v>
      </c>
      <c r="CV156" s="14">
        <f t="shared" si="173"/>
        <v>6.4086286045526829E-13</v>
      </c>
      <c r="CW156" s="22">
        <f t="shared" si="174"/>
        <v>1.1825802166488628E-12</v>
      </c>
      <c r="CX156" s="60">
        <f t="shared" si="122"/>
        <v>293.33333333333451</v>
      </c>
      <c r="CY156" s="60">
        <f ca="1">AVERAGE(OFFSET($CX$3,0,0,'Données projet'!$E$13+1,1))-AVERAGE(OFFSET($H$3,0,0,'Données projet'!$E$13+1,1))</f>
        <v>226.5873967387837</v>
      </c>
      <c r="CZ156" s="60">
        <f t="shared" si="150"/>
        <v>188.57459946241204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-6.2527760746888816E-13</v>
      </c>
      <c r="DP156" s="18">
        <f>DO156*VLOOKUP('Données projet'!$B$14,Paramètres!$A$1:$I$89,3,0)*VLOOKUP('Données projet'!$B$14,Paramètres!$A$1:$I$89,5,0)</f>
        <v>-2.9262992029543964E-13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212.19771249416107</v>
      </c>
      <c r="DU156" s="60">
        <f t="shared" si="152"/>
        <v>125.93313963856127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42.042000000000087</v>
      </c>
      <c r="D157" s="12">
        <f t="shared" si="140"/>
        <v>12.538300920096198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421.3216211375854</v>
      </c>
      <c r="H157" s="68">
        <f t="shared" si="110"/>
        <v>351.72735743583439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-1.0401663530501537E-12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455.09463986470064</v>
      </c>
      <c r="T157" s="60">
        <f t="shared" si="142"/>
        <v>266.42568447709669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1.4210854715202004E-13</v>
      </c>
      <c r="AJ157" s="14">
        <f>AI157*VLOOKUP('Données projet'!$B$10,Paramètres!$A$1:$I$89,3,0)*VLOOKUP('Données projet'!$B$10,Paramètres!$A$1:$I$89,5,0)</f>
        <v>1.2192913345643319E-13</v>
      </c>
      <c r="AK157" s="14">
        <f t="shared" si="164"/>
        <v>1.7899324464546674E-12</v>
      </c>
      <c r="AL157" s="22">
        <f t="shared" si="165"/>
        <v>3.3298255850118335E-12</v>
      </c>
      <c r="AM157" s="60">
        <f t="shared" si="113"/>
        <v>293.33333333333667</v>
      </c>
      <c r="AN157" s="60">
        <f ca="1">AVERAGE(OFFSET($AM$3,0,0,'Données projet'!$E$10+1,1))-AVERAGE(OFFSET($H$3,0,0,'Données projet'!$E$10+1,1))</f>
        <v>201.39673092164992</v>
      </c>
      <c r="AO157" s="60">
        <f t="shared" si="144"/>
        <v>278.95637851890405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-1.7053025658242404E-13</v>
      </c>
      <c r="BE157" s="14">
        <f>BD157*VLOOKUP('Données projet'!$B$11,Paramètres!$A$1:$I$89,3,0)*VLOOKUP('Données projet'!$B$11,Paramètres!$A$1:$I$89,5,0)</f>
        <v>-1.7025740817189217E-13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123.29894837876157</v>
      </c>
      <c r="BJ157" s="60">
        <f t="shared" si="146"/>
        <v>103.52963511757127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-9.7986685432260874E-13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428.49602929661046</v>
      </c>
      <c r="CE157" s="60">
        <f t="shared" si="148"/>
        <v>252.32489414103878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3.813056537183002E-14</v>
      </c>
      <c r="CV157" s="14">
        <f t="shared" si="173"/>
        <v>6.4086286045526829E-13</v>
      </c>
      <c r="CW157" s="22">
        <f t="shared" si="174"/>
        <v>1.1825802166488628E-12</v>
      </c>
      <c r="CX157" s="60">
        <f t="shared" si="122"/>
        <v>293.33333333333451</v>
      </c>
      <c r="CY157" s="60">
        <f ca="1">AVERAGE(OFFSET($CX$3,0,0,'Données projet'!$E$13+1,1))-AVERAGE(OFFSET($H$3,0,0,'Données projet'!$E$13+1,1))</f>
        <v>226.5873967387837</v>
      </c>
      <c r="CZ157" s="60">
        <f t="shared" si="150"/>
        <v>188.57459946241204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-6.2527760746888816E-13</v>
      </c>
      <c r="DP157" s="18">
        <f>DO157*VLOOKUP('Données projet'!$B$14,Paramètres!$A$1:$I$89,3,0)*VLOOKUP('Données projet'!$B$14,Paramètres!$A$1:$I$89,5,0)</f>
        <v>-2.9262992029543964E-13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212.19771249416107</v>
      </c>
      <c r="DU157" s="60">
        <f t="shared" si="152"/>
        <v>125.93313963856127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42.31500000000009</v>
      </c>
      <c r="D158" s="12">
        <f t="shared" si="140"/>
        <v>12.610214334619933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423.98411065320721</v>
      </c>
      <c r="H158" s="68">
        <f t="shared" si="110"/>
        <v>352.32808163279657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-1.0401663530501537E-12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455.09463986470064</v>
      </c>
      <c r="T158" s="60">
        <f t="shared" si="142"/>
        <v>266.42568447709669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1.4210854715202004E-13</v>
      </c>
      <c r="AJ158" s="14">
        <f>AI158*VLOOKUP('Données projet'!$B$10,Paramètres!$A$1:$I$89,3,0)*VLOOKUP('Données projet'!$B$10,Paramètres!$A$1:$I$89,5,0)</f>
        <v>1.2192913345643319E-13</v>
      </c>
      <c r="AK158" s="14">
        <f t="shared" si="164"/>
        <v>1.7899324464546674E-12</v>
      </c>
      <c r="AL158" s="22">
        <f t="shared" si="165"/>
        <v>3.3298255850118335E-12</v>
      </c>
      <c r="AM158" s="60">
        <f t="shared" si="113"/>
        <v>293.33333333333667</v>
      </c>
      <c r="AN158" s="60">
        <f ca="1">AVERAGE(OFFSET($AM$3,0,0,'Données projet'!$E$10+1,1))-AVERAGE(OFFSET($H$3,0,0,'Données projet'!$E$10+1,1))</f>
        <v>201.39673092164992</v>
      </c>
      <c r="AO158" s="60">
        <f t="shared" si="144"/>
        <v>278.95637851890405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-1.7053025658242404E-13</v>
      </c>
      <c r="BE158" s="14">
        <f>BD158*VLOOKUP('Données projet'!$B$11,Paramètres!$A$1:$I$89,3,0)*VLOOKUP('Données projet'!$B$11,Paramètres!$A$1:$I$89,5,0)</f>
        <v>-1.7025740817189217E-13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123.29894837876157</v>
      </c>
      <c r="BJ158" s="60">
        <f t="shared" si="146"/>
        <v>103.52963511757127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-9.7986685432260874E-13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428.49602929661046</v>
      </c>
      <c r="CE158" s="60">
        <f t="shared" si="148"/>
        <v>252.32489414103878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3.813056537183002E-14</v>
      </c>
      <c r="CV158" s="14">
        <f t="shared" si="173"/>
        <v>6.4086286045526829E-13</v>
      </c>
      <c r="CW158" s="22">
        <f t="shared" si="174"/>
        <v>1.1825802166488628E-12</v>
      </c>
      <c r="CX158" s="60">
        <f t="shared" si="122"/>
        <v>293.33333333333451</v>
      </c>
      <c r="CY158" s="60">
        <f ca="1">AVERAGE(OFFSET($CX$3,0,0,'Données projet'!$E$13+1,1))-AVERAGE(OFFSET($H$3,0,0,'Données projet'!$E$13+1,1))</f>
        <v>226.5873967387837</v>
      </c>
      <c r="CZ158" s="60">
        <f t="shared" si="150"/>
        <v>188.57459946241204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-6.2527760746888816E-13</v>
      </c>
      <c r="DP158" s="18">
        <f>DO158*VLOOKUP('Données projet'!$B$14,Paramètres!$A$1:$I$89,3,0)*VLOOKUP('Données projet'!$B$14,Paramètres!$A$1:$I$89,5,0)</f>
        <v>-2.9262992029543964E-13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212.19771249416107</v>
      </c>
      <c r="DU158" s="60">
        <f t="shared" si="152"/>
        <v>125.93313963856127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42.588000000000093</v>
      </c>
      <c r="D159" s="12">
        <f t="shared" si="140"/>
        <v>12.682073764365791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426.64618344422792</v>
      </c>
      <c r="H159" s="68">
        <f t="shared" si="110"/>
        <v>352.9287118062706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-1.0401663530501537E-12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455.09463986470064</v>
      </c>
      <c r="T159" s="60">
        <f t="shared" si="142"/>
        <v>266.42568447709669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1.4210854715202004E-13</v>
      </c>
      <c r="AJ159" s="14">
        <f>AI159*VLOOKUP('Données projet'!$B$10,Paramètres!$A$1:$I$89,3,0)*VLOOKUP('Données projet'!$B$10,Paramètres!$A$1:$I$89,5,0)</f>
        <v>1.2192913345643319E-13</v>
      </c>
      <c r="AK159" s="14">
        <f t="shared" si="164"/>
        <v>1.7899324464546674E-12</v>
      </c>
      <c r="AL159" s="22">
        <f t="shared" si="165"/>
        <v>3.3298255850118335E-12</v>
      </c>
      <c r="AM159" s="60">
        <f t="shared" si="113"/>
        <v>293.33333333333667</v>
      </c>
      <c r="AN159" s="60">
        <f ca="1">AVERAGE(OFFSET($AM$3,0,0,'Données projet'!$E$10+1,1))-AVERAGE(OFFSET($H$3,0,0,'Données projet'!$E$10+1,1))</f>
        <v>201.39673092164992</v>
      </c>
      <c r="AO159" s="60">
        <f t="shared" si="144"/>
        <v>278.95637851890405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-1.7053025658242404E-13</v>
      </c>
      <c r="BE159" s="14">
        <f>BD159*VLOOKUP('Données projet'!$B$11,Paramètres!$A$1:$I$89,3,0)*VLOOKUP('Données projet'!$B$11,Paramètres!$A$1:$I$89,5,0)</f>
        <v>-1.7025740817189217E-13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123.29894837876157</v>
      </c>
      <c r="BJ159" s="60">
        <f t="shared" si="146"/>
        <v>103.52963511757127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-9.7986685432260874E-13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428.49602929661046</v>
      </c>
      <c r="CE159" s="60">
        <f t="shared" si="148"/>
        <v>252.32489414103878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3.813056537183002E-14</v>
      </c>
      <c r="CV159" s="14">
        <f t="shared" si="173"/>
        <v>6.4086286045526829E-13</v>
      </c>
      <c r="CW159" s="22">
        <f t="shared" si="174"/>
        <v>1.1825802166488628E-12</v>
      </c>
      <c r="CX159" s="60">
        <f t="shared" si="122"/>
        <v>293.33333333333451</v>
      </c>
      <c r="CY159" s="60">
        <f ca="1">AVERAGE(OFFSET($CX$3,0,0,'Données projet'!$E$13+1,1))-AVERAGE(OFFSET($H$3,0,0,'Données projet'!$E$13+1,1))</f>
        <v>226.5873967387837</v>
      </c>
      <c r="CZ159" s="60">
        <f t="shared" si="150"/>
        <v>188.57459946241204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-6.2527760746888816E-13</v>
      </c>
      <c r="DP159" s="18">
        <f>DO159*VLOOKUP('Données projet'!$B$14,Paramètres!$A$1:$I$89,3,0)*VLOOKUP('Données projet'!$B$14,Paramètres!$A$1:$I$89,5,0)</f>
        <v>-2.9262992029543964E-13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212.19771249416107</v>
      </c>
      <c r="DU159" s="60">
        <f t="shared" si="152"/>
        <v>125.93313963856127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42.861000000000097</v>
      </c>
      <c r="D160" s="12">
        <f t="shared" si="140"/>
        <v>12.753879595532203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429.3078424918283</v>
      </c>
      <c r="H160" s="68">
        <f t="shared" si="110"/>
        <v>353.52924862888545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-1.0401663530501537E-12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455.09463986470064</v>
      </c>
      <c r="T160" s="60">
        <f t="shared" si="142"/>
        <v>266.42568447709669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1.4210854715202004E-13</v>
      </c>
      <c r="AJ160" s="14">
        <f>AI160*VLOOKUP('Données projet'!$B$10,Paramètres!$A$1:$I$89,3,0)*VLOOKUP('Données projet'!$B$10,Paramètres!$A$1:$I$89,5,0)</f>
        <v>1.2192913345643319E-13</v>
      </c>
      <c r="AK160" s="14">
        <f t="shared" si="164"/>
        <v>1.7899324464546674E-12</v>
      </c>
      <c r="AL160" s="22">
        <f t="shared" si="165"/>
        <v>3.3298255850118335E-12</v>
      </c>
      <c r="AM160" s="60">
        <f t="shared" si="113"/>
        <v>293.33333333333667</v>
      </c>
      <c r="AN160" s="60">
        <f ca="1">AVERAGE(OFFSET($AM$3,0,0,'Données projet'!$E$10+1,1))-AVERAGE(OFFSET($H$3,0,0,'Données projet'!$E$10+1,1))</f>
        <v>201.39673092164992</v>
      </c>
      <c r="AO160" s="60">
        <f t="shared" si="144"/>
        <v>278.95637851890405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-1.7053025658242404E-13</v>
      </c>
      <c r="BE160" s="14">
        <f>BD160*VLOOKUP('Données projet'!$B$11,Paramètres!$A$1:$I$89,3,0)*VLOOKUP('Données projet'!$B$11,Paramètres!$A$1:$I$89,5,0)</f>
        <v>-1.7025740817189217E-13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123.29894837876157</v>
      </c>
      <c r="BJ160" s="60">
        <f t="shared" si="146"/>
        <v>103.52963511757127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-9.7986685432260874E-13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428.49602929661046</v>
      </c>
      <c r="CE160" s="60">
        <f t="shared" si="148"/>
        <v>252.32489414103878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3.813056537183002E-14</v>
      </c>
      <c r="CV160" s="14">
        <f t="shared" si="173"/>
        <v>6.4086286045526829E-13</v>
      </c>
      <c r="CW160" s="22">
        <f t="shared" si="174"/>
        <v>1.1825802166488628E-12</v>
      </c>
      <c r="CX160" s="60">
        <f t="shared" si="122"/>
        <v>293.33333333333451</v>
      </c>
      <c r="CY160" s="60">
        <f ca="1">AVERAGE(OFFSET($CX$3,0,0,'Données projet'!$E$13+1,1))-AVERAGE(OFFSET($H$3,0,0,'Données projet'!$E$13+1,1))</f>
        <v>226.5873967387837</v>
      </c>
      <c r="CZ160" s="60">
        <f t="shared" si="150"/>
        <v>188.57459946241204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-6.2527760746888816E-13</v>
      </c>
      <c r="DP160" s="18">
        <f>DO160*VLOOKUP('Données projet'!$B$14,Paramètres!$A$1:$I$89,3,0)*VLOOKUP('Données projet'!$B$14,Paramètres!$A$1:$I$89,5,0)</f>
        <v>-2.9262992029543964E-13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212.19771249416107</v>
      </c>
      <c r="DU160" s="60">
        <f t="shared" si="152"/>
        <v>125.93313963856127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43.1340000000001</v>
      </c>
      <c r="D161" s="12">
        <f t="shared" si="140"/>
        <v>12.825632209113364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431.96909073701619</v>
      </c>
      <c r="H161" s="68">
        <f t="shared" si="110"/>
        <v>354.12969276420597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-1.0401663530501537E-12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455.09463986470064</v>
      </c>
      <c r="T161" s="60">
        <f t="shared" si="142"/>
        <v>266.42568447709669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1.4210854715202004E-13</v>
      </c>
      <c r="AJ161" s="14">
        <f>AI161*VLOOKUP('Données projet'!$B$10,Paramètres!$A$1:$I$89,3,0)*VLOOKUP('Données projet'!$B$10,Paramètres!$A$1:$I$89,5,0)</f>
        <v>1.2192913345643319E-13</v>
      </c>
      <c r="AK161" s="14">
        <f t="shared" si="164"/>
        <v>1.7899324464546674E-12</v>
      </c>
      <c r="AL161" s="22">
        <f t="shared" si="165"/>
        <v>3.3298255850118335E-12</v>
      </c>
      <c r="AM161" s="60">
        <f t="shared" si="113"/>
        <v>293.33333333333667</v>
      </c>
      <c r="AN161" s="60">
        <f ca="1">AVERAGE(OFFSET($AM$3,0,0,'Données projet'!$E$10+1,1))-AVERAGE(OFFSET($H$3,0,0,'Données projet'!$E$10+1,1))</f>
        <v>201.39673092164992</v>
      </c>
      <c r="AO161" s="60">
        <f t="shared" si="144"/>
        <v>278.95637851890405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-1.7053025658242404E-13</v>
      </c>
      <c r="BE161" s="14">
        <f>BD161*VLOOKUP('Données projet'!$B$11,Paramètres!$A$1:$I$89,3,0)*VLOOKUP('Données projet'!$B$11,Paramètres!$A$1:$I$89,5,0)</f>
        <v>-1.7025740817189217E-13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123.29894837876157</v>
      </c>
      <c r="BJ161" s="60">
        <f t="shared" si="146"/>
        <v>103.52963511757127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-9.7986685432260874E-13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428.49602929661046</v>
      </c>
      <c r="CE161" s="60">
        <f t="shared" si="148"/>
        <v>252.32489414103878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3.813056537183002E-14</v>
      </c>
      <c r="CV161" s="14">
        <f t="shared" si="173"/>
        <v>6.4086286045526829E-13</v>
      </c>
      <c r="CW161" s="22">
        <f t="shared" si="174"/>
        <v>1.1825802166488628E-12</v>
      </c>
      <c r="CX161" s="60">
        <f t="shared" si="122"/>
        <v>293.33333333333451</v>
      </c>
      <c r="CY161" s="60">
        <f ca="1">AVERAGE(OFFSET($CX$3,0,0,'Données projet'!$E$13+1,1))-AVERAGE(OFFSET($H$3,0,0,'Données projet'!$E$13+1,1))</f>
        <v>226.5873967387837</v>
      </c>
      <c r="CZ161" s="60">
        <f t="shared" si="150"/>
        <v>188.57459946241204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-6.2527760746888816E-13</v>
      </c>
      <c r="DP161" s="18">
        <f>DO161*VLOOKUP('Données projet'!$B$14,Paramètres!$A$1:$I$89,3,0)*VLOOKUP('Données projet'!$B$14,Paramètres!$A$1:$I$89,5,0)</f>
        <v>-2.9262992029543964E-13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212.19771249416107</v>
      </c>
      <c r="DU161" s="60">
        <f t="shared" si="152"/>
        <v>125.93313963856127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43.407000000000103</v>
      </c>
      <c r="D162" s="12">
        <f t="shared" si="140"/>
        <v>12.897331981001855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434.62993108141865</v>
      </c>
      <c r="H162" s="68">
        <f t="shared" si="110"/>
        <v>354.73004486691173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-1.0401663530501537E-12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455.09463986470064</v>
      </c>
      <c r="T162" s="60">
        <f t="shared" si="142"/>
        <v>266.42568447709669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1.4210854715202004E-13</v>
      </c>
      <c r="AJ162" s="14">
        <f>AI162*VLOOKUP('Données projet'!$B$10,Paramètres!$A$1:$I$89,3,0)*VLOOKUP('Données projet'!$B$10,Paramètres!$A$1:$I$89,5,0)</f>
        <v>1.2192913345643319E-13</v>
      </c>
      <c r="AK162" s="14">
        <f t="shared" si="164"/>
        <v>1.7899324464546674E-12</v>
      </c>
      <c r="AL162" s="22">
        <f t="shared" si="165"/>
        <v>3.3298255850118335E-12</v>
      </c>
      <c r="AM162" s="60">
        <f t="shared" si="113"/>
        <v>293.33333333333667</v>
      </c>
      <c r="AN162" s="60">
        <f ca="1">AVERAGE(OFFSET($AM$3,0,0,'Données projet'!$E$10+1,1))-AVERAGE(OFFSET($H$3,0,0,'Données projet'!$E$10+1,1))</f>
        <v>201.39673092164992</v>
      </c>
      <c r="AO162" s="60">
        <f t="shared" si="144"/>
        <v>278.95637851890405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-1.7053025658242404E-13</v>
      </c>
      <c r="BE162" s="14">
        <f>BD162*VLOOKUP('Données projet'!$B$11,Paramètres!$A$1:$I$89,3,0)*VLOOKUP('Données projet'!$B$11,Paramètres!$A$1:$I$89,5,0)</f>
        <v>-1.7025740817189217E-13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123.29894837876157</v>
      </c>
      <c r="BJ162" s="60">
        <f t="shared" si="146"/>
        <v>103.52963511757127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-9.7986685432260874E-13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428.49602929661046</v>
      </c>
      <c r="CE162" s="60">
        <f t="shared" si="148"/>
        <v>252.32489414103878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3.813056537183002E-14</v>
      </c>
      <c r="CV162" s="14">
        <f t="shared" si="173"/>
        <v>6.4086286045526829E-13</v>
      </c>
      <c r="CW162" s="22">
        <f t="shared" si="174"/>
        <v>1.1825802166488628E-12</v>
      </c>
      <c r="CX162" s="60">
        <f t="shared" si="122"/>
        <v>293.33333333333451</v>
      </c>
      <c r="CY162" s="60">
        <f ca="1">AVERAGE(OFFSET($CX$3,0,0,'Données projet'!$E$13+1,1))-AVERAGE(OFFSET($H$3,0,0,'Données projet'!$E$13+1,1))</f>
        <v>226.5873967387837</v>
      </c>
      <c r="CZ162" s="60">
        <f t="shared" si="150"/>
        <v>188.57459946241204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-6.2527760746888816E-13</v>
      </c>
      <c r="DP162" s="18">
        <f>DO162*VLOOKUP('Données projet'!$B$14,Paramètres!$A$1:$I$89,3,0)*VLOOKUP('Données projet'!$B$14,Paramètres!$A$1:$I$89,5,0)</f>
        <v>-2.9262992029543964E-13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212.19771249416107</v>
      </c>
      <c r="DU162" s="60">
        <f t="shared" si="152"/>
        <v>125.93313963856127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43.680000000000106</v>
      </c>
      <c r="D163" s="12">
        <f t="shared" si="140"/>
        <v>12.968979282088606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437.2903663880532</v>
      </c>
      <c r="H163" s="68">
        <f t="shared" si="110"/>
        <v>355.33030558297116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-1.0401663530501537E-12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455.09463986470064</v>
      </c>
      <c r="T163" s="60">
        <f t="shared" si="142"/>
        <v>266.42568447709669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1.4210854715202004E-13</v>
      </c>
      <c r="AJ163" s="14">
        <f>AI163*VLOOKUP('Données projet'!$B$10,Paramètres!$A$1:$I$89,3,0)*VLOOKUP('Données projet'!$B$10,Paramètres!$A$1:$I$89,5,0)</f>
        <v>1.2192913345643319E-13</v>
      </c>
      <c r="AK163" s="14">
        <f t="shared" si="164"/>
        <v>1.7899324464546674E-12</v>
      </c>
      <c r="AL163" s="22">
        <f t="shared" si="165"/>
        <v>3.3298255850118335E-12</v>
      </c>
      <c r="AM163" s="60">
        <f t="shared" si="113"/>
        <v>293.33333333333667</v>
      </c>
      <c r="AN163" s="60">
        <f ca="1">AVERAGE(OFFSET($AM$3,0,0,'Données projet'!$E$10+1,1))-AVERAGE(OFFSET($H$3,0,0,'Données projet'!$E$10+1,1))</f>
        <v>201.39673092164992</v>
      </c>
      <c r="AO163" s="60">
        <f t="shared" si="144"/>
        <v>278.95637851890405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-1.7053025658242404E-13</v>
      </c>
      <c r="BE163" s="14">
        <f>BD163*VLOOKUP('Données projet'!$B$11,Paramètres!$A$1:$I$89,3,0)*VLOOKUP('Données projet'!$B$11,Paramètres!$A$1:$I$89,5,0)</f>
        <v>-1.7025740817189217E-13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123.29894837876157</v>
      </c>
      <c r="BJ163" s="60">
        <f t="shared" si="146"/>
        <v>103.52963511757127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-9.7986685432260874E-13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428.49602929661046</v>
      </c>
      <c r="CE163" s="60">
        <f t="shared" si="148"/>
        <v>252.32489414103878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3.813056537183002E-14</v>
      </c>
      <c r="CV163" s="14">
        <f t="shared" si="173"/>
        <v>6.4086286045526829E-13</v>
      </c>
      <c r="CW163" s="22">
        <f t="shared" si="174"/>
        <v>1.1825802166488628E-12</v>
      </c>
      <c r="CX163" s="60">
        <f t="shared" si="122"/>
        <v>293.33333333333451</v>
      </c>
      <c r="CY163" s="60">
        <f ca="1">AVERAGE(OFFSET($CX$3,0,0,'Données projet'!$E$13+1,1))-AVERAGE(OFFSET($H$3,0,0,'Données projet'!$E$13+1,1))</f>
        <v>226.5873967387837</v>
      </c>
      <c r="CZ163" s="60">
        <f t="shared" si="150"/>
        <v>188.57459946241204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-6.2527760746888816E-13</v>
      </c>
      <c r="DP163" s="18">
        <f>DO163*VLOOKUP('Données projet'!$B$14,Paramètres!$A$1:$I$89,3,0)*VLOOKUP('Données projet'!$B$14,Paramètres!$A$1:$I$89,5,0)</f>
        <v>-2.9262992029543964E-13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212.19771249416107</v>
      </c>
      <c r="DU163" s="60">
        <f t="shared" si="152"/>
        <v>125.93313963856127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43.95300000000011</v>
      </c>
      <c r="D164" s="12">
        <f t="shared" si="140"/>
        <v>13.040574478360272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439.95039948208017</v>
      </c>
      <c r="H164" s="68">
        <f t="shared" si="110"/>
        <v>355.93047554981098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-1.0401663530501537E-12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455.09463986470064</v>
      </c>
      <c r="T164" s="60">
        <f t="shared" si="142"/>
        <v>266.42568447709669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1.4210854715202004E-13</v>
      </c>
      <c r="AJ164" s="14">
        <f>AI164*VLOOKUP('Données projet'!$B$10,Paramètres!$A$1:$I$89,3,0)*VLOOKUP('Données projet'!$B$10,Paramètres!$A$1:$I$89,5,0)</f>
        <v>1.2192913345643319E-13</v>
      </c>
      <c r="AK164" s="14">
        <f t="shared" si="164"/>
        <v>1.7899324464546674E-12</v>
      </c>
      <c r="AL164" s="22">
        <f t="shared" si="165"/>
        <v>3.3298255850118335E-12</v>
      </c>
      <c r="AM164" s="60">
        <f t="shared" si="113"/>
        <v>293.33333333333667</v>
      </c>
      <c r="AN164" s="60">
        <f ca="1">AVERAGE(OFFSET($AM$3,0,0,'Données projet'!$E$10+1,1))-AVERAGE(OFFSET($H$3,0,0,'Données projet'!$E$10+1,1))</f>
        <v>201.39673092164992</v>
      </c>
      <c r="AO164" s="60">
        <f t="shared" si="144"/>
        <v>278.95637851890405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-1.7053025658242404E-13</v>
      </c>
      <c r="BE164" s="14">
        <f>BD164*VLOOKUP('Données projet'!$B$11,Paramètres!$A$1:$I$89,3,0)*VLOOKUP('Données projet'!$B$11,Paramètres!$A$1:$I$89,5,0)</f>
        <v>-1.7025740817189217E-13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123.29894837876157</v>
      </c>
      <c r="BJ164" s="60">
        <f t="shared" si="146"/>
        <v>103.52963511757127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-9.7986685432260874E-13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428.49602929661046</v>
      </c>
      <c r="CE164" s="60">
        <f t="shared" si="148"/>
        <v>252.32489414103878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3.813056537183002E-14</v>
      </c>
      <c r="CV164" s="14">
        <f t="shared" si="173"/>
        <v>6.4086286045526829E-13</v>
      </c>
      <c r="CW164" s="22">
        <f t="shared" si="174"/>
        <v>1.1825802166488628E-12</v>
      </c>
      <c r="CX164" s="60">
        <f t="shared" si="122"/>
        <v>293.33333333333451</v>
      </c>
      <c r="CY164" s="60">
        <f ca="1">AVERAGE(OFFSET($CX$3,0,0,'Données projet'!$E$13+1,1))-AVERAGE(OFFSET($H$3,0,0,'Données projet'!$E$13+1,1))</f>
        <v>226.5873967387837</v>
      </c>
      <c r="CZ164" s="60">
        <f t="shared" si="150"/>
        <v>188.57459946241204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-6.2527760746888816E-13</v>
      </c>
      <c r="DP164" s="18">
        <f>DO164*VLOOKUP('Données projet'!$B$14,Paramètres!$A$1:$I$89,3,0)*VLOOKUP('Données projet'!$B$14,Paramètres!$A$1:$I$89,5,0)</f>
        <v>-2.9262992029543964E-13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212.19771249416107</v>
      </c>
      <c r="DU164" s="60">
        <f t="shared" si="152"/>
        <v>125.93313963856127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44.226000000000113</v>
      </c>
      <c r="D165" s="12">
        <f t="shared" si="140"/>
        <v>13.112117930994133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442.61003315153454</v>
      </c>
      <c r="H165" s="68">
        <f t="shared" si="110"/>
        <v>356.53055539648165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-1.0401663530501537E-12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455.09463986470064</v>
      </c>
      <c r="T165" s="60">
        <f t="shared" si="142"/>
        <v>266.42568447709669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1.4210854715202004E-13</v>
      </c>
      <c r="AJ165" s="14">
        <f>AI165*VLOOKUP('Données projet'!$B$10,Paramètres!$A$1:$I$89,3,0)*VLOOKUP('Données projet'!$B$10,Paramètres!$A$1:$I$89,5,0)</f>
        <v>1.2192913345643319E-13</v>
      </c>
      <c r="AK165" s="14">
        <f t="shared" si="164"/>
        <v>1.7899324464546674E-12</v>
      </c>
      <c r="AL165" s="22">
        <f t="shared" si="165"/>
        <v>3.3298255850118335E-12</v>
      </c>
      <c r="AM165" s="60">
        <f t="shared" si="113"/>
        <v>293.33333333333667</v>
      </c>
      <c r="AN165" s="60">
        <f ca="1">AVERAGE(OFFSET($AM$3,0,0,'Données projet'!$E$10+1,1))-AVERAGE(OFFSET($H$3,0,0,'Données projet'!$E$10+1,1))</f>
        <v>201.39673092164992</v>
      </c>
      <c r="AO165" s="60">
        <f t="shared" si="144"/>
        <v>278.95637851890405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-1.7053025658242404E-13</v>
      </c>
      <c r="BE165" s="14">
        <f>BD165*VLOOKUP('Données projet'!$B$11,Paramètres!$A$1:$I$89,3,0)*VLOOKUP('Données projet'!$B$11,Paramètres!$A$1:$I$89,5,0)</f>
        <v>-1.7025740817189217E-13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123.29894837876157</v>
      </c>
      <c r="BJ165" s="60">
        <f t="shared" si="146"/>
        <v>103.52963511757127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-9.7986685432260874E-13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428.49602929661046</v>
      </c>
      <c r="CE165" s="60">
        <f t="shared" si="148"/>
        <v>252.32489414103878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3.813056537183002E-14</v>
      </c>
      <c r="CV165" s="14">
        <f t="shared" si="173"/>
        <v>6.4086286045526829E-13</v>
      </c>
      <c r="CW165" s="22">
        <f t="shared" si="174"/>
        <v>1.1825802166488628E-12</v>
      </c>
      <c r="CX165" s="60">
        <f t="shared" si="122"/>
        <v>293.33333333333451</v>
      </c>
      <c r="CY165" s="60">
        <f ca="1">AVERAGE(OFFSET($CX$3,0,0,'Données projet'!$E$13+1,1))-AVERAGE(OFFSET($H$3,0,0,'Données projet'!$E$13+1,1))</f>
        <v>226.5873967387837</v>
      </c>
      <c r="CZ165" s="60">
        <f t="shared" si="150"/>
        <v>188.57459946241204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-6.2527760746888816E-13</v>
      </c>
      <c r="DP165" s="18">
        <f>DO165*VLOOKUP('Données projet'!$B$14,Paramètres!$A$1:$I$89,3,0)*VLOOKUP('Données projet'!$B$14,Paramètres!$A$1:$I$89,5,0)</f>
        <v>-2.9262992029543964E-13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212.19771249416107</v>
      </c>
      <c r="DU165" s="60">
        <f t="shared" si="152"/>
        <v>125.93313963856127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44.499000000000116</v>
      </c>
      <c r="D166" s="12">
        <f t="shared" si="140"/>
        <v>13.183609996450587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445.2692701480405</v>
      </c>
      <c r="H166" s="68">
        <f t="shared" si="110"/>
        <v>357.13054574381829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-1.0401663530501537E-12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455.09463986470064</v>
      </c>
      <c r="T166" s="60">
        <f t="shared" si="142"/>
        <v>266.42568447709669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1.4210854715202004E-13</v>
      </c>
      <c r="AJ166" s="14">
        <f>AI166*VLOOKUP('Données projet'!$B$10,Paramètres!$A$1:$I$89,3,0)*VLOOKUP('Données projet'!$B$10,Paramètres!$A$1:$I$89,5,0)</f>
        <v>1.2192913345643319E-13</v>
      </c>
      <c r="AK166" s="14">
        <f t="shared" si="164"/>
        <v>1.7899324464546674E-12</v>
      </c>
      <c r="AL166" s="22">
        <f t="shared" si="165"/>
        <v>3.3298255850118335E-12</v>
      </c>
      <c r="AM166" s="60">
        <f t="shared" si="113"/>
        <v>293.33333333333667</v>
      </c>
      <c r="AN166" s="60">
        <f ca="1">AVERAGE(OFFSET($AM$3,0,0,'Données projet'!$E$10+1,1))-AVERAGE(OFFSET($H$3,0,0,'Données projet'!$E$10+1,1))</f>
        <v>201.39673092164992</v>
      </c>
      <c r="AO166" s="60">
        <f t="shared" si="144"/>
        <v>278.95637851890405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-1.7053025658242404E-13</v>
      </c>
      <c r="BE166" s="14">
        <f>BD166*VLOOKUP('Données projet'!$B$11,Paramètres!$A$1:$I$89,3,0)*VLOOKUP('Données projet'!$B$11,Paramètres!$A$1:$I$89,5,0)</f>
        <v>-1.7025740817189217E-13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123.29894837876157</v>
      </c>
      <c r="BJ166" s="60">
        <f t="shared" si="146"/>
        <v>103.52963511757127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-9.7986685432260874E-13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428.49602929661046</v>
      </c>
      <c r="CE166" s="60">
        <f t="shared" si="148"/>
        <v>252.32489414103878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3.813056537183002E-14</v>
      </c>
      <c r="CV166" s="14">
        <f t="shared" si="173"/>
        <v>6.4086286045526829E-13</v>
      </c>
      <c r="CW166" s="22">
        <f t="shared" si="174"/>
        <v>1.1825802166488628E-12</v>
      </c>
      <c r="CX166" s="60">
        <f t="shared" si="122"/>
        <v>293.33333333333451</v>
      </c>
      <c r="CY166" s="60">
        <f ca="1">AVERAGE(OFFSET($CX$3,0,0,'Données projet'!$E$13+1,1))-AVERAGE(OFFSET($H$3,0,0,'Données projet'!$E$13+1,1))</f>
        <v>226.5873967387837</v>
      </c>
      <c r="CZ166" s="60">
        <f t="shared" si="150"/>
        <v>188.57459946241204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-6.2527760746888816E-13</v>
      </c>
      <c r="DP166" s="18">
        <f>DO166*VLOOKUP('Données projet'!$B$14,Paramètres!$A$1:$I$89,3,0)*VLOOKUP('Données projet'!$B$14,Paramètres!$A$1:$I$89,5,0)</f>
        <v>-2.9262992029543964E-13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212.19771249416107</v>
      </c>
      <c r="DU166" s="60">
        <f t="shared" si="152"/>
        <v>125.93313963856127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44.772000000000119</v>
      </c>
      <c r="D167" s="12">
        <f t="shared" si="140"/>
        <v>13.25505102656331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447.92811318750722</v>
      </c>
      <c r="H167" s="68">
        <f t="shared" si="110"/>
        <v>357.73044720459797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-1.0401663530501537E-12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455.09463986470064</v>
      </c>
      <c r="T167" s="60">
        <f t="shared" si="142"/>
        <v>266.42568447709669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1.4210854715202004E-13</v>
      </c>
      <c r="AJ167" s="14">
        <f>AI167*VLOOKUP('Données projet'!$B$10,Paramètres!$A$1:$I$89,3,0)*VLOOKUP('Données projet'!$B$10,Paramètres!$A$1:$I$89,5,0)</f>
        <v>1.2192913345643319E-13</v>
      </c>
      <c r="AK167" s="14">
        <f t="shared" si="164"/>
        <v>1.7899324464546674E-12</v>
      </c>
      <c r="AL167" s="22">
        <f t="shared" si="165"/>
        <v>3.3298255850118335E-12</v>
      </c>
      <c r="AM167" s="60">
        <f t="shared" si="113"/>
        <v>293.33333333333667</v>
      </c>
      <c r="AN167" s="60">
        <f ca="1">AVERAGE(OFFSET($AM$3,0,0,'Données projet'!$E$10+1,1))-AVERAGE(OFFSET($H$3,0,0,'Données projet'!$E$10+1,1))</f>
        <v>201.39673092164992</v>
      </c>
      <c r="AO167" s="60">
        <f t="shared" si="144"/>
        <v>278.95637851890405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-1.7053025658242404E-13</v>
      </c>
      <c r="BE167" s="14">
        <f>BD167*VLOOKUP('Données projet'!$B$11,Paramètres!$A$1:$I$89,3,0)*VLOOKUP('Données projet'!$B$11,Paramètres!$A$1:$I$89,5,0)</f>
        <v>-1.7025740817189217E-13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123.29894837876157</v>
      </c>
      <c r="BJ167" s="60">
        <f t="shared" si="146"/>
        <v>103.52963511757127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-9.7986685432260874E-13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428.49602929661046</v>
      </c>
      <c r="CE167" s="60">
        <f t="shared" si="148"/>
        <v>252.32489414103878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3.813056537183002E-14</v>
      </c>
      <c r="CV167" s="14">
        <f t="shared" si="173"/>
        <v>6.4086286045526829E-13</v>
      </c>
      <c r="CW167" s="22">
        <f t="shared" si="174"/>
        <v>1.1825802166488628E-12</v>
      </c>
      <c r="CX167" s="60">
        <f t="shared" si="122"/>
        <v>293.33333333333451</v>
      </c>
      <c r="CY167" s="60">
        <f ca="1">AVERAGE(OFFSET($CX$3,0,0,'Données projet'!$E$13+1,1))-AVERAGE(OFFSET($H$3,0,0,'Données projet'!$E$13+1,1))</f>
        <v>226.5873967387837</v>
      </c>
      <c r="CZ167" s="60">
        <f t="shared" si="150"/>
        <v>188.57459946241204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-6.2527760746888816E-13</v>
      </c>
      <c r="DP167" s="18">
        <f>DO167*VLOOKUP('Données projet'!$B$14,Paramètres!$A$1:$I$89,3,0)*VLOOKUP('Données projet'!$B$14,Paramètres!$A$1:$I$89,5,0)</f>
        <v>-2.9262992029543964E-13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212.19771249416107</v>
      </c>
      <c r="DU167" s="60">
        <f t="shared" si="152"/>
        <v>125.93313963856127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45.045000000000122</v>
      </c>
      <c r="D168" s="12">
        <f t="shared" si="140"/>
        <v>13.326441368627105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450.58656495080669</v>
      </c>
      <c r="H168" s="68">
        <f t="shared" si="110"/>
        <v>358.33026038369246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-1.0401663530501537E-12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455.09463986470064</v>
      </c>
      <c r="T168" s="60">
        <f t="shared" si="142"/>
        <v>266.42568447709669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1.4210854715202004E-13</v>
      </c>
      <c r="AJ168" s="14">
        <f>AI168*VLOOKUP('Données projet'!$B$10,Paramètres!$A$1:$I$89,3,0)*VLOOKUP('Données projet'!$B$10,Paramètres!$A$1:$I$89,5,0)</f>
        <v>1.2192913345643319E-13</v>
      </c>
      <c r="AK168" s="14">
        <f t="shared" si="164"/>
        <v>1.7899324464546674E-12</v>
      </c>
      <c r="AL168" s="22">
        <f t="shared" si="165"/>
        <v>3.3298255850118335E-12</v>
      </c>
      <c r="AM168" s="60">
        <f t="shared" si="113"/>
        <v>293.33333333333667</v>
      </c>
      <c r="AN168" s="60">
        <f ca="1">AVERAGE(OFFSET($AM$3,0,0,'Données projet'!$E$10+1,1))-AVERAGE(OFFSET($H$3,0,0,'Données projet'!$E$10+1,1))</f>
        <v>201.39673092164992</v>
      </c>
      <c r="AO168" s="60">
        <f t="shared" si="144"/>
        <v>278.95637851890405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-1.7053025658242404E-13</v>
      </c>
      <c r="BE168" s="14">
        <f>BD168*VLOOKUP('Données projet'!$B$11,Paramètres!$A$1:$I$89,3,0)*VLOOKUP('Données projet'!$B$11,Paramètres!$A$1:$I$89,5,0)</f>
        <v>-1.7025740817189217E-13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123.29894837876157</v>
      </c>
      <c r="BJ168" s="60">
        <f t="shared" si="146"/>
        <v>103.52963511757127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-9.7986685432260874E-13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428.49602929661046</v>
      </c>
      <c r="CE168" s="60">
        <f t="shared" si="148"/>
        <v>252.32489414103878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3.813056537183002E-14</v>
      </c>
      <c r="CV168" s="14">
        <f t="shared" si="173"/>
        <v>6.4086286045526829E-13</v>
      </c>
      <c r="CW168" s="22">
        <f t="shared" si="174"/>
        <v>1.1825802166488628E-12</v>
      </c>
      <c r="CX168" s="60">
        <f t="shared" si="122"/>
        <v>293.33333333333451</v>
      </c>
      <c r="CY168" s="60">
        <f ca="1">AVERAGE(OFFSET($CX$3,0,0,'Données projet'!$E$13+1,1))-AVERAGE(OFFSET($H$3,0,0,'Données projet'!$E$13+1,1))</f>
        <v>226.5873967387837</v>
      </c>
      <c r="CZ168" s="60">
        <f t="shared" si="150"/>
        <v>188.57459946241204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-6.2527760746888816E-13</v>
      </c>
      <c r="DP168" s="18">
        <f>DO168*VLOOKUP('Données projet'!$B$14,Paramètres!$A$1:$I$89,3,0)*VLOOKUP('Données projet'!$B$14,Paramètres!$A$1:$I$89,5,0)</f>
        <v>-2.9262992029543964E-13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212.19771249416107</v>
      </c>
      <c r="DU168" s="60">
        <f t="shared" si="152"/>
        <v>125.93313963856127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45.318000000000126</v>
      </c>
      <c r="D169" s="12">
        <f t="shared" si="140"/>
        <v>13.397781365483665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453.24462808443633</v>
      </c>
      <c r="H169" s="68">
        <f t="shared" si="110"/>
        <v>358.92998587821762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-1.0401663530501537E-12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455.09463986470064</v>
      </c>
      <c r="T169" s="60">
        <f t="shared" si="142"/>
        <v>266.42568447709669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1.4210854715202004E-13</v>
      </c>
      <c r="AJ169" s="14">
        <f>AI169*VLOOKUP('Données projet'!$B$10,Paramètres!$A$1:$I$89,3,0)*VLOOKUP('Données projet'!$B$10,Paramètres!$A$1:$I$89,5,0)</f>
        <v>1.2192913345643319E-13</v>
      </c>
      <c r="AK169" s="14">
        <f t="shared" si="164"/>
        <v>1.7899324464546674E-12</v>
      </c>
      <c r="AL169" s="22">
        <f t="shared" si="165"/>
        <v>3.3298255850118335E-12</v>
      </c>
      <c r="AM169" s="60">
        <f t="shared" si="113"/>
        <v>293.33333333333667</v>
      </c>
      <c r="AN169" s="60">
        <f ca="1">AVERAGE(OFFSET($AM$3,0,0,'Données projet'!$E$10+1,1))-AVERAGE(OFFSET($H$3,0,0,'Données projet'!$E$10+1,1))</f>
        <v>201.39673092164992</v>
      </c>
      <c r="AO169" s="60">
        <f t="shared" si="144"/>
        <v>278.95637851890405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-1.7053025658242404E-13</v>
      </c>
      <c r="BE169" s="14">
        <f>BD169*VLOOKUP('Données projet'!$B$11,Paramètres!$A$1:$I$89,3,0)*VLOOKUP('Données projet'!$B$11,Paramètres!$A$1:$I$89,5,0)</f>
        <v>-1.7025740817189217E-13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123.29894837876157</v>
      </c>
      <c r="BJ169" s="60">
        <f t="shared" si="146"/>
        <v>103.52963511757127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-9.7986685432260874E-13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428.49602929661046</v>
      </c>
      <c r="CE169" s="60">
        <f t="shared" si="148"/>
        <v>252.32489414103878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3.813056537183002E-14</v>
      </c>
      <c r="CV169" s="14">
        <f t="shared" si="173"/>
        <v>6.4086286045526829E-13</v>
      </c>
      <c r="CW169" s="22">
        <f t="shared" si="174"/>
        <v>1.1825802166488628E-12</v>
      </c>
      <c r="CX169" s="60">
        <f t="shared" si="122"/>
        <v>293.33333333333451</v>
      </c>
      <c r="CY169" s="60">
        <f ca="1">AVERAGE(OFFSET($CX$3,0,0,'Données projet'!$E$13+1,1))-AVERAGE(OFFSET($H$3,0,0,'Données projet'!$E$13+1,1))</f>
        <v>226.5873967387837</v>
      </c>
      <c r="CZ169" s="60">
        <f t="shared" si="150"/>
        <v>188.57459946241204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-6.2527760746888816E-13</v>
      </c>
      <c r="DP169" s="18">
        <f>DO169*VLOOKUP('Données projet'!$B$14,Paramètres!$A$1:$I$89,3,0)*VLOOKUP('Données projet'!$B$14,Paramètres!$A$1:$I$89,5,0)</f>
        <v>-2.9262992029543964E-13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212.19771249416107</v>
      </c>
      <c r="DU169" s="60">
        <f t="shared" si="152"/>
        <v>125.93313963856127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45.591000000000129</v>
      </c>
      <c r="D170" s="12">
        <f t="shared" si="140"/>
        <v>13.469071355605093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455.90230520116319</v>
      </c>
      <c r="H170" s="68">
        <f t="shared" si="110"/>
        <v>359.52962427767909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-1.0401663530501537E-12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455.09463986470064</v>
      </c>
      <c r="T170" s="60">
        <f t="shared" si="142"/>
        <v>266.42568447709669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1.4210854715202004E-13</v>
      </c>
      <c r="AJ170" s="14">
        <f>AI170*VLOOKUP('Données projet'!$B$10,Paramètres!$A$1:$I$89,3,0)*VLOOKUP('Données projet'!$B$10,Paramètres!$A$1:$I$89,5,0)</f>
        <v>1.2192913345643319E-13</v>
      </c>
      <c r="AK170" s="14">
        <f t="shared" si="164"/>
        <v>1.7899324464546674E-12</v>
      </c>
      <c r="AL170" s="22">
        <f t="shared" si="165"/>
        <v>3.3298255850118335E-12</v>
      </c>
      <c r="AM170" s="60">
        <f t="shared" si="113"/>
        <v>293.33333333333667</v>
      </c>
      <c r="AN170" s="60">
        <f ca="1">AVERAGE(OFFSET($AM$3,0,0,'Données projet'!$E$10+1,1))-AVERAGE(OFFSET($H$3,0,0,'Données projet'!$E$10+1,1))</f>
        <v>201.39673092164992</v>
      </c>
      <c r="AO170" s="60">
        <f t="shared" si="144"/>
        <v>278.95637851890405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-1.7053025658242404E-13</v>
      </c>
      <c r="BE170" s="14">
        <f>BD170*VLOOKUP('Données projet'!$B$11,Paramètres!$A$1:$I$89,3,0)*VLOOKUP('Données projet'!$B$11,Paramètres!$A$1:$I$89,5,0)</f>
        <v>-1.7025740817189217E-13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123.29894837876157</v>
      </c>
      <c r="BJ170" s="60">
        <f t="shared" si="146"/>
        <v>103.52963511757127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-9.7986685432260874E-13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428.49602929661046</v>
      </c>
      <c r="CE170" s="60">
        <f t="shared" si="148"/>
        <v>252.32489414103878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3.813056537183002E-14</v>
      </c>
      <c r="CV170" s="14">
        <f t="shared" si="173"/>
        <v>6.4086286045526829E-13</v>
      </c>
      <c r="CW170" s="22">
        <f t="shared" si="174"/>
        <v>1.1825802166488628E-12</v>
      </c>
      <c r="CX170" s="60">
        <f t="shared" si="122"/>
        <v>293.33333333333451</v>
      </c>
      <c r="CY170" s="60">
        <f ca="1">AVERAGE(OFFSET($CX$3,0,0,'Données projet'!$E$13+1,1))-AVERAGE(OFFSET($H$3,0,0,'Données projet'!$E$13+1,1))</f>
        <v>226.5873967387837</v>
      </c>
      <c r="CZ170" s="60">
        <f t="shared" si="150"/>
        <v>188.57459946241204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-6.2527760746888816E-13</v>
      </c>
      <c r="DP170" s="18">
        <f>DO170*VLOOKUP('Données projet'!$B$14,Paramètres!$A$1:$I$89,3,0)*VLOOKUP('Données projet'!$B$14,Paramètres!$A$1:$I$89,5,0)</f>
        <v>-2.9262992029543964E-13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212.19771249416107</v>
      </c>
      <c r="DU170" s="60">
        <f t="shared" si="152"/>
        <v>125.93313963856127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45.864000000000132</v>
      </c>
      <c r="D171" s="12">
        <f t="shared" si="140"/>
        <v>13.540311673175438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458.55959888065354</v>
      </c>
      <c r="H171" s="68">
        <f t="shared" si="110"/>
        <v>360.12917616411414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-1.0401663530501537E-12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455.09463986470064</v>
      </c>
      <c r="T171" s="60">
        <f t="shared" si="142"/>
        <v>266.42568447709669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1.4210854715202004E-13</v>
      </c>
      <c r="AJ171" s="14">
        <f>AI171*VLOOKUP('Données projet'!$B$10,Paramètres!$A$1:$I$89,3,0)*VLOOKUP('Données projet'!$B$10,Paramètres!$A$1:$I$89,5,0)</f>
        <v>1.2192913345643319E-13</v>
      </c>
      <c r="AK171" s="14">
        <f t="shared" si="164"/>
        <v>1.7899324464546674E-12</v>
      </c>
      <c r="AL171" s="22">
        <f t="shared" si="165"/>
        <v>3.3298255850118335E-12</v>
      </c>
      <c r="AM171" s="60">
        <f t="shared" si="113"/>
        <v>293.33333333333667</v>
      </c>
      <c r="AN171" s="60">
        <f ca="1">AVERAGE(OFFSET($AM$3,0,0,'Données projet'!$E$10+1,1))-AVERAGE(OFFSET($H$3,0,0,'Données projet'!$E$10+1,1))</f>
        <v>201.39673092164992</v>
      </c>
      <c r="AO171" s="60">
        <f t="shared" si="144"/>
        <v>278.95637851890405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-1.7053025658242404E-13</v>
      </c>
      <c r="BE171" s="14">
        <f>BD171*VLOOKUP('Données projet'!$B$11,Paramètres!$A$1:$I$89,3,0)*VLOOKUP('Données projet'!$B$11,Paramètres!$A$1:$I$89,5,0)</f>
        <v>-1.7025740817189217E-13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123.29894837876157</v>
      </c>
      <c r="BJ171" s="60">
        <f t="shared" si="146"/>
        <v>103.52963511757127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-9.7986685432260874E-13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428.49602929661046</v>
      </c>
      <c r="CE171" s="60">
        <f t="shared" si="148"/>
        <v>252.32489414103878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3.813056537183002E-14</v>
      </c>
      <c r="CV171" s="14">
        <f t="shared" si="173"/>
        <v>6.4086286045526829E-13</v>
      </c>
      <c r="CW171" s="22">
        <f t="shared" si="174"/>
        <v>1.1825802166488628E-12</v>
      </c>
      <c r="CX171" s="60">
        <f t="shared" si="122"/>
        <v>293.33333333333451</v>
      </c>
      <c r="CY171" s="60">
        <f ca="1">AVERAGE(OFFSET($CX$3,0,0,'Données projet'!$E$13+1,1))-AVERAGE(OFFSET($H$3,0,0,'Données projet'!$E$13+1,1))</f>
        <v>226.5873967387837</v>
      </c>
      <c r="CZ171" s="60">
        <f t="shared" si="150"/>
        <v>188.57459946241204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-6.2527760746888816E-13</v>
      </c>
      <c r="DP171" s="18">
        <f>DO171*VLOOKUP('Données projet'!$B$14,Paramètres!$A$1:$I$89,3,0)*VLOOKUP('Données projet'!$B$14,Paramètres!$A$1:$I$89,5,0)</f>
        <v>-2.9262992029543964E-13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212.19771249416107</v>
      </c>
      <c r="DU171" s="60">
        <f t="shared" si="152"/>
        <v>125.93313963856127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46.137000000000135</v>
      </c>
      <c r="D172" s="12">
        <f t="shared" si="140"/>
        <v>13.611502648170209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461.2165116700869</v>
      </c>
      <c r="H172" s="68">
        <f t="shared" si="110"/>
        <v>360.72864211223003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-1.0401663530501537E-12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455.09463986470064</v>
      </c>
      <c r="T172" s="60">
        <f t="shared" si="142"/>
        <v>266.42568447709669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1.4210854715202004E-13</v>
      </c>
      <c r="AJ172" s="14">
        <f>AI172*VLOOKUP('Données projet'!$B$10,Paramètres!$A$1:$I$89,3,0)*VLOOKUP('Données projet'!$B$10,Paramètres!$A$1:$I$89,5,0)</f>
        <v>1.2192913345643319E-13</v>
      </c>
      <c r="AK172" s="14">
        <f t="shared" si="164"/>
        <v>1.7899324464546674E-12</v>
      </c>
      <c r="AL172" s="22">
        <f t="shared" si="165"/>
        <v>3.3298255850118335E-12</v>
      </c>
      <c r="AM172" s="60">
        <f t="shared" si="113"/>
        <v>293.33333333333667</v>
      </c>
      <c r="AN172" s="60">
        <f ca="1">AVERAGE(OFFSET($AM$3,0,0,'Données projet'!$E$10+1,1))-AVERAGE(OFFSET($H$3,0,0,'Données projet'!$E$10+1,1))</f>
        <v>201.39673092164992</v>
      </c>
      <c r="AO172" s="60">
        <f t="shared" si="144"/>
        <v>278.95637851890405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-1.7053025658242404E-13</v>
      </c>
      <c r="BE172" s="14">
        <f>BD172*VLOOKUP('Données projet'!$B$11,Paramètres!$A$1:$I$89,3,0)*VLOOKUP('Données projet'!$B$11,Paramètres!$A$1:$I$89,5,0)</f>
        <v>-1.7025740817189217E-13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123.29894837876157</v>
      </c>
      <c r="BJ172" s="60">
        <f t="shared" si="146"/>
        <v>103.52963511757127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-9.7986685432260874E-13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428.49602929661046</v>
      </c>
      <c r="CE172" s="60">
        <f t="shared" si="148"/>
        <v>252.32489414103878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3.813056537183002E-14</v>
      </c>
      <c r="CV172" s="14">
        <f t="shared" si="173"/>
        <v>6.4086286045526829E-13</v>
      </c>
      <c r="CW172" s="22">
        <f t="shared" si="174"/>
        <v>1.1825802166488628E-12</v>
      </c>
      <c r="CX172" s="60">
        <f t="shared" si="122"/>
        <v>293.33333333333451</v>
      </c>
      <c r="CY172" s="60">
        <f ca="1">AVERAGE(OFFSET($CX$3,0,0,'Données projet'!$E$13+1,1))-AVERAGE(OFFSET($H$3,0,0,'Données projet'!$E$13+1,1))</f>
        <v>226.5873967387837</v>
      </c>
      <c r="CZ172" s="60">
        <f t="shared" si="150"/>
        <v>188.57459946241204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-6.2527760746888816E-13</v>
      </c>
      <c r="DP172" s="18">
        <f>DO172*VLOOKUP('Données projet'!$B$14,Paramètres!$A$1:$I$89,3,0)*VLOOKUP('Données projet'!$B$14,Paramètres!$A$1:$I$89,5,0)</f>
        <v>-2.9262992029543964E-13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212.19771249416107</v>
      </c>
      <c r="DU172" s="60">
        <f t="shared" si="152"/>
        <v>125.93313963856127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46.410000000000139</v>
      </c>
      <c r="D173" s="12">
        <f t="shared" si="140"/>
        <v>13.682644606433962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463.87304608475444</v>
      </c>
      <c r="H173" s="68">
        <f t="shared" si="110"/>
        <v>361.32802268953941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-1.0401663530501537E-12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455.09463986470064</v>
      </c>
      <c r="T173" s="60">
        <f t="shared" si="142"/>
        <v>266.42568447709669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1.4210854715202004E-13</v>
      </c>
      <c r="AJ173" s="14">
        <f>AI173*VLOOKUP('Données projet'!$B$10,Paramètres!$A$1:$I$89,3,0)*VLOOKUP('Données projet'!$B$10,Paramètres!$A$1:$I$89,5,0)</f>
        <v>1.2192913345643319E-13</v>
      </c>
      <c r="AK173" s="14">
        <f t="shared" si="164"/>
        <v>1.7899324464546674E-12</v>
      </c>
      <c r="AL173" s="22">
        <f t="shared" si="165"/>
        <v>3.3298255850118335E-12</v>
      </c>
      <c r="AM173" s="60">
        <f t="shared" si="113"/>
        <v>293.33333333333667</v>
      </c>
      <c r="AN173" s="60">
        <f ca="1">AVERAGE(OFFSET($AM$3,0,0,'Données projet'!$E$10+1,1))-AVERAGE(OFFSET($H$3,0,0,'Données projet'!$E$10+1,1))</f>
        <v>201.39673092164992</v>
      </c>
      <c r="AO173" s="60">
        <f t="shared" si="144"/>
        <v>278.95637851890405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-1.7053025658242404E-13</v>
      </c>
      <c r="BE173" s="14">
        <f>BD173*VLOOKUP('Données projet'!$B$11,Paramètres!$A$1:$I$89,3,0)*VLOOKUP('Données projet'!$B$11,Paramètres!$A$1:$I$89,5,0)</f>
        <v>-1.7025740817189217E-13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123.29894837876157</v>
      </c>
      <c r="BJ173" s="60">
        <f t="shared" si="146"/>
        <v>103.52963511757127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-9.7986685432260874E-13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428.49602929661046</v>
      </c>
      <c r="CE173" s="60">
        <f t="shared" si="148"/>
        <v>252.32489414103878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3.813056537183002E-14</v>
      </c>
      <c r="CV173" s="14">
        <f t="shared" si="173"/>
        <v>6.4086286045526829E-13</v>
      </c>
      <c r="CW173" s="22">
        <f t="shared" si="174"/>
        <v>1.1825802166488628E-12</v>
      </c>
      <c r="CX173" s="60">
        <f t="shared" si="122"/>
        <v>293.33333333333451</v>
      </c>
      <c r="CY173" s="60">
        <f ca="1">AVERAGE(OFFSET($CX$3,0,0,'Données projet'!$E$13+1,1))-AVERAGE(OFFSET($H$3,0,0,'Données projet'!$E$13+1,1))</f>
        <v>226.5873967387837</v>
      </c>
      <c r="CZ173" s="60">
        <f t="shared" si="150"/>
        <v>188.57459946241204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-6.2527760746888816E-13</v>
      </c>
      <c r="DP173" s="18">
        <f>DO173*VLOOKUP('Données projet'!$B$14,Paramètres!$A$1:$I$89,3,0)*VLOOKUP('Données projet'!$B$14,Paramètres!$A$1:$I$89,5,0)</f>
        <v>-2.9262992029543964E-13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212.19771249416107</v>
      </c>
      <c r="DU173" s="60">
        <f t="shared" si="152"/>
        <v>125.93313963856127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46.683000000000142</v>
      </c>
      <c r="D174" s="12">
        <f t="shared" si="140"/>
        <v>13.753737869755998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466.52920460864397</v>
      </c>
      <c r="H174" s="68">
        <f t="shared" si="110"/>
        <v>361.92731845649195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-1.0401663530501537E-12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455.09463986470064</v>
      </c>
      <c r="T174" s="60">
        <f t="shared" si="142"/>
        <v>266.42568447709669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1.4210854715202004E-13</v>
      </c>
      <c r="AJ174" s="14">
        <f>AI174*VLOOKUP('Données projet'!$B$10,Paramètres!$A$1:$I$89,3,0)*VLOOKUP('Données projet'!$B$10,Paramètres!$A$1:$I$89,5,0)</f>
        <v>1.2192913345643319E-13</v>
      </c>
      <c r="AK174" s="14">
        <f t="shared" si="164"/>
        <v>1.7899324464546674E-12</v>
      </c>
      <c r="AL174" s="22">
        <f t="shared" si="165"/>
        <v>3.3298255850118335E-12</v>
      </c>
      <c r="AM174" s="60">
        <f t="shared" si="113"/>
        <v>293.33333333333667</v>
      </c>
      <c r="AN174" s="60">
        <f ca="1">AVERAGE(OFFSET($AM$3,0,0,'Données projet'!$E$10+1,1))-AVERAGE(OFFSET($H$3,0,0,'Données projet'!$E$10+1,1))</f>
        <v>201.39673092164992</v>
      </c>
      <c r="AO174" s="60">
        <f t="shared" si="144"/>
        <v>278.95637851890405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-1.7053025658242404E-13</v>
      </c>
      <c r="BE174" s="14">
        <f>BD174*VLOOKUP('Données projet'!$B$11,Paramètres!$A$1:$I$89,3,0)*VLOOKUP('Données projet'!$B$11,Paramètres!$A$1:$I$89,5,0)</f>
        <v>-1.7025740817189217E-13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123.29894837876157</v>
      </c>
      <c r="BJ174" s="60">
        <f t="shared" si="146"/>
        <v>103.52963511757127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-9.7986685432260874E-13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428.49602929661046</v>
      </c>
      <c r="CE174" s="60">
        <f t="shared" si="148"/>
        <v>252.32489414103878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3.813056537183002E-14</v>
      </c>
      <c r="CV174" s="14">
        <f t="shared" si="173"/>
        <v>6.4086286045526829E-13</v>
      </c>
      <c r="CW174" s="22">
        <f t="shared" si="174"/>
        <v>1.1825802166488628E-12</v>
      </c>
      <c r="CX174" s="60">
        <f t="shared" si="122"/>
        <v>293.33333333333451</v>
      </c>
      <c r="CY174" s="60">
        <f ca="1">AVERAGE(OFFSET($CX$3,0,0,'Données projet'!$E$13+1,1))-AVERAGE(OFFSET($H$3,0,0,'Données projet'!$E$13+1,1))</f>
        <v>226.5873967387837</v>
      </c>
      <c r="CZ174" s="60">
        <f t="shared" si="150"/>
        <v>188.57459946241204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-6.2527760746888816E-13</v>
      </c>
      <c r="DP174" s="18">
        <f>DO174*VLOOKUP('Données projet'!$B$14,Paramètres!$A$1:$I$89,3,0)*VLOOKUP('Données projet'!$B$14,Paramètres!$A$1:$I$89,5,0)</f>
        <v>-2.9262992029543964E-13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212.19771249416107</v>
      </c>
      <c r="DU174" s="60">
        <f t="shared" si="152"/>
        <v>125.93313963856127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46.956000000000145</v>
      </c>
      <c r="D175" s="12">
        <f t="shared" si="140"/>
        <v>13.824782755944248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469.18498969500934</v>
      </c>
      <c r="H175" s="68">
        <f t="shared" si="110"/>
        <v>362.52652996660316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-1.0401663530501537E-12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455.09463986470064</v>
      </c>
      <c r="T175" s="60">
        <f t="shared" si="142"/>
        <v>266.42568447709669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1.4210854715202004E-13</v>
      </c>
      <c r="AJ175" s="14">
        <f>AI175*VLOOKUP('Données projet'!$B$10,Paramètres!$A$1:$I$89,3,0)*VLOOKUP('Données projet'!$B$10,Paramètres!$A$1:$I$89,5,0)</f>
        <v>1.2192913345643319E-13</v>
      </c>
      <c r="AK175" s="14">
        <f t="shared" si="164"/>
        <v>1.7899324464546674E-12</v>
      </c>
      <c r="AL175" s="22">
        <f t="shared" si="165"/>
        <v>3.3298255850118335E-12</v>
      </c>
      <c r="AM175" s="60">
        <f t="shared" si="113"/>
        <v>293.33333333333667</v>
      </c>
      <c r="AN175" s="60">
        <f ca="1">AVERAGE(OFFSET($AM$3,0,0,'Données projet'!$E$10+1,1))-AVERAGE(OFFSET($H$3,0,0,'Données projet'!$E$10+1,1))</f>
        <v>201.39673092164992</v>
      </c>
      <c r="AO175" s="60">
        <f t="shared" si="144"/>
        <v>278.95637851890405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-1.7053025658242404E-13</v>
      </c>
      <c r="BE175" s="14">
        <f>BD175*VLOOKUP('Données projet'!$B$11,Paramètres!$A$1:$I$89,3,0)*VLOOKUP('Données projet'!$B$11,Paramètres!$A$1:$I$89,5,0)</f>
        <v>-1.7025740817189217E-13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123.29894837876157</v>
      </c>
      <c r="BJ175" s="60">
        <f t="shared" si="146"/>
        <v>103.52963511757127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-9.7986685432260874E-13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428.49602929661046</v>
      </c>
      <c r="CE175" s="60">
        <f t="shared" si="148"/>
        <v>252.32489414103878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3.813056537183002E-14</v>
      </c>
      <c r="CV175" s="14">
        <f t="shared" si="173"/>
        <v>6.4086286045526829E-13</v>
      </c>
      <c r="CW175" s="22">
        <f t="shared" si="174"/>
        <v>1.1825802166488628E-12</v>
      </c>
      <c r="CX175" s="60">
        <f t="shared" si="122"/>
        <v>293.33333333333451</v>
      </c>
      <c r="CY175" s="60">
        <f ca="1">AVERAGE(OFFSET($CX$3,0,0,'Données projet'!$E$13+1,1))-AVERAGE(OFFSET($H$3,0,0,'Données projet'!$E$13+1,1))</f>
        <v>226.5873967387837</v>
      </c>
      <c r="CZ175" s="60">
        <f t="shared" si="150"/>
        <v>188.57459946241204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-6.2527760746888816E-13</v>
      </c>
      <c r="DP175" s="18">
        <f>DO175*VLOOKUP('Données projet'!$B$14,Paramètres!$A$1:$I$89,3,0)*VLOOKUP('Données projet'!$B$14,Paramètres!$A$1:$I$89,5,0)</f>
        <v>-2.9262992029543964E-13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212.19771249416107</v>
      </c>
      <c r="DU175" s="60">
        <f t="shared" si="152"/>
        <v>125.93313963856127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47.229000000000148</v>
      </c>
      <c r="D176" s="12">
        <f t="shared" si="140"/>
        <v>13.895779578897379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471.84040376692838</v>
      </c>
      <c r="H176" s="68">
        <f t="shared" si="110"/>
        <v>363.12565776657988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-1.0401663530501537E-12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455.09463986470064</v>
      </c>
      <c r="T176" s="60">
        <f t="shared" si="142"/>
        <v>266.42568447709669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1.4210854715202004E-13</v>
      </c>
      <c r="AJ176" s="14">
        <f>AI176*VLOOKUP('Données projet'!$B$10,Paramètres!$A$1:$I$89,3,0)*VLOOKUP('Données projet'!$B$10,Paramètres!$A$1:$I$89,5,0)</f>
        <v>1.2192913345643319E-13</v>
      </c>
      <c r="AK176" s="14">
        <f t="shared" si="164"/>
        <v>1.7899324464546674E-12</v>
      </c>
      <c r="AL176" s="22">
        <f t="shared" si="165"/>
        <v>3.3298255850118335E-12</v>
      </c>
      <c r="AM176" s="60">
        <f t="shared" si="113"/>
        <v>293.33333333333667</v>
      </c>
      <c r="AN176" s="60">
        <f ca="1">AVERAGE(OFFSET($AM$3,0,0,'Données projet'!$E$10+1,1))-AVERAGE(OFFSET($H$3,0,0,'Données projet'!$E$10+1,1))</f>
        <v>201.39673092164992</v>
      </c>
      <c r="AO176" s="60">
        <f t="shared" si="144"/>
        <v>278.95637851890405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-1.7053025658242404E-13</v>
      </c>
      <c r="BE176" s="14">
        <f>BD176*VLOOKUP('Données projet'!$B$11,Paramètres!$A$1:$I$89,3,0)*VLOOKUP('Données projet'!$B$11,Paramètres!$A$1:$I$89,5,0)</f>
        <v>-1.7025740817189217E-13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123.29894837876157</v>
      </c>
      <c r="BJ176" s="60">
        <f t="shared" si="146"/>
        <v>103.52963511757127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-9.7986685432260874E-13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428.49602929661046</v>
      </c>
      <c r="CE176" s="60">
        <f t="shared" si="148"/>
        <v>252.32489414103878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3.813056537183002E-14</v>
      </c>
      <c r="CV176" s="14">
        <f t="shared" si="173"/>
        <v>6.4086286045526829E-13</v>
      </c>
      <c r="CW176" s="22">
        <f t="shared" si="174"/>
        <v>1.1825802166488628E-12</v>
      </c>
      <c r="CX176" s="60">
        <f t="shared" si="122"/>
        <v>293.33333333333451</v>
      </c>
      <c r="CY176" s="60">
        <f ca="1">AVERAGE(OFFSET($CX$3,0,0,'Données projet'!$E$13+1,1))-AVERAGE(OFFSET($H$3,0,0,'Données projet'!$E$13+1,1))</f>
        <v>226.5873967387837</v>
      </c>
      <c r="CZ176" s="60">
        <f t="shared" si="150"/>
        <v>188.57459946241204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-6.2527760746888816E-13</v>
      </c>
      <c r="DP176" s="18">
        <f>DO176*VLOOKUP('Données projet'!$B$14,Paramètres!$A$1:$I$89,3,0)*VLOOKUP('Données projet'!$B$14,Paramètres!$A$1:$I$89,5,0)</f>
        <v>-2.9262992029543964E-13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212.19771249416107</v>
      </c>
      <c r="DU176" s="60">
        <f t="shared" si="152"/>
        <v>125.93313963856127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47.502000000000152</v>
      </c>
      <c r="D177" s="12">
        <f t="shared" si="140"/>
        <v>13.9667286486752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474.49544921784485</v>
      </c>
      <c r="H177" s="68">
        <f t="shared" si="110"/>
        <v>363.72470239644292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-1.0401663530501537E-12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455.09463986470064</v>
      </c>
      <c r="T177" s="60">
        <f t="shared" si="142"/>
        <v>266.42568447709669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1.4210854715202004E-13</v>
      </c>
      <c r="AJ177" s="14">
        <f>AI177*VLOOKUP('Données projet'!$B$10,Paramètres!$A$1:$I$89,3,0)*VLOOKUP('Données projet'!$B$10,Paramètres!$A$1:$I$89,5,0)</f>
        <v>1.2192913345643319E-13</v>
      </c>
      <c r="AK177" s="14">
        <f t="shared" si="164"/>
        <v>1.7899324464546674E-12</v>
      </c>
      <c r="AL177" s="22">
        <f t="shared" si="165"/>
        <v>3.3298255850118335E-12</v>
      </c>
      <c r="AM177" s="60">
        <f t="shared" si="113"/>
        <v>293.33333333333667</v>
      </c>
      <c r="AN177" s="60">
        <f ca="1">AVERAGE(OFFSET($AM$3,0,0,'Données projet'!$E$10+1,1))-AVERAGE(OFFSET($H$3,0,0,'Données projet'!$E$10+1,1))</f>
        <v>201.39673092164992</v>
      </c>
      <c r="AO177" s="60">
        <f t="shared" si="144"/>
        <v>278.95637851890405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-1.7053025658242404E-13</v>
      </c>
      <c r="BE177" s="14">
        <f>BD177*VLOOKUP('Données projet'!$B$11,Paramètres!$A$1:$I$89,3,0)*VLOOKUP('Données projet'!$B$11,Paramètres!$A$1:$I$89,5,0)</f>
        <v>-1.7025740817189217E-13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123.29894837876157</v>
      </c>
      <c r="BJ177" s="60">
        <f t="shared" si="146"/>
        <v>103.52963511757127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-9.7986685432260874E-13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428.49602929661046</v>
      </c>
      <c r="CE177" s="60">
        <f t="shared" si="148"/>
        <v>252.32489414103878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3.813056537183002E-14</v>
      </c>
      <c r="CV177" s="14">
        <f t="shared" si="173"/>
        <v>6.4086286045526829E-13</v>
      </c>
      <c r="CW177" s="22">
        <f t="shared" si="174"/>
        <v>1.1825802166488628E-12</v>
      </c>
      <c r="CX177" s="60">
        <f t="shared" si="122"/>
        <v>293.33333333333451</v>
      </c>
      <c r="CY177" s="60">
        <f ca="1">AVERAGE(OFFSET($CX$3,0,0,'Données projet'!$E$13+1,1))-AVERAGE(OFFSET($H$3,0,0,'Données projet'!$E$13+1,1))</f>
        <v>226.5873967387837</v>
      </c>
      <c r="CZ177" s="60">
        <f t="shared" si="150"/>
        <v>188.57459946241204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-6.2527760746888816E-13</v>
      </c>
      <c r="DP177" s="18">
        <f>DO177*VLOOKUP('Données projet'!$B$14,Paramètres!$A$1:$I$89,3,0)*VLOOKUP('Données projet'!$B$14,Paramètres!$A$1:$I$89,5,0)</f>
        <v>-2.9262992029543964E-13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212.19771249416107</v>
      </c>
      <c r="DU177" s="60">
        <f t="shared" si="152"/>
        <v>125.93313963856127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47.775000000000155</v>
      </c>
      <c r="D178" s="12">
        <f t="shared" si="140"/>
        <v>14.037630271567405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477.15012841210046</v>
      </c>
      <c r="H178" s="68">
        <f t="shared" si="110"/>
        <v>364.32366438964686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-1.0401663530501537E-12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455.09463986470064</v>
      </c>
      <c r="T178" s="60">
        <f t="shared" si="142"/>
        <v>266.42568447709669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1.4210854715202004E-13</v>
      </c>
      <c r="AJ178" s="14">
        <f>AI178*VLOOKUP('Données projet'!$B$10,Paramètres!$A$1:$I$89,3,0)*VLOOKUP('Données projet'!$B$10,Paramètres!$A$1:$I$89,5,0)</f>
        <v>1.2192913345643319E-13</v>
      </c>
      <c r="AK178" s="14">
        <f t="shared" si="164"/>
        <v>1.7899324464546674E-12</v>
      </c>
      <c r="AL178" s="22">
        <f t="shared" si="165"/>
        <v>3.3298255850118335E-12</v>
      </c>
      <c r="AM178" s="60">
        <f t="shared" si="113"/>
        <v>293.33333333333667</v>
      </c>
      <c r="AN178" s="60">
        <f ca="1">AVERAGE(OFFSET($AM$3,0,0,'Données projet'!$E$10+1,1))-AVERAGE(OFFSET($H$3,0,0,'Données projet'!$E$10+1,1))</f>
        <v>201.39673092164992</v>
      </c>
      <c r="AO178" s="60">
        <f t="shared" si="144"/>
        <v>278.95637851890405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-1.7053025658242404E-13</v>
      </c>
      <c r="BE178" s="14">
        <f>BD178*VLOOKUP('Données projet'!$B$11,Paramètres!$A$1:$I$89,3,0)*VLOOKUP('Données projet'!$B$11,Paramètres!$A$1:$I$89,5,0)</f>
        <v>-1.7025740817189217E-13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123.29894837876157</v>
      </c>
      <c r="BJ178" s="60">
        <f t="shared" si="146"/>
        <v>103.52963511757127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-9.7986685432260874E-13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428.49602929661046</v>
      </c>
      <c r="CE178" s="60">
        <f t="shared" si="148"/>
        <v>252.32489414103878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3.813056537183002E-14</v>
      </c>
      <c r="CV178" s="14">
        <f t="shared" si="173"/>
        <v>6.4086286045526829E-13</v>
      </c>
      <c r="CW178" s="22">
        <f t="shared" si="174"/>
        <v>1.1825802166488628E-12</v>
      </c>
      <c r="CX178" s="60">
        <f t="shared" si="122"/>
        <v>293.33333333333451</v>
      </c>
      <c r="CY178" s="60">
        <f ca="1">AVERAGE(OFFSET($CX$3,0,0,'Données projet'!$E$13+1,1))-AVERAGE(OFFSET($H$3,0,0,'Données projet'!$E$13+1,1))</f>
        <v>226.5873967387837</v>
      </c>
      <c r="CZ178" s="60">
        <f t="shared" si="150"/>
        <v>188.57459946241204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-6.2527760746888816E-13</v>
      </c>
      <c r="DP178" s="18">
        <f>DO178*VLOOKUP('Données projet'!$B$14,Paramètres!$A$1:$I$89,3,0)*VLOOKUP('Données projet'!$B$14,Paramètres!$A$1:$I$89,5,0)</f>
        <v>-2.9262992029543964E-13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212.19771249416107</v>
      </c>
      <c r="DU178" s="60">
        <f t="shared" si="152"/>
        <v>125.93313963856127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48.048000000000158</v>
      </c>
      <c r="D179" s="12">
        <f t="shared" si="140"/>
        <v>14.10848475016066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479.80444368545187</v>
      </c>
      <c r="H179" s="68">
        <f t="shared" si="110"/>
        <v>364.92254427319676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-1.0401663530501537E-12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455.09463986470064</v>
      </c>
      <c r="T179" s="60">
        <f t="shared" si="142"/>
        <v>266.42568447709669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1.4210854715202004E-13</v>
      </c>
      <c r="AJ179" s="14">
        <f>AI179*VLOOKUP('Données projet'!$B$10,Paramètres!$A$1:$I$89,3,0)*VLOOKUP('Données projet'!$B$10,Paramètres!$A$1:$I$89,5,0)</f>
        <v>1.2192913345643319E-13</v>
      </c>
      <c r="AK179" s="14">
        <f t="shared" si="164"/>
        <v>1.7899324464546674E-12</v>
      </c>
      <c r="AL179" s="22">
        <f t="shared" si="165"/>
        <v>3.3298255850118335E-12</v>
      </c>
      <c r="AM179" s="60">
        <f t="shared" si="113"/>
        <v>293.33333333333667</v>
      </c>
      <c r="AN179" s="60">
        <f ca="1">AVERAGE(OFFSET($AM$3,0,0,'Données projet'!$E$10+1,1))-AVERAGE(OFFSET($H$3,0,0,'Données projet'!$E$10+1,1))</f>
        <v>201.39673092164992</v>
      </c>
      <c r="AO179" s="60">
        <f t="shared" si="144"/>
        <v>278.95637851890405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-1.7053025658242404E-13</v>
      </c>
      <c r="BE179" s="14">
        <f>BD179*VLOOKUP('Données projet'!$B$11,Paramètres!$A$1:$I$89,3,0)*VLOOKUP('Données projet'!$B$11,Paramètres!$A$1:$I$89,5,0)</f>
        <v>-1.7025740817189217E-13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123.29894837876157</v>
      </c>
      <c r="BJ179" s="60">
        <f t="shared" si="146"/>
        <v>103.52963511757127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-9.7986685432260874E-13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428.49602929661046</v>
      </c>
      <c r="CE179" s="60">
        <f t="shared" si="148"/>
        <v>252.32489414103878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3.813056537183002E-14</v>
      </c>
      <c r="CV179" s="14">
        <f t="shared" si="173"/>
        <v>6.4086286045526829E-13</v>
      </c>
      <c r="CW179" s="22">
        <f t="shared" si="174"/>
        <v>1.1825802166488628E-12</v>
      </c>
      <c r="CX179" s="60">
        <f t="shared" si="122"/>
        <v>293.33333333333451</v>
      </c>
      <c r="CY179" s="60">
        <f ca="1">AVERAGE(OFFSET($CX$3,0,0,'Données projet'!$E$13+1,1))-AVERAGE(OFFSET($H$3,0,0,'Données projet'!$E$13+1,1))</f>
        <v>226.5873967387837</v>
      </c>
      <c r="CZ179" s="60">
        <f t="shared" si="150"/>
        <v>188.57459946241204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-6.2527760746888816E-13</v>
      </c>
      <c r="DP179" s="18">
        <f>DO179*VLOOKUP('Données projet'!$B$14,Paramètres!$A$1:$I$89,3,0)*VLOOKUP('Données projet'!$B$14,Paramètres!$A$1:$I$89,5,0)</f>
        <v>-2.9262992029543964E-13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212.19771249416107</v>
      </c>
      <c r="DU179" s="60">
        <f t="shared" si="152"/>
        <v>125.93313963856127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48.321000000000161</v>
      </c>
      <c r="D180" s="12">
        <f t="shared" si="140"/>
        <v>14.179292383404194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482.45839734557745</v>
      </c>
      <c r="H180" s="68">
        <f t="shared" si="110"/>
        <v>365.52134256776259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-1.0401663530501537E-12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455.09463986470064</v>
      </c>
      <c r="T180" s="60">
        <f t="shared" si="142"/>
        <v>266.42568447709669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1.4210854715202004E-13</v>
      </c>
      <c r="AJ180" s="14">
        <f>AI180*VLOOKUP('Données projet'!$B$10,Paramètres!$A$1:$I$89,3,0)*VLOOKUP('Données projet'!$B$10,Paramètres!$A$1:$I$89,5,0)</f>
        <v>1.2192913345643319E-13</v>
      </c>
      <c r="AK180" s="14">
        <f t="shared" si="164"/>
        <v>1.7899324464546674E-12</v>
      </c>
      <c r="AL180" s="22">
        <f t="shared" si="165"/>
        <v>3.3298255850118335E-12</v>
      </c>
      <c r="AM180" s="60">
        <f t="shared" si="113"/>
        <v>293.33333333333667</v>
      </c>
      <c r="AN180" s="60">
        <f ca="1">AVERAGE(OFFSET($AM$3,0,0,'Données projet'!$E$10+1,1))-AVERAGE(OFFSET($H$3,0,0,'Données projet'!$E$10+1,1))</f>
        <v>201.39673092164992</v>
      </c>
      <c r="AO180" s="60">
        <f t="shared" si="144"/>
        <v>278.95637851890405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-1.7053025658242404E-13</v>
      </c>
      <c r="BE180" s="14">
        <f>BD180*VLOOKUP('Données projet'!$B$11,Paramètres!$A$1:$I$89,3,0)*VLOOKUP('Données projet'!$B$11,Paramètres!$A$1:$I$89,5,0)</f>
        <v>-1.7025740817189217E-13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123.29894837876157</v>
      </c>
      <c r="BJ180" s="60">
        <f t="shared" si="146"/>
        <v>103.52963511757127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-9.7986685432260874E-13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428.49602929661046</v>
      </c>
      <c r="CE180" s="60">
        <f t="shared" si="148"/>
        <v>252.32489414103878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3.813056537183002E-14</v>
      </c>
      <c r="CV180" s="14">
        <f t="shared" si="173"/>
        <v>6.4086286045526829E-13</v>
      </c>
      <c r="CW180" s="22">
        <f t="shared" si="174"/>
        <v>1.1825802166488628E-12</v>
      </c>
      <c r="CX180" s="60">
        <f t="shared" si="122"/>
        <v>293.33333333333451</v>
      </c>
      <c r="CY180" s="60">
        <f ca="1">AVERAGE(OFFSET($CX$3,0,0,'Données projet'!$E$13+1,1))-AVERAGE(OFFSET($H$3,0,0,'Données projet'!$E$13+1,1))</f>
        <v>226.5873967387837</v>
      </c>
      <c r="CZ180" s="60">
        <f t="shared" si="150"/>
        <v>188.57459946241204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-6.2527760746888816E-13</v>
      </c>
      <c r="DP180" s="18">
        <f>DO180*VLOOKUP('Données projet'!$B$14,Paramètres!$A$1:$I$89,3,0)*VLOOKUP('Données projet'!$B$14,Paramètres!$A$1:$I$89,5,0)</f>
        <v>-2.9262992029543964E-13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212.19771249416107</v>
      </c>
      <c r="DU180" s="60">
        <f t="shared" si="152"/>
        <v>125.93313963856127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48.594000000000165</v>
      </c>
      <c r="D181" s="12">
        <f t="shared" si="140"/>
        <v>14.250053466673778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485.11199167257081</v>
      </c>
      <c r="H181" s="68">
        <f t="shared" si="110"/>
        <v>366.12005978779047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-1.0401663530501537E-12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455.09463986470064</v>
      </c>
      <c r="T181" s="60">
        <f t="shared" si="142"/>
        <v>266.42568447709669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1.4210854715202004E-13</v>
      </c>
      <c r="AJ181" s="14">
        <f>AI181*VLOOKUP('Données projet'!$B$10,Paramètres!$A$1:$I$89,3,0)*VLOOKUP('Données projet'!$B$10,Paramètres!$A$1:$I$89,5,0)</f>
        <v>1.2192913345643319E-13</v>
      </c>
      <c r="AK181" s="14">
        <f t="shared" si="164"/>
        <v>1.7899324464546674E-12</v>
      </c>
      <c r="AL181" s="22">
        <f t="shared" si="165"/>
        <v>3.3298255850118335E-12</v>
      </c>
      <c r="AM181" s="60">
        <f t="shared" si="113"/>
        <v>293.33333333333667</v>
      </c>
      <c r="AN181" s="60">
        <f ca="1">AVERAGE(OFFSET($AM$3,0,0,'Données projet'!$E$10+1,1))-AVERAGE(OFFSET($H$3,0,0,'Données projet'!$E$10+1,1))</f>
        <v>201.39673092164992</v>
      </c>
      <c r="AO181" s="60">
        <f t="shared" si="144"/>
        <v>278.95637851890405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-1.7053025658242404E-13</v>
      </c>
      <c r="BE181" s="14">
        <f>BD181*VLOOKUP('Données projet'!$B$11,Paramètres!$A$1:$I$89,3,0)*VLOOKUP('Données projet'!$B$11,Paramètres!$A$1:$I$89,5,0)</f>
        <v>-1.7025740817189217E-13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123.29894837876157</v>
      </c>
      <c r="BJ181" s="60">
        <f t="shared" si="146"/>
        <v>103.52963511757127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-9.7986685432260874E-13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428.49602929661046</v>
      </c>
      <c r="CE181" s="60">
        <f t="shared" si="148"/>
        <v>252.32489414103878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3.813056537183002E-14</v>
      </c>
      <c r="CV181" s="14">
        <f t="shared" si="173"/>
        <v>6.4086286045526829E-13</v>
      </c>
      <c r="CW181" s="22">
        <f t="shared" si="174"/>
        <v>1.1825802166488628E-12</v>
      </c>
      <c r="CX181" s="60">
        <f t="shared" si="122"/>
        <v>293.33333333333451</v>
      </c>
      <c r="CY181" s="60">
        <f ca="1">AVERAGE(OFFSET($CX$3,0,0,'Données projet'!$E$13+1,1))-AVERAGE(OFFSET($H$3,0,0,'Données projet'!$E$13+1,1))</f>
        <v>226.5873967387837</v>
      </c>
      <c r="CZ181" s="60">
        <f t="shared" si="150"/>
        <v>188.57459946241204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-6.2527760746888816E-13</v>
      </c>
      <c r="DP181" s="18">
        <f>DO181*VLOOKUP('Données projet'!$B$14,Paramètres!$A$1:$I$89,3,0)*VLOOKUP('Données projet'!$B$14,Paramètres!$A$1:$I$89,5,0)</f>
        <v>-2.9262992029543964E-13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212.19771249416107</v>
      </c>
      <c r="DU181" s="60">
        <f t="shared" si="152"/>
        <v>125.93313963856127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48.867000000000168</v>
      </c>
      <c r="D182" s="12">
        <f t="shared" si="140"/>
        <v>14.320768291834314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487.76522891942403</v>
      </c>
      <c r="H182" s="68">
        <f t="shared" si="110"/>
        <v>366.71869644161171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-1.0401663530501537E-12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455.09463986470064</v>
      </c>
      <c r="T182" s="60">
        <f t="shared" si="142"/>
        <v>266.42568447709669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1.4210854715202004E-13</v>
      </c>
      <c r="AJ182" s="14">
        <f>AI182*VLOOKUP('Données projet'!$B$10,Paramètres!$A$1:$I$89,3,0)*VLOOKUP('Données projet'!$B$10,Paramètres!$A$1:$I$89,5,0)</f>
        <v>1.2192913345643319E-13</v>
      </c>
      <c r="AK182" s="14">
        <f t="shared" si="164"/>
        <v>1.7899324464546674E-12</v>
      </c>
      <c r="AL182" s="22">
        <f t="shared" si="165"/>
        <v>3.3298255850118335E-12</v>
      </c>
      <c r="AM182" s="60">
        <f t="shared" si="113"/>
        <v>293.33333333333667</v>
      </c>
      <c r="AN182" s="60">
        <f ca="1">AVERAGE(OFFSET($AM$3,0,0,'Données projet'!$E$10+1,1))-AVERAGE(OFFSET($H$3,0,0,'Données projet'!$E$10+1,1))</f>
        <v>201.39673092164992</v>
      </c>
      <c r="AO182" s="60">
        <f t="shared" si="144"/>
        <v>278.95637851890405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-1.7053025658242404E-13</v>
      </c>
      <c r="BE182" s="14">
        <f>BD182*VLOOKUP('Données projet'!$B$11,Paramètres!$A$1:$I$89,3,0)*VLOOKUP('Données projet'!$B$11,Paramètres!$A$1:$I$89,5,0)</f>
        <v>-1.7025740817189217E-13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123.29894837876157</v>
      </c>
      <c r="BJ182" s="60">
        <f t="shared" si="146"/>
        <v>103.52963511757127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-9.7986685432260874E-13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428.49602929661046</v>
      </c>
      <c r="CE182" s="60">
        <f t="shared" si="148"/>
        <v>252.32489414103878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3.813056537183002E-14</v>
      </c>
      <c r="CV182" s="14">
        <f t="shared" si="173"/>
        <v>6.4086286045526829E-13</v>
      </c>
      <c r="CW182" s="22">
        <f t="shared" si="174"/>
        <v>1.1825802166488628E-12</v>
      </c>
      <c r="CX182" s="60">
        <f t="shared" si="122"/>
        <v>293.33333333333451</v>
      </c>
      <c r="CY182" s="60">
        <f ca="1">AVERAGE(OFFSET($CX$3,0,0,'Données projet'!$E$13+1,1))-AVERAGE(OFFSET($H$3,0,0,'Données projet'!$E$13+1,1))</f>
        <v>226.5873967387837</v>
      </c>
      <c r="CZ182" s="60">
        <f t="shared" si="150"/>
        <v>188.57459946241204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-6.2527760746888816E-13</v>
      </c>
      <c r="DP182" s="18">
        <f>DO182*VLOOKUP('Données projet'!$B$14,Paramètres!$A$1:$I$89,3,0)*VLOOKUP('Données projet'!$B$14,Paramètres!$A$1:$I$89,5,0)</f>
        <v>-2.9262992029543964E-13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212.19771249416107</v>
      </c>
      <c r="DU182" s="60">
        <f t="shared" si="152"/>
        <v>125.93313963856127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49.140000000000171</v>
      </c>
      <c r="D183" s="12">
        <f t="shared" si="140"/>
        <v>14.391437147300913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490.4181113124996</v>
      </c>
      <c r="H183" s="68">
        <f t="shared" si="110"/>
        <v>367.3172530315494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-1.0401663530501537E-12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455.09463986470064</v>
      </c>
      <c r="T183" s="60">
        <f t="shared" si="142"/>
        <v>266.42568447709669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1.4210854715202004E-13</v>
      </c>
      <c r="AJ183" s="14">
        <f>AI183*VLOOKUP('Données projet'!$B$10,Paramètres!$A$1:$I$89,3,0)*VLOOKUP('Données projet'!$B$10,Paramètres!$A$1:$I$89,5,0)</f>
        <v>1.2192913345643319E-13</v>
      </c>
      <c r="AK183" s="14">
        <f t="shared" si="164"/>
        <v>1.7899324464546674E-12</v>
      </c>
      <c r="AL183" s="22">
        <f t="shared" si="165"/>
        <v>3.3298255850118335E-12</v>
      </c>
      <c r="AM183" s="60">
        <f t="shared" si="113"/>
        <v>293.33333333333667</v>
      </c>
      <c r="AN183" s="60">
        <f ca="1">AVERAGE(OFFSET($AM$3,0,0,'Données projet'!$E$10+1,1))-AVERAGE(OFFSET($H$3,0,0,'Données projet'!$E$10+1,1))</f>
        <v>201.39673092164992</v>
      </c>
      <c r="AO183" s="60">
        <f t="shared" si="144"/>
        <v>278.95637851890405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-1.7053025658242404E-13</v>
      </c>
      <c r="BE183" s="14">
        <f>BD183*VLOOKUP('Données projet'!$B$11,Paramètres!$A$1:$I$89,3,0)*VLOOKUP('Données projet'!$B$11,Paramètres!$A$1:$I$89,5,0)</f>
        <v>-1.7025740817189217E-13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123.29894837876157</v>
      </c>
      <c r="BJ183" s="60">
        <f t="shared" si="146"/>
        <v>103.52963511757127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-9.7986685432260874E-13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428.49602929661046</v>
      </c>
      <c r="CE183" s="60">
        <f t="shared" si="148"/>
        <v>252.32489414103878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3.813056537183002E-14</v>
      </c>
      <c r="CV183" s="14">
        <f t="shared" si="173"/>
        <v>6.4086286045526829E-13</v>
      </c>
      <c r="CW183" s="22">
        <f t="shared" si="174"/>
        <v>1.1825802166488628E-12</v>
      </c>
      <c r="CX183" s="60">
        <f t="shared" si="122"/>
        <v>293.33333333333451</v>
      </c>
      <c r="CY183" s="60">
        <f ca="1">AVERAGE(OFFSET($CX$3,0,0,'Données projet'!$E$13+1,1))-AVERAGE(OFFSET($H$3,0,0,'Données projet'!$E$13+1,1))</f>
        <v>226.5873967387837</v>
      </c>
      <c r="CZ183" s="60">
        <f t="shared" si="150"/>
        <v>188.57459946241204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-6.2527760746888816E-13</v>
      </c>
      <c r="DP183" s="18">
        <f>DO183*VLOOKUP('Données projet'!$B$14,Paramètres!$A$1:$I$89,3,0)*VLOOKUP('Données projet'!$B$14,Paramètres!$A$1:$I$89,5,0)</f>
        <v>-2.9262992029543964E-13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212.19771249416107</v>
      </c>
      <c r="DU183" s="60">
        <f t="shared" si="152"/>
        <v>125.93313963856127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49.413000000000174</v>
      </c>
      <c r="D184" s="12">
        <f t="shared" si="140"/>
        <v>14.46206031809859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493.07064105199044</v>
      </c>
      <c r="H184" s="68">
        <f t="shared" si="110"/>
        <v>367.91573005402205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-1.0401663530501537E-12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455.09463986470064</v>
      </c>
      <c r="T184" s="60">
        <f t="shared" si="142"/>
        <v>266.42568447709669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1.4210854715202004E-13</v>
      </c>
      <c r="AJ184" s="14">
        <f>AI184*VLOOKUP('Données projet'!$B$10,Paramètres!$A$1:$I$89,3,0)*VLOOKUP('Données projet'!$B$10,Paramètres!$A$1:$I$89,5,0)</f>
        <v>1.2192913345643319E-13</v>
      </c>
      <c r="AK184" s="14">
        <f t="shared" si="164"/>
        <v>1.7899324464546674E-12</v>
      </c>
      <c r="AL184" s="22">
        <f t="shared" si="165"/>
        <v>3.3298255850118335E-12</v>
      </c>
      <c r="AM184" s="60">
        <f t="shared" si="113"/>
        <v>293.33333333333667</v>
      </c>
      <c r="AN184" s="60">
        <f ca="1">AVERAGE(OFFSET($AM$3,0,0,'Données projet'!$E$10+1,1))-AVERAGE(OFFSET($H$3,0,0,'Données projet'!$E$10+1,1))</f>
        <v>201.39673092164992</v>
      </c>
      <c r="AO184" s="60">
        <f t="shared" si="144"/>
        <v>278.95637851890405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-1.7053025658242404E-13</v>
      </c>
      <c r="BE184" s="14">
        <f>BD184*VLOOKUP('Données projet'!$B$11,Paramètres!$A$1:$I$89,3,0)*VLOOKUP('Données projet'!$B$11,Paramètres!$A$1:$I$89,5,0)</f>
        <v>-1.7025740817189217E-13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123.29894837876157</v>
      </c>
      <c r="BJ184" s="60">
        <f t="shared" si="146"/>
        <v>103.52963511757127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-9.7986685432260874E-13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428.49602929661046</v>
      </c>
      <c r="CE184" s="60">
        <f t="shared" si="148"/>
        <v>252.32489414103878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3.813056537183002E-14</v>
      </c>
      <c r="CV184" s="14">
        <f t="shared" si="173"/>
        <v>6.4086286045526829E-13</v>
      </c>
      <c r="CW184" s="22">
        <f t="shared" si="174"/>
        <v>1.1825802166488628E-12</v>
      </c>
      <c r="CX184" s="60">
        <f t="shared" si="122"/>
        <v>293.33333333333451</v>
      </c>
      <c r="CY184" s="60">
        <f ca="1">AVERAGE(OFFSET($CX$3,0,0,'Données projet'!$E$13+1,1))-AVERAGE(OFFSET($H$3,0,0,'Données projet'!$E$13+1,1))</f>
        <v>226.5873967387837</v>
      </c>
      <c r="CZ184" s="60">
        <f t="shared" si="150"/>
        <v>188.57459946241204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-6.2527760746888816E-13</v>
      </c>
      <c r="DP184" s="18">
        <f>DO184*VLOOKUP('Données projet'!$B$14,Paramètres!$A$1:$I$89,3,0)*VLOOKUP('Données projet'!$B$14,Paramètres!$A$1:$I$89,5,0)</f>
        <v>-2.9262992029543964E-13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212.19771249416107</v>
      </c>
      <c r="DU184" s="60">
        <f t="shared" si="152"/>
        <v>125.93313963856127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49.686000000000178</v>
      </c>
      <c r="D185" s="12">
        <f t="shared" si="140"/>
        <v>14.532638085920658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495.72282031237131</v>
      </c>
      <c r="H185" s="68">
        <f t="shared" si="110"/>
        <v>368.51412799964544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-1.0401663530501537E-12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455.09463986470064</v>
      </c>
      <c r="T185" s="60">
        <f t="shared" si="142"/>
        <v>266.42568447709669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1.4210854715202004E-13</v>
      </c>
      <c r="AJ185" s="14">
        <f>AI185*VLOOKUP('Données projet'!$B$10,Paramètres!$A$1:$I$89,3,0)*VLOOKUP('Données projet'!$B$10,Paramètres!$A$1:$I$89,5,0)</f>
        <v>1.2192913345643319E-13</v>
      </c>
      <c r="AK185" s="14">
        <f t="shared" si="164"/>
        <v>1.7899324464546674E-12</v>
      </c>
      <c r="AL185" s="22">
        <f t="shared" si="165"/>
        <v>3.3298255850118335E-12</v>
      </c>
      <c r="AM185" s="60">
        <f t="shared" si="113"/>
        <v>293.33333333333667</v>
      </c>
      <c r="AN185" s="60">
        <f ca="1">AVERAGE(OFFSET($AM$3,0,0,'Données projet'!$E$10+1,1))-AVERAGE(OFFSET($H$3,0,0,'Données projet'!$E$10+1,1))</f>
        <v>201.39673092164992</v>
      </c>
      <c r="AO185" s="60">
        <f t="shared" si="144"/>
        <v>278.95637851890405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-1.7053025658242404E-13</v>
      </c>
      <c r="BE185" s="14">
        <f>BD185*VLOOKUP('Données projet'!$B$11,Paramètres!$A$1:$I$89,3,0)*VLOOKUP('Données projet'!$B$11,Paramètres!$A$1:$I$89,5,0)</f>
        <v>-1.7025740817189217E-13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123.29894837876157</v>
      </c>
      <c r="BJ185" s="60">
        <f t="shared" si="146"/>
        <v>103.52963511757127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-9.7986685432260874E-13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428.49602929661046</v>
      </c>
      <c r="CE185" s="60">
        <f t="shared" si="148"/>
        <v>252.32489414103878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3.813056537183002E-14</v>
      </c>
      <c r="CV185" s="14">
        <f t="shared" si="173"/>
        <v>6.4086286045526829E-13</v>
      </c>
      <c r="CW185" s="22">
        <f t="shared" si="174"/>
        <v>1.1825802166488628E-12</v>
      </c>
      <c r="CX185" s="60">
        <f t="shared" si="122"/>
        <v>293.33333333333451</v>
      </c>
      <c r="CY185" s="60">
        <f ca="1">AVERAGE(OFFSET($CX$3,0,0,'Données projet'!$E$13+1,1))-AVERAGE(OFFSET($H$3,0,0,'Données projet'!$E$13+1,1))</f>
        <v>226.5873967387837</v>
      </c>
      <c r="CZ185" s="60">
        <f t="shared" si="150"/>
        <v>188.57459946241204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-6.2527760746888816E-13</v>
      </c>
      <c r="DP185" s="18">
        <f>DO185*VLOOKUP('Données projet'!$B$14,Paramètres!$A$1:$I$89,3,0)*VLOOKUP('Données projet'!$B$14,Paramètres!$A$1:$I$89,5,0)</f>
        <v>-2.9262992029543964E-13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212.19771249416107</v>
      </c>
      <c r="DU185" s="60">
        <f t="shared" si="152"/>
        <v>125.93313963856127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49.959000000000181</v>
      </c>
      <c r="D186" s="12">
        <f t="shared" si="140"/>
        <v>14.603170729185722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498.37465124283858</v>
      </c>
      <c r="H186" s="68">
        <f t="shared" si="110"/>
        <v>369.11244735333213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-1.0401663530501537E-12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455.09463986470064</v>
      </c>
      <c r="T186" s="60">
        <f t="shared" si="142"/>
        <v>266.42568447709669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1.4210854715202004E-13</v>
      </c>
      <c r="AJ186" s="14">
        <f>AI186*VLOOKUP('Données projet'!$B$10,Paramètres!$A$1:$I$89,3,0)*VLOOKUP('Données projet'!$B$10,Paramètres!$A$1:$I$89,5,0)</f>
        <v>1.2192913345643319E-13</v>
      </c>
      <c r="AK186" s="14">
        <f t="shared" si="164"/>
        <v>1.7899324464546674E-12</v>
      </c>
      <c r="AL186" s="22">
        <f t="shared" si="165"/>
        <v>3.3298255850118335E-12</v>
      </c>
      <c r="AM186" s="60">
        <f t="shared" si="113"/>
        <v>293.33333333333667</v>
      </c>
      <c r="AN186" s="60">
        <f ca="1">AVERAGE(OFFSET($AM$3,0,0,'Données projet'!$E$10+1,1))-AVERAGE(OFFSET($H$3,0,0,'Données projet'!$E$10+1,1))</f>
        <v>201.39673092164992</v>
      </c>
      <c r="AO186" s="60">
        <f t="shared" si="144"/>
        <v>278.95637851890405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-1.7053025658242404E-13</v>
      </c>
      <c r="BE186" s="14">
        <f>BD186*VLOOKUP('Données projet'!$B$11,Paramètres!$A$1:$I$89,3,0)*VLOOKUP('Données projet'!$B$11,Paramètres!$A$1:$I$89,5,0)</f>
        <v>-1.7025740817189217E-13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123.29894837876157</v>
      </c>
      <c r="BJ186" s="60">
        <f t="shared" si="146"/>
        <v>103.52963511757127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-9.7986685432260874E-13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428.49602929661046</v>
      </c>
      <c r="CE186" s="60">
        <f t="shared" si="148"/>
        <v>252.32489414103878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3.813056537183002E-14</v>
      </c>
      <c r="CV186" s="14">
        <f t="shared" si="173"/>
        <v>6.4086286045526829E-13</v>
      </c>
      <c r="CW186" s="22">
        <f t="shared" si="174"/>
        <v>1.1825802166488628E-12</v>
      </c>
      <c r="CX186" s="60">
        <f t="shared" si="122"/>
        <v>293.33333333333451</v>
      </c>
      <c r="CY186" s="60">
        <f ca="1">AVERAGE(OFFSET($CX$3,0,0,'Données projet'!$E$13+1,1))-AVERAGE(OFFSET($H$3,0,0,'Données projet'!$E$13+1,1))</f>
        <v>226.5873967387837</v>
      </c>
      <c r="CZ186" s="60">
        <f t="shared" si="150"/>
        <v>188.57459946241204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-6.2527760746888816E-13</v>
      </c>
      <c r="DP186" s="18">
        <f>DO186*VLOOKUP('Données projet'!$B$14,Paramètres!$A$1:$I$89,3,0)*VLOOKUP('Données projet'!$B$14,Paramètres!$A$1:$I$89,5,0)</f>
        <v>-2.9262992029543964E-13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212.19771249416107</v>
      </c>
      <c r="DU186" s="60">
        <f t="shared" si="152"/>
        <v>125.93313963856127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50.232000000000184</v>
      </c>
      <c r="D187" s="12">
        <f t="shared" si="140"/>
        <v>14.673658523093462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501.02613596774046</v>
      </c>
      <c r="H187" s="68">
        <f t="shared" si="110"/>
        <v>369.7106885943881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-1.0401663530501537E-12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455.09463986470064</v>
      </c>
      <c r="T187" s="60">
        <f t="shared" si="142"/>
        <v>266.42568447709669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1.4210854715202004E-13</v>
      </c>
      <c r="AJ187" s="14">
        <f>AI187*VLOOKUP('Données projet'!$B$10,Paramètres!$A$1:$I$89,3,0)*VLOOKUP('Données projet'!$B$10,Paramètres!$A$1:$I$89,5,0)</f>
        <v>1.2192913345643319E-13</v>
      </c>
      <c r="AK187" s="14">
        <f t="shared" si="164"/>
        <v>1.7899324464546674E-12</v>
      </c>
      <c r="AL187" s="22">
        <f t="shared" si="165"/>
        <v>3.3298255850118335E-12</v>
      </c>
      <c r="AM187" s="60">
        <f t="shared" si="113"/>
        <v>293.33333333333667</v>
      </c>
      <c r="AN187" s="60">
        <f ca="1">AVERAGE(OFFSET($AM$3,0,0,'Données projet'!$E$10+1,1))-AVERAGE(OFFSET($H$3,0,0,'Données projet'!$E$10+1,1))</f>
        <v>201.39673092164992</v>
      </c>
      <c r="AO187" s="60">
        <f t="shared" si="144"/>
        <v>278.95637851890405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-1.7053025658242404E-13</v>
      </c>
      <c r="BE187" s="14">
        <f>BD187*VLOOKUP('Données projet'!$B$11,Paramètres!$A$1:$I$89,3,0)*VLOOKUP('Données projet'!$B$11,Paramètres!$A$1:$I$89,5,0)</f>
        <v>-1.7025740817189217E-13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123.29894837876157</v>
      </c>
      <c r="BJ187" s="60">
        <f t="shared" si="146"/>
        <v>103.52963511757127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-9.7986685432260874E-13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428.49602929661046</v>
      </c>
      <c r="CE187" s="60">
        <f t="shared" si="148"/>
        <v>252.32489414103878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3.813056537183002E-14</v>
      </c>
      <c r="CV187" s="14">
        <f t="shared" si="173"/>
        <v>6.4086286045526829E-13</v>
      </c>
      <c r="CW187" s="22">
        <f t="shared" si="174"/>
        <v>1.1825802166488628E-12</v>
      </c>
      <c r="CX187" s="60">
        <f t="shared" si="122"/>
        <v>293.33333333333451</v>
      </c>
      <c r="CY187" s="60">
        <f ca="1">AVERAGE(OFFSET($CX$3,0,0,'Données projet'!$E$13+1,1))-AVERAGE(OFFSET($H$3,0,0,'Données projet'!$E$13+1,1))</f>
        <v>226.5873967387837</v>
      </c>
      <c r="CZ187" s="60">
        <f t="shared" si="150"/>
        <v>188.57459946241204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-6.2527760746888816E-13</v>
      </c>
      <c r="DP187" s="18">
        <f>DO187*VLOOKUP('Données projet'!$B$14,Paramètres!$A$1:$I$89,3,0)*VLOOKUP('Données projet'!$B$14,Paramètres!$A$1:$I$89,5,0)</f>
        <v>-2.9262992029543964E-13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212.19771249416107</v>
      </c>
      <c r="DU187" s="60">
        <f t="shared" si="152"/>
        <v>125.93313963856127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50.505000000000187</v>
      </c>
      <c r="D188" s="12">
        <f t="shared" si="140"/>
        <v>14.744101739679111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503.67727658699806</v>
      </c>
      <c r="H188" s="68">
        <f t="shared" si="110"/>
        <v>370.30885219660814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-1.0401663530501537E-12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455.09463986470064</v>
      </c>
      <c r="T188" s="60">
        <f t="shared" si="142"/>
        <v>266.42568447709669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1.4210854715202004E-13</v>
      </c>
      <c r="AJ188" s="14">
        <f>AI188*VLOOKUP('Données projet'!$B$10,Paramètres!$A$1:$I$89,3,0)*VLOOKUP('Données projet'!$B$10,Paramètres!$A$1:$I$89,5,0)</f>
        <v>1.2192913345643319E-13</v>
      </c>
      <c r="AK188" s="14">
        <f t="shared" si="164"/>
        <v>1.7899324464546674E-12</v>
      </c>
      <c r="AL188" s="22">
        <f t="shared" si="165"/>
        <v>3.3298255850118335E-12</v>
      </c>
      <c r="AM188" s="60">
        <f t="shared" si="113"/>
        <v>293.33333333333667</v>
      </c>
      <c r="AN188" s="60">
        <f ca="1">AVERAGE(OFFSET($AM$3,0,0,'Données projet'!$E$10+1,1))-AVERAGE(OFFSET($H$3,0,0,'Données projet'!$E$10+1,1))</f>
        <v>201.39673092164992</v>
      </c>
      <c r="AO188" s="60">
        <f t="shared" si="144"/>
        <v>278.95637851890405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-1.7053025658242404E-13</v>
      </c>
      <c r="BE188" s="14">
        <f>BD188*VLOOKUP('Données projet'!$B$11,Paramètres!$A$1:$I$89,3,0)*VLOOKUP('Données projet'!$B$11,Paramètres!$A$1:$I$89,5,0)</f>
        <v>-1.7025740817189217E-13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123.29894837876157</v>
      </c>
      <c r="BJ188" s="60">
        <f t="shared" si="146"/>
        <v>103.52963511757127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-9.7986685432260874E-13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428.49602929661046</v>
      </c>
      <c r="CE188" s="60">
        <f t="shared" si="148"/>
        <v>252.32489414103878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3.813056537183002E-14</v>
      </c>
      <c r="CV188" s="14">
        <f t="shared" si="173"/>
        <v>6.4086286045526829E-13</v>
      </c>
      <c r="CW188" s="22">
        <f t="shared" si="174"/>
        <v>1.1825802166488628E-12</v>
      </c>
      <c r="CX188" s="60">
        <f t="shared" si="122"/>
        <v>293.33333333333451</v>
      </c>
      <c r="CY188" s="60">
        <f ca="1">AVERAGE(OFFSET($CX$3,0,0,'Données projet'!$E$13+1,1))-AVERAGE(OFFSET($H$3,0,0,'Données projet'!$E$13+1,1))</f>
        <v>226.5873967387837</v>
      </c>
      <c r="CZ188" s="60">
        <f t="shared" si="150"/>
        <v>188.57459946241204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-6.2527760746888816E-13</v>
      </c>
      <c r="DP188" s="18">
        <f>DO188*VLOOKUP('Données projet'!$B$14,Paramètres!$A$1:$I$89,3,0)*VLOOKUP('Données projet'!$B$14,Paramètres!$A$1:$I$89,5,0)</f>
        <v>-2.9262992029543964E-13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212.19771249416107</v>
      </c>
      <c r="DU188" s="60">
        <f t="shared" si="152"/>
        <v>125.93313963856127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50.778000000000191</v>
      </c>
      <c r="D189" s="12">
        <f t="shared" si="140"/>
        <v>14.814500647866748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506.32807517651673</v>
      </c>
      <c r="H189" s="68">
        <f t="shared" si="110"/>
        <v>370.90693862836827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-1.0401663530501537E-12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455.09463986470064</v>
      </c>
      <c r="T189" s="60">
        <f t="shared" si="142"/>
        <v>266.42568447709669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1.4210854715202004E-13</v>
      </c>
      <c r="AJ189" s="14">
        <f>AI189*VLOOKUP('Données projet'!$B$10,Paramètres!$A$1:$I$89,3,0)*VLOOKUP('Données projet'!$B$10,Paramètres!$A$1:$I$89,5,0)</f>
        <v>1.2192913345643319E-13</v>
      </c>
      <c r="AK189" s="14">
        <f t="shared" si="164"/>
        <v>1.7899324464546674E-12</v>
      </c>
      <c r="AL189" s="22">
        <f t="shared" si="165"/>
        <v>3.3298255850118335E-12</v>
      </c>
      <c r="AM189" s="60">
        <f t="shared" si="113"/>
        <v>293.33333333333667</v>
      </c>
      <c r="AN189" s="60">
        <f ca="1">AVERAGE(OFFSET($AM$3,0,0,'Données projet'!$E$10+1,1))-AVERAGE(OFFSET($H$3,0,0,'Données projet'!$E$10+1,1))</f>
        <v>201.39673092164992</v>
      </c>
      <c r="AO189" s="60">
        <f t="shared" si="144"/>
        <v>278.95637851890405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-1.7053025658242404E-13</v>
      </c>
      <c r="BE189" s="14">
        <f>BD189*VLOOKUP('Données projet'!$B$11,Paramètres!$A$1:$I$89,3,0)*VLOOKUP('Données projet'!$B$11,Paramètres!$A$1:$I$89,5,0)</f>
        <v>-1.7025740817189217E-13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123.29894837876157</v>
      </c>
      <c r="BJ189" s="60">
        <f t="shared" si="146"/>
        <v>103.52963511757127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-9.7986685432260874E-13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428.49602929661046</v>
      </c>
      <c r="CE189" s="60">
        <f t="shared" si="148"/>
        <v>252.32489414103878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3.813056537183002E-14</v>
      </c>
      <c r="CV189" s="14">
        <f t="shared" si="173"/>
        <v>6.4086286045526829E-13</v>
      </c>
      <c r="CW189" s="22">
        <f t="shared" si="174"/>
        <v>1.1825802166488628E-12</v>
      </c>
      <c r="CX189" s="60">
        <f t="shared" si="122"/>
        <v>293.33333333333451</v>
      </c>
      <c r="CY189" s="60">
        <f ca="1">AVERAGE(OFFSET($CX$3,0,0,'Données projet'!$E$13+1,1))-AVERAGE(OFFSET($H$3,0,0,'Données projet'!$E$13+1,1))</f>
        <v>226.5873967387837</v>
      </c>
      <c r="CZ189" s="60">
        <f t="shared" si="150"/>
        <v>188.57459946241204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-6.2527760746888816E-13</v>
      </c>
      <c r="DP189" s="18">
        <f>DO189*VLOOKUP('Données projet'!$B$14,Paramètres!$A$1:$I$89,3,0)*VLOOKUP('Données projet'!$B$14,Paramètres!$A$1:$I$89,5,0)</f>
        <v>-2.9262992029543964E-13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212.19771249416107</v>
      </c>
      <c r="DU189" s="60">
        <f t="shared" si="152"/>
        <v>125.93313963856127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51.051000000000194</v>
      </c>
      <c r="D190" s="12">
        <f t="shared" si="140"/>
        <v>14.884855513521412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508.97853378858781</v>
      </c>
      <c r="H190" s="68">
        <f t="shared" si="110"/>
        <v>371.50494835271678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-1.0401663530501537E-12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455.09463986470064</v>
      </c>
      <c r="T190" s="60">
        <f t="shared" si="142"/>
        <v>266.42568447709669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1.4210854715202004E-13</v>
      </c>
      <c r="AJ190" s="14">
        <f>AI190*VLOOKUP('Données projet'!$B$10,Paramètres!$A$1:$I$89,3,0)*VLOOKUP('Données projet'!$B$10,Paramètres!$A$1:$I$89,5,0)</f>
        <v>1.2192913345643319E-13</v>
      </c>
      <c r="AK190" s="14">
        <f t="shared" si="164"/>
        <v>1.7899324464546674E-12</v>
      </c>
      <c r="AL190" s="22">
        <f t="shared" si="165"/>
        <v>3.3298255850118335E-12</v>
      </c>
      <c r="AM190" s="60">
        <f t="shared" si="113"/>
        <v>293.33333333333667</v>
      </c>
      <c r="AN190" s="60">
        <f ca="1">AVERAGE(OFFSET($AM$3,0,0,'Données projet'!$E$10+1,1))-AVERAGE(OFFSET($H$3,0,0,'Données projet'!$E$10+1,1))</f>
        <v>201.39673092164992</v>
      </c>
      <c r="AO190" s="60">
        <f t="shared" si="144"/>
        <v>278.95637851890405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-1.7053025658242404E-13</v>
      </c>
      <c r="BE190" s="14">
        <f>BD190*VLOOKUP('Données projet'!$B$11,Paramètres!$A$1:$I$89,3,0)*VLOOKUP('Données projet'!$B$11,Paramètres!$A$1:$I$89,5,0)</f>
        <v>-1.7025740817189217E-13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123.29894837876157</v>
      </c>
      <c r="BJ190" s="60">
        <f t="shared" si="146"/>
        <v>103.52963511757127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-9.7986685432260874E-13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428.49602929661046</v>
      </c>
      <c r="CE190" s="60">
        <f t="shared" si="148"/>
        <v>252.32489414103878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3.813056537183002E-14</v>
      </c>
      <c r="CV190" s="14">
        <f t="shared" si="173"/>
        <v>6.4086286045526829E-13</v>
      </c>
      <c r="CW190" s="22">
        <f t="shared" si="174"/>
        <v>1.1825802166488628E-12</v>
      </c>
      <c r="CX190" s="60">
        <f t="shared" si="122"/>
        <v>293.33333333333451</v>
      </c>
      <c r="CY190" s="60">
        <f ca="1">AVERAGE(OFFSET($CX$3,0,0,'Données projet'!$E$13+1,1))-AVERAGE(OFFSET($H$3,0,0,'Données projet'!$E$13+1,1))</f>
        <v>226.5873967387837</v>
      </c>
      <c r="CZ190" s="60">
        <f t="shared" si="150"/>
        <v>188.57459946241204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-6.2527760746888816E-13</v>
      </c>
      <c r="DP190" s="18">
        <f>DO190*VLOOKUP('Données projet'!$B$14,Paramètres!$A$1:$I$89,3,0)*VLOOKUP('Données projet'!$B$14,Paramètres!$A$1:$I$89,5,0)</f>
        <v>-2.9262992029543964E-13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212.19771249416107</v>
      </c>
      <c r="DU190" s="60">
        <f t="shared" si="152"/>
        <v>125.93313963856127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51.324000000000197</v>
      </c>
      <c r="D191" s="12">
        <f t="shared" si="140"/>
        <v>14.955166599500084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511.62865445228294</v>
      </c>
      <c r="H191" s="68">
        <f t="shared" si="110"/>
        <v>372.10288182746302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-1.0401663530501537E-12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455.09463986470064</v>
      </c>
      <c r="T191" s="60">
        <f t="shared" si="142"/>
        <v>266.42568447709669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1.4210854715202004E-13</v>
      </c>
      <c r="AJ191" s="14">
        <f>AI191*VLOOKUP('Données projet'!$B$10,Paramètres!$A$1:$I$89,3,0)*VLOOKUP('Données projet'!$B$10,Paramètres!$A$1:$I$89,5,0)</f>
        <v>1.2192913345643319E-13</v>
      </c>
      <c r="AK191" s="14">
        <f t="shared" si="164"/>
        <v>1.7899324464546674E-12</v>
      </c>
      <c r="AL191" s="22">
        <f t="shared" si="165"/>
        <v>3.3298255850118335E-12</v>
      </c>
      <c r="AM191" s="60">
        <f t="shared" si="113"/>
        <v>293.33333333333667</v>
      </c>
      <c r="AN191" s="60">
        <f ca="1">AVERAGE(OFFSET($AM$3,0,0,'Données projet'!$E$10+1,1))-AVERAGE(OFFSET($H$3,0,0,'Données projet'!$E$10+1,1))</f>
        <v>201.39673092164992</v>
      </c>
      <c r="AO191" s="60">
        <f t="shared" si="144"/>
        <v>278.95637851890405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-1.7053025658242404E-13</v>
      </c>
      <c r="BE191" s="14">
        <f>BD191*VLOOKUP('Données projet'!$B$11,Paramètres!$A$1:$I$89,3,0)*VLOOKUP('Données projet'!$B$11,Paramètres!$A$1:$I$89,5,0)</f>
        <v>-1.7025740817189217E-13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123.29894837876157</v>
      </c>
      <c r="BJ191" s="60">
        <f t="shared" si="146"/>
        <v>103.52963511757127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-9.7986685432260874E-13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428.49602929661046</v>
      </c>
      <c r="CE191" s="60">
        <f t="shared" si="148"/>
        <v>252.32489414103878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3.813056537183002E-14</v>
      </c>
      <c r="CV191" s="14">
        <f t="shared" si="173"/>
        <v>6.4086286045526829E-13</v>
      </c>
      <c r="CW191" s="22">
        <f t="shared" si="174"/>
        <v>1.1825802166488628E-12</v>
      </c>
      <c r="CX191" s="60">
        <f t="shared" si="122"/>
        <v>293.33333333333451</v>
      </c>
      <c r="CY191" s="60">
        <f ca="1">AVERAGE(OFFSET($CX$3,0,0,'Données projet'!$E$13+1,1))-AVERAGE(OFFSET($H$3,0,0,'Données projet'!$E$13+1,1))</f>
        <v>226.5873967387837</v>
      </c>
      <c r="CZ191" s="60">
        <f t="shared" si="150"/>
        <v>188.57459946241204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-6.2527760746888816E-13</v>
      </c>
      <c r="DP191" s="18">
        <f>DO191*VLOOKUP('Données projet'!$B$14,Paramètres!$A$1:$I$89,3,0)*VLOOKUP('Données projet'!$B$14,Paramètres!$A$1:$I$89,5,0)</f>
        <v>-2.9262992029543964E-13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212.19771249416107</v>
      </c>
      <c r="DU191" s="60">
        <f t="shared" si="152"/>
        <v>125.93313963856127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51.5970000000002</v>
      </c>
      <c r="D192" s="12">
        <f t="shared" si="140"/>
        <v>15.025434165701506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514.2784391738378</v>
      </c>
      <c r="H192" s="68">
        <f t="shared" si="110"/>
        <v>372.70073950526381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-1.0401663530501537E-12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455.09463986470064</v>
      </c>
      <c r="T192" s="60">
        <f t="shared" si="142"/>
        <v>266.42568447709669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1.4210854715202004E-13</v>
      </c>
      <c r="AJ192" s="14">
        <f>AI192*VLOOKUP('Données projet'!$B$10,Paramètres!$A$1:$I$89,3,0)*VLOOKUP('Données projet'!$B$10,Paramètres!$A$1:$I$89,5,0)</f>
        <v>1.2192913345643319E-13</v>
      </c>
      <c r="AK192" s="14">
        <f t="shared" si="164"/>
        <v>1.7899324464546674E-12</v>
      </c>
      <c r="AL192" s="22">
        <f t="shared" si="165"/>
        <v>3.3298255850118335E-12</v>
      </c>
      <c r="AM192" s="60">
        <f t="shared" si="113"/>
        <v>293.33333333333667</v>
      </c>
      <c r="AN192" s="60">
        <f ca="1">AVERAGE(OFFSET($AM$3,0,0,'Données projet'!$E$10+1,1))-AVERAGE(OFFSET($H$3,0,0,'Données projet'!$E$10+1,1))</f>
        <v>201.39673092164992</v>
      </c>
      <c r="AO192" s="60">
        <f t="shared" si="144"/>
        <v>278.95637851890405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-1.7053025658242404E-13</v>
      </c>
      <c r="BE192" s="14">
        <f>BD192*VLOOKUP('Données projet'!$B$11,Paramètres!$A$1:$I$89,3,0)*VLOOKUP('Données projet'!$B$11,Paramètres!$A$1:$I$89,5,0)</f>
        <v>-1.7025740817189217E-13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123.29894837876157</v>
      </c>
      <c r="BJ192" s="60">
        <f t="shared" si="146"/>
        <v>103.52963511757127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-9.7986685432260874E-13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428.49602929661046</v>
      </c>
      <c r="CE192" s="60">
        <f t="shared" si="148"/>
        <v>252.32489414103878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3.813056537183002E-14</v>
      </c>
      <c r="CV192" s="14">
        <f t="shared" si="173"/>
        <v>6.4086286045526829E-13</v>
      </c>
      <c r="CW192" s="22">
        <f t="shared" si="174"/>
        <v>1.1825802166488628E-12</v>
      </c>
      <c r="CX192" s="60">
        <f t="shared" si="122"/>
        <v>293.33333333333451</v>
      </c>
      <c r="CY192" s="60">
        <f ca="1">AVERAGE(OFFSET($CX$3,0,0,'Données projet'!$E$13+1,1))-AVERAGE(OFFSET($H$3,0,0,'Données projet'!$E$13+1,1))</f>
        <v>226.5873967387837</v>
      </c>
      <c r="CZ192" s="60">
        <f t="shared" si="150"/>
        <v>188.57459946241204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-6.2527760746888816E-13</v>
      </c>
      <c r="DP192" s="18">
        <f>DO192*VLOOKUP('Données projet'!$B$14,Paramètres!$A$1:$I$89,3,0)*VLOOKUP('Données projet'!$B$14,Paramètres!$A$1:$I$89,5,0)</f>
        <v>-2.9262992029543964E-13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212.19771249416107</v>
      </c>
      <c r="DU192" s="60">
        <f t="shared" si="152"/>
        <v>125.93313963856127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51.870000000000203</v>
      </c>
      <c r="D193" s="12">
        <f t="shared" si="140"/>
        <v>15.095658469114968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516.92788993702948</v>
      </c>
      <c r="H193" s="68">
        <f t="shared" si="110"/>
        <v>373.29852183370895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-1.0401663530501537E-12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455.09463986470064</v>
      </c>
      <c r="T193" s="60">
        <f t="shared" si="142"/>
        <v>266.42568447709669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1.4210854715202004E-13</v>
      </c>
      <c r="AJ193" s="14">
        <f>AI193*VLOOKUP('Données projet'!$B$10,Paramètres!$A$1:$I$89,3,0)*VLOOKUP('Données projet'!$B$10,Paramètres!$A$1:$I$89,5,0)</f>
        <v>1.2192913345643319E-13</v>
      </c>
      <c r="AK193" s="14">
        <f t="shared" si="164"/>
        <v>1.7899324464546674E-12</v>
      </c>
      <c r="AL193" s="22">
        <f t="shared" si="165"/>
        <v>3.3298255850118335E-12</v>
      </c>
      <c r="AM193" s="60">
        <f t="shared" si="113"/>
        <v>293.33333333333667</v>
      </c>
      <c r="AN193" s="60">
        <f ca="1">AVERAGE(OFFSET($AM$3,0,0,'Données projet'!$E$10+1,1))-AVERAGE(OFFSET($H$3,0,0,'Données projet'!$E$10+1,1))</f>
        <v>201.39673092164992</v>
      </c>
      <c r="AO193" s="60">
        <f t="shared" si="144"/>
        <v>278.95637851890405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-1.7053025658242404E-13</v>
      </c>
      <c r="BE193" s="14">
        <f>BD193*VLOOKUP('Données projet'!$B$11,Paramètres!$A$1:$I$89,3,0)*VLOOKUP('Données projet'!$B$11,Paramètres!$A$1:$I$89,5,0)</f>
        <v>-1.7025740817189217E-13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123.29894837876157</v>
      </c>
      <c r="BJ193" s="60">
        <f t="shared" si="146"/>
        <v>103.52963511757127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-9.7986685432260874E-13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428.49602929661046</v>
      </c>
      <c r="CE193" s="60">
        <f t="shared" si="148"/>
        <v>252.32489414103878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3.813056537183002E-14</v>
      </c>
      <c r="CV193" s="14">
        <f t="shared" si="173"/>
        <v>6.4086286045526829E-13</v>
      </c>
      <c r="CW193" s="22">
        <f t="shared" si="174"/>
        <v>1.1825802166488628E-12</v>
      </c>
      <c r="CX193" s="60">
        <f t="shared" si="122"/>
        <v>293.33333333333451</v>
      </c>
      <c r="CY193" s="60">
        <f ca="1">AVERAGE(OFFSET($CX$3,0,0,'Données projet'!$E$13+1,1))-AVERAGE(OFFSET($H$3,0,0,'Données projet'!$E$13+1,1))</f>
        <v>226.5873967387837</v>
      </c>
      <c r="CZ193" s="60">
        <f t="shared" si="150"/>
        <v>188.57459946241204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-6.2527760746888816E-13</v>
      </c>
      <c r="DP193" s="18">
        <f>DO193*VLOOKUP('Données projet'!$B$14,Paramètres!$A$1:$I$89,3,0)*VLOOKUP('Données projet'!$B$14,Paramètres!$A$1:$I$89,5,0)</f>
        <v>-2.9262992029543964E-13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212.19771249416107</v>
      </c>
      <c r="DU193" s="60">
        <f t="shared" si="152"/>
        <v>125.93313963856127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52.143000000000207</v>
      </c>
      <c r="D194" s="12">
        <f t="shared" si="140"/>
        <v>15.165839763868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519.57700870354415</v>
      </c>
      <c r="H194" s="68">
        <f t="shared" si="110"/>
        <v>373.8962292554038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-1.0401663530501537E-12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455.09463986470064</v>
      </c>
      <c r="T194" s="60">
        <f t="shared" si="142"/>
        <v>266.42568447709669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1.4210854715202004E-13</v>
      </c>
      <c r="AJ194" s="14">
        <f>AI194*VLOOKUP('Données projet'!$B$10,Paramètres!$A$1:$I$89,3,0)*VLOOKUP('Données projet'!$B$10,Paramètres!$A$1:$I$89,5,0)</f>
        <v>1.2192913345643319E-13</v>
      </c>
      <c r="AK194" s="14">
        <f t="shared" si="164"/>
        <v>1.7899324464546674E-12</v>
      </c>
      <c r="AL194" s="22">
        <f t="shared" si="165"/>
        <v>3.3298255850118335E-12</v>
      </c>
      <c r="AM194" s="60">
        <f t="shared" si="113"/>
        <v>293.33333333333667</v>
      </c>
      <c r="AN194" s="60">
        <f ca="1">AVERAGE(OFFSET($AM$3,0,0,'Données projet'!$E$10+1,1))-AVERAGE(OFFSET($H$3,0,0,'Données projet'!$E$10+1,1))</f>
        <v>201.39673092164992</v>
      </c>
      <c r="AO194" s="60">
        <f t="shared" si="144"/>
        <v>278.95637851890405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-1.7053025658242404E-13</v>
      </c>
      <c r="BE194" s="14">
        <f>BD194*VLOOKUP('Données projet'!$B$11,Paramètres!$A$1:$I$89,3,0)*VLOOKUP('Données projet'!$B$11,Paramètres!$A$1:$I$89,5,0)</f>
        <v>-1.7025740817189217E-13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123.29894837876157</v>
      </c>
      <c r="BJ194" s="60">
        <f t="shared" si="146"/>
        <v>103.52963511757127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-9.7986685432260874E-13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428.49602929661046</v>
      </c>
      <c r="CE194" s="60">
        <f t="shared" si="148"/>
        <v>252.32489414103878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3.813056537183002E-14</v>
      </c>
      <c r="CV194" s="14">
        <f t="shared" si="173"/>
        <v>6.4086286045526829E-13</v>
      </c>
      <c r="CW194" s="22">
        <f t="shared" si="174"/>
        <v>1.1825802166488628E-12</v>
      </c>
      <c r="CX194" s="60">
        <f t="shared" si="122"/>
        <v>293.33333333333451</v>
      </c>
      <c r="CY194" s="60">
        <f ca="1">AVERAGE(OFFSET($CX$3,0,0,'Données projet'!$E$13+1,1))-AVERAGE(OFFSET($H$3,0,0,'Données projet'!$E$13+1,1))</f>
        <v>226.5873967387837</v>
      </c>
      <c r="CZ194" s="60">
        <f t="shared" si="150"/>
        <v>188.57459946241204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-6.2527760746888816E-13</v>
      </c>
      <c r="DP194" s="18">
        <f>DO194*VLOOKUP('Données projet'!$B$14,Paramètres!$A$1:$I$89,3,0)*VLOOKUP('Données projet'!$B$14,Paramètres!$A$1:$I$89,5,0)</f>
        <v>-2.9262992029543964E-13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212.19771249416107</v>
      </c>
      <c r="DU194" s="60">
        <f t="shared" si="152"/>
        <v>125.93313963856127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52.41600000000021</v>
      </c>
      <c r="D195" s="12">
        <f t="shared" si="140"/>
        <v>15.235978301273084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522.22579741333766</v>
      </c>
      <c r="H195" s="68">
        <f t="shared" si="110"/>
        <v>374.49386220805098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-1.0401663530501537E-12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455.09463986470064</v>
      </c>
      <c r="T195" s="60">
        <f t="shared" si="142"/>
        <v>266.42568447709669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1.4210854715202004E-13</v>
      </c>
      <c r="AJ195" s="14">
        <f>AI195*VLOOKUP('Données projet'!$B$10,Paramètres!$A$1:$I$89,3,0)*VLOOKUP('Données projet'!$B$10,Paramètres!$A$1:$I$89,5,0)</f>
        <v>1.2192913345643319E-13</v>
      </c>
      <c r="AK195" s="14">
        <f t="shared" si="164"/>
        <v>1.7899324464546674E-12</v>
      </c>
      <c r="AL195" s="22">
        <f t="shared" si="165"/>
        <v>3.3298255850118335E-12</v>
      </c>
      <c r="AM195" s="60">
        <f t="shared" si="113"/>
        <v>293.33333333333667</v>
      </c>
      <c r="AN195" s="60">
        <f ca="1">AVERAGE(OFFSET($AM$3,0,0,'Données projet'!$E$10+1,1))-AVERAGE(OFFSET($H$3,0,0,'Données projet'!$E$10+1,1))</f>
        <v>201.39673092164992</v>
      </c>
      <c r="AO195" s="60">
        <f t="shared" si="144"/>
        <v>278.95637851890405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-1.7053025658242404E-13</v>
      </c>
      <c r="BE195" s="14">
        <f>BD195*VLOOKUP('Données projet'!$B$11,Paramètres!$A$1:$I$89,3,0)*VLOOKUP('Données projet'!$B$11,Paramètres!$A$1:$I$89,5,0)</f>
        <v>-1.7025740817189217E-13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123.29894837876157</v>
      </c>
      <c r="BJ195" s="60">
        <f t="shared" si="146"/>
        <v>103.52963511757127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-9.7986685432260874E-13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428.49602929661046</v>
      </c>
      <c r="CE195" s="60">
        <f t="shared" si="148"/>
        <v>252.32489414103878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3.813056537183002E-14</v>
      </c>
      <c r="CV195" s="14">
        <f t="shared" si="173"/>
        <v>6.4086286045526829E-13</v>
      </c>
      <c r="CW195" s="22">
        <f t="shared" si="174"/>
        <v>1.1825802166488628E-12</v>
      </c>
      <c r="CX195" s="60">
        <f t="shared" si="122"/>
        <v>293.33333333333451</v>
      </c>
      <c r="CY195" s="60">
        <f ca="1">AVERAGE(OFFSET($CX$3,0,0,'Données projet'!$E$13+1,1))-AVERAGE(OFFSET($H$3,0,0,'Données projet'!$E$13+1,1))</f>
        <v>226.5873967387837</v>
      </c>
      <c r="CZ195" s="60">
        <f t="shared" si="150"/>
        <v>188.57459946241204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-6.2527760746888816E-13</v>
      </c>
      <c r="DP195" s="18">
        <f>DO195*VLOOKUP('Données projet'!$B$14,Paramètres!$A$1:$I$89,3,0)*VLOOKUP('Données projet'!$B$14,Paramètres!$A$1:$I$89,5,0)</f>
        <v>-2.9262992029543964E-13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212.19771249416107</v>
      </c>
      <c r="DU195" s="60">
        <f t="shared" si="152"/>
        <v>125.93313963856127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52.689000000000213</v>
      </c>
      <c r="D196" s="12">
        <f t="shared" si="140"/>
        <v>15.306074329873265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524.87425798498828</v>
      </c>
      <c r="H196" s="68">
        <f t="shared" ref="H196:H203" si="192">(B196+E196+F196)*44/12+(C196+D196)*0.475*44/12</f>
        <v>375.09142112452963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-1.0401663530501537E-12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455.09463986470064</v>
      </c>
      <c r="T196" s="60">
        <f t="shared" si="142"/>
        <v>266.42568447709669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1.4210854715202004E-13</v>
      </c>
      <c r="AJ196" s="14">
        <f>AI196*VLOOKUP('Données projet'!$B$10,Paramètres!$A$1:$I$89,3,0)*VLOOKUP('Données projet'!$B$10,Paramètres!$A$1:$I$89,5,0)</f>
        <v>1.2192913345643319E-13</v>
      </c>
      <c r="AK196" s="14">
        <f t="shared" si="164"/>
        <v>1.7899324464546674E-12</v>
      </c>
      <c r="AL196" s="22">
        <f t="shared" si="165"/>
        <v>3.3298255850118335E-12</v>
      </c>
      <c r="AM196" s="60">
        <f t="shared" ref="AM196:AM203" si="193">AL196+(AD196+AE196)*44/12</f>
        <v>293.33333333333667</v>
      </c>
      <c r="AN196" s="60">
        <f ca="1">AVERAGE(OFFSET($AM$3,0,0,'Données projet'!$E$10+1,1))-AVERAGE(OFFSET($H$3,0,0,'Données projet'!$E$10+1,1))</f>
        <v>201.39673092164992</v>
      </c>
      <c r="AO196" s="60">
        <f t="shared" si="144"/>
        <v>278.95637851890405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-1.7053025658242404E-13</v>
      </c>
      <c r="BE196" s="14">
        <f>BD196*VLOOKUP('Données projet'!$B$11,Paramètres!$A$1:$I$89,3,0)*VLOOKUP('Données projet'!$B$11,Paramètres!$A$1:$I$89,5,0)</f>
        <v>-1.7025740817189217E-13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123.29894837876157</v>
      </c>
      <c r="BJ196" s="60">
        <f t="shared" si="146"/>
        <v>103.52963511757127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-9.7986685432260874E-13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428.49602929661046</v>
      </c>
      <c r="CE196" s="60">
        <f t="shared" si="148"/>
        <v>252.32489414103878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3.813056537183002E-14</v>
      </c>
      <c r="CV196" s="14">
        <f t="shared" si="173"/>
        <v>6.4086286045526829E-13</v>
      </c>
      <c r="CW196" s="22">
        <f t="shared" si="174"/>
        <v>1.1825802166488628E-12</v>
      </c>
      <c r="CX196" s="60">
        <f t="shared" ref="CX196:CX203" si="196">CW196+(CO196+CP196)*44/12</f>
        <v>293.33333333333451</v>
      </c>
      <c r="CY196" s="60">
        <f ca="1">AVERAGE(OFFSET($CX$3,0,0,'Données projet'!$E$13+1,1))-AVERAGE(OFFSET($H$3,0,0,'Données projet'!$E$13+1,1))</f>
        <v>226.5873967387837</v>
      </c>
      <c r="CZ196" s="60">
        <f t="shared" si="150"/>
        <v>188.57459946241204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-6.2527760746888816E-13</v>
      </c>
      <c r="DP196" s="18">
        <f>DO196*VLOOKUP('Données projet'!$B$14,Paramètres!$A$1:$I$89,3,0)*VLOOKUP('Données projet'!$B$14,Paramètres!$A$1:$I$89,5,0)</f>
        <v>-2.9262992029543964E-13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212.19771249416107</v>
      </c>
      <c r="DU196" s="60">
        <f t="shared" si="152"/>
        <v>125.93313963856127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52.962000000000216</v>
      </c>
      <c r="D197" s="12">
        <f t="shared" ref="D197:D203" si="202">IFERROR(EXP(-1.0587+0.8836*LN(C197)+0.284),0)</f>
        <v>15.376128095486935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527.52239231604119</v>
      </c>
      <c r="H197" s="68">
        <f t="shared" si="192"/>
        <v>375.68890643297345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-1.0401663530501537E-12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455.09463986470064</v>
      </c>
      <c r="T197" s="60">
        <f t="shared" ref="T197:T203" si="204">$T$3</f>
        <v>266.42568447709669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1.4210854715202004E-13</v>
      </c>
      <c r="AJ197" s="14">
        <f>AI197*VLOOKUP('Données projet'!$B$10,Paramètres!$A$1:$I$89,3,0)*VLOOKUP('Données projet'!$B$10,Paramètres!$A$1:$I$89,5,0)</f>
        <v>1.2192913345643319E-13</v>
      </c>
      <c r="AK197" s="14">
        <f t="shared" si="164"/>
        <v>1.7899324464546674E-12</v>
      </c>
      <c r="AL197" s="22">
        <f t="shared" si="165"/>
        <v>3.3298255850118335E-12</v>
      </c>
      <c r="AM197" s="60">
        <f t="shared" si="193"/>
        <v>293.33333333333667</v>
      </c>
      <c r="AN197" s="60">
        <f ca="1">AVERAGE(OFFSET($AM$3,0,0,'Données projet'!$E$10+1,1))-AVERAGE(OFFSET($H$3,0,0,'Données projet'!$E$10+1,1))</f>
        <v>201.39673092164992</v>
      </c>
      <c r="AO197" s="60">
        <f t="shared" ref="AO197:AO203" si="205">$AO$3</f>
        <v>278.95637851890405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-1.7053025658242404E-13</v>
      </c>
      <c r="BE197" s="14">
        <f>BD197*VLOOKUP('Données projet'!$B$11,Paramètres!$A$1:$I$89,3,0)*VLOOKUP('Données projet'!$B$11,Paramètres!$A$1:$I$89,5,0)</f>
        <v>-1.7025740817189217E-13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123.29894837876157</v>
      </c>
      <c r="BJ197" s="60">
        <f t="shared" ref="BJ197:BJ203" si="206">$BJ$3</f>
        <v>103.52963511757127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-9.7986685432260874E-13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428.49602929661046</v>
      </c>
      <c r="CE197" s="60">
        <f t="shared" ref="CE197:CE203" si="207">$CE$3</f>
        <v>252.32489414103878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3.813056537183002E-14</v>
      </c>
      <c r="CV197" s="14">
        <f t="shared" si="173"/>
        <v>6.4086286045526829E-13</v>
      </c>
      <c r="CW197" s="22">
        <f t="shared" si="174"/>
        <v>1.1825802166488628E-12</v>
      </c>
      <c r="CX197" s="60">
        <f t="shared" si="196"/>
        <v>293.33333333333451</v>
      </c>
      <c r="CY197" s="60">
        <f ca="1">AVERAGE(OFFSET($CX$3,0,0,'Données projet'!$E$13+1,1))-AVERAGE(OFFSET($H$3,0,0,'Données projet'!$E$13+1,1))</f>
        <v>226.5873967387837</v>
      </c>
      <c r="CZ197" s="60">
        <f t="shared" ref="CZ197:CZ203" si="208">$CZ$3</f>
        <v>188.57459946241204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-6.2527760746888816E-13</v>
      </c>
      <c r="DP197" s="18">
        <f>DO197*VLOOKUP('Données projet'!$B$14,Paramètres!$A$1:$I$89,3,0)*VLOOKUP('Données projet'!$B$14,Paramètres!$A$1:$I$89,5,0)</f>
        <v>-2.9262992029543964E-13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212.19771249416107</v>
      </c>
      <c r="DU197" s="60">
        <f t="shared" ref="DU197:DU203" si="209">$DU$3</f>
        <v>125.93313963856127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53.23500000000022</v>
      </c>
      <c r="D198" s="12">
        <f t="shared" si="202"/>
        <v>15.446139841251551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530.17020228334695</v>
      </c>
      <c r="H198" s="68">
        <f t="shared" si="192"/>
        <v>376.28631855684682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-1.0401663530501537E-12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455.09463986470064</v>
      </c>
      <c r="T198" s="60">
        <f t="shared" si="204"/>
        <v>266.42568447709669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1.4210854715202004E-13</v>
      </c>
      <c r="AJ198" s="14">
        <f>AI198*VLOOKUP('Données projet'!$B$10,Paramètres!$A$1:$I$89,3,0)*VLOOKUP('Données projet'!$B$10,Paramètres!$A$1:$I$89,5,0)</f>
        <v>1.2192913345643319E-13</v>
      </c>
      <c r="AK198" s="14">
        <f t="shared" si="164"/>
        <v>1.7899324464546674E-12</v>
      </c>
      <c r="AL198" s="22">
        <f t="shared" si="165"/>
        <v>3.3298255850118335E-12</v>
      </c>
      <c r="AM198" s="60">
        <f t="shared" si="193"/>
        <v>293.33333333333667</v>
      </c>
      <c r="AN198" s="60">
        <f ca="1">AVERAGE(OFFSET($AM$3,0,0,'Données projet'!$E$10+1,1))-AVERAGE(OFFSET($H$3,0,0,'Données projet'!$E$10+1,1))</f>
        <v>201.39673092164992</v>
      </c>
      <c r="AO198" s="60">
        <f t="shared" si="205"/>
        <v>278.95637851890405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-1.7053025658242404E-13</v>
      </c>
      <c r="BE198" s="14">
        <f>BD198*VLOOKUP('Données projet'!$B$11,Paramètres!$A$1:$I$89,3,0)*VLOOKUP('Données projet'!$B$11,Paramètres!$A$1:$I$89,5,0)</f>
        <v>-1.7025740817189217E-13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123.29894837876157</v>
      </c>
      <c r="BJ198" s="60">
        <f t="shared" si="206"/>
        <v>103.52963511757127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-9.7986685432260874E-13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428.49602929661046</v>
      </c>
      <c r="CE198" s="60">
        <f t="shared" si="207"/>
        <v>252.32489414103878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3.813056537183002E-14</v>
      </c>
      <c r="CV198" s="14">
        <f t="shared" si="173"/>
        <v>6.4086286045526829E-13</v>
      </c>
      <c r="CW198" s="22">
        <f t="shared" si="174"/>
        <v>1.1825802166488628E-12</v>
      </c>
      <c r="CX198" s="60">
        <f t="shared" si="196"/>
        <v>293.33333333333451</v>
      </c>
      <c r="CY198" s="60">
        <f ca="1">AVERAGE(OFFSET($CX$3,0,0,'Données projet'!$E$13+1,1))-AVERAGE(OFFSET($H$3,0,0,'Données projet'!$E$13+1,1))</f>
        <v>226.5873967387837</v>
      </c>
      <c r="CZ198" s="60">
        <f t="shared" si="208"/>
        <v>188.57459946241204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-6.2527760746888816E-13</v>
      </c>
      <c r="DP198" s="18">
        <f>DO198*VLOOKUP('Données projet'!$B$14,Paramètres!$A$1:$I$89,3,0)*VLOOKUP('Données projet'!$B$14,Paramètres!$A$1:$I$89,5,0)</f>
        <v>-2.9262992029543964E-13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212.19771249416107</v>
      </c>
      <c r="DU198" s="60">
        <f t="shared" si="209"/>
        <v>125.93313963856127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53.508000000000223</v>
      </c>
      <c r="D199" s="12">
        <f t="shared" si="202"/>
        <v>15.516109807666441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532.81768974339172</v>
      </c>
      <c r="H199" s="68">
        <f t="shared" si="192"/>
        <v>376.88365791501946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-1.0401663530501537E-12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455.09463986470064</v>
      </c>
      <c r="T199" s="60">
        <f t="shared" si="204"/>
        <v>266.42568447709669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1.4210854715202004E-13</v>
      </c>
      <c r="AJ199" s="14">
        <f>AI199*VLOOKUP('Données projet'!$B$10,Paramètres!$A$1:$I$89,3,0)*VLOOKUP('Données projet'!$B$10,Paramètres!$A$1:$I$89,5,0)</f>
        <v>1.2192913345643319E-13</v>
      </c>
      <c r="AK199" s="14">
        <f t="shared" si="164"/>
        <v>1.7899324464546674E-12</v>
      </c>
      <c r="AL199" s="22">
        <f t="shared" si="165"/>
        <v>3.3298255850118335E-12</v>
      </c>
      <c r="AM199" s="60">
        <f t="shared" si="193"/>
        <v>293.33333333333667</v>
      </c>
      <c r="AN199" s="60">
        <f ca="1">AVERAGE(OFFSET($AM$3,0,0,'Données projet'!$E$10+1,1))-AVERAGE(OFFSET($H$3,0,0,'Données projet'!$E$10+1,1))</f>
        <v>201.39673092164992</v>
      </c>
      <c r="AO199" s="60">
        <f t="shared" si="205"/>
        <v>278.95637851890405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-1.7053025658242404E-13</v>
      </c>
      <c r="BE199" s="14">
        <f>BD199*VLOOKUP('Données projet'!$B$11,Paramètres!$A$1:$I$89,3,0)*VLOOKUP('Données projet'!$B$11,Paramètres!$A$1:$I$89,5,0)</f>
        <v>-1.7025740817189217E-13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123.29894837876157</v>
      </c>
      <c r="BJ199" s="60">
        <f t="shared" si="206"/>
        <v>103.52963511757127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-9.7986685432260874E-13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428.49602929661046</v>
      </c>
      <c r="CE199" s="60">
        <f t="shared" si="207"/>
        <v>252.32489414103878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3.813056537183002E-14</v>
      </c>
      <c r="CV199" s="14">
        <f t="shared" si="173"/>
        <v>6.4086286045526829E-13</v>
      </c>
      <c r="CW199" s="22">
        <f t="shared" si="174"/>
        <v>1.1825802166488628E-12</v>
      </c>
      <c r="CX199" s="60">
        <f t="shared" si="196"/>
        <v>293.33333333333451</v>
      </c>
      <c r="CY199" s="60">
        <f ca="1">AVERAGE(OFFSET($CX$3,0,0,'Données projet'!$E$13+1,1))-AVERAGE(OFFSET($H$3,0,0,'Données projet'!$E$13+1,1))</f>
        <v>226.5873967387837</v>
      </c>
      <c r="CZ199" s="60">
        <f t="shared" si="208"/>
        <v>188.57459946241204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-6.2527760746888816E-13</v>
      </c>
      <c r="DP199" s="18">
        <f>DO199*VLOOKUP('Données projet'!$B$14,Paramètres!$A$1:$I$89,3,0)*VLOOKUP('Données projet'!$B$14,Paramètres!$A$1:$I$89,5,0)</f>
        <v>-2.9262992029543964E-13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212.19771249416107</v>
      </c>
      <c r="DU199" s="60">
        <f t="shared" si="209"/>
        <v>125.93313963856127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53.781000000000226</v>
      </c>
      <c r="D200" s="12">
        <f t="shared" si="202"/>
        <v>15.586038232634806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535.4648565326213</v>
      </c>
      <c r="H200" s="68">
        <f t="shared" si="192"/>
        <v>377.48092492183935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-1.0401663530501537E-12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455.09463986470064</v>
      </c>
      <c r="T200" s="60">
        <f t="shared" si="204"/>
        <v>266.42568447709669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1.4210854715202004E-13</v>
      </c>
      <c r="AJ200" s="14">
        <f>AI200*VLOOKUP('Données projet'!$B$10,Paramètres!$A$1:$I$89,3,0)*VLOOKUP('Données projet'!$B$10,Paramètres!$A$1:$I$89,5,0)</f>
        <v>1.2192913345643319E-13</v>
      </c>
      <c r="AK200" s="14">
        <f t="shared" si="164"/>
        <v>1.7899324464546674E-12</v>
      </c>
      <c r="AL200" s="22">
        <f t="shared" si="165"/>
        <v>3.3298255850118335E-12</v>
      </c>
      <c r="AM200" s="60">
        <f t="shared" si="193"/>
        <v>293.33333333333667</v>
      </c>
      <c r="AN200" s="60">
        <f ca="1">AVERAGE(OFFSET($AM$3,0,0,'Données projet'!$E$10+1,1))-AVERAGE(OFFSET($H$3,0,0,'Données projet'!$E$10+1,1))</f>
        <v>201.39673092164992</v>
      </c>
      <c r="AO200" s="60">
        <f t="shared" si="205"/>
        <v>278.95637851890405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-1.7053025658242404E-13</v>
      </c>
      <c r="BE200" s="14">
        <f>BD200*VLOOKUP('Données projet'!$B$11,Paramètres!$A$1:$I$89,3,0)*VLOOKUP('Données projet'!$B$11,Paramètres!$A$1:$I$89,5,0)</f>
        <v>-1.7025740817189217E-13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123.29894837876157</v>
      </c>
      <c r="BJ200" s="60">
        <f t="shared" si="206"/>
        <v>103.52963511757127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-9.7986685432260874E-13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428.49602929661046</v>
      </c>
      <c r="CE200" s="60">
        <f t="shared" si="207"/>
        <v>252.32489414103878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3.813056537183002E-14</v>
      </c>
      <c r="CV200" s="14">
        <f t="shared" si="173"/>
        <v>6.4086286045526829E-13</v>
      </c>
      <c r="CW200" s="22">
        <f t="shared" si="174"/>
        <v>1.1825802166488628E-12</v>
      </c>
      <c r="CX200" s="60">
        <f t="shared" si="196"/>
        <v>293.33333333333451</v>
      </c>
      <c r="CY200" s="60">
        <f ca="1">AVERAGE(OFFSET($CX$3,0,0,'Données projet'!$E$13+1,1))-AVERAGE(OFFSET($H$3,0,0,'Données projet'!$E$13+1,1))</f>
        <v>226.5873967387837</v>
      </c>
      <c r="CZ200" s="60">
        <f t="shared" si="208"/>
        <v>188.57459946241204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-6.2527760746888816E-13</v>
      </c>
      <c r="DP200" s="18">
        <f>DO200*VLOOKUP('Données projet'!$B$14,Paramètres!$A$1:$I$89,3,0)*VLOOKUP('Données projet'!$B$14,Paramètres!$A$1:$I$89,5,0)</f>
        <v>-2.9262992029543964E-13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212.19771249416107</v>
      </c>
      <c r="DU200" s="60">
        <f t="shared" si="209"/>
        <v>125.93313963856127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54.054000000000229</v>
      </c>
      <c r="D201" s="12">
        <f t="shared" si="202"/>
        <v>15.655925351504724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538.11170446775748</v>
      </c>
      <c r="H201" s="68">
        <f t="shared" si="192"/>
        <v>378.07811998720445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-1.0401663530501537E-12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455.09463986470064</v>
      </c>
      <c r="T201" s="60">
        <f t="shared" si="204"/>
        <v>266.42568447709669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1.4210854715202004E-13</v>
      </c>
      <c r="AJ201" s="14">
        <f>AI201*VLOOKUP('Données projet'!$B$10,Paramètres!$A$1:$I$89,3,0)*VLOOKUP('Données projet'!$B$10,Paramètres!$A$1:$I$89,5,0)</f>
        <v>1.2192913345643319E-13</v>
      </c>
      <c r="AK201" s="14">
        <f t="shared" si="164"/>
        <v>1.7899324464546674E-12</v>
      </c>
      <c r="AL201" s="22">
        <f t="shared" si="165"/>
        <v>3.3298255850118335E-12</v>
      </c>
      <c r="AM201" s="60">
        <f t="shared" si="193"/>
        <v>293.33333333333667</v>
      </c>
      <c r="AN201" s="60">
        <f ca="1">AVERAGE(OFFSET($AM$3,0,0,'Données projet'!$E$10+1,1))-AVERAGE(OFFSET($H$3,0,0,'Données projet'!$E$10+1,1))</f>
        <v>201.39673092164992</v>
      </c>
      <c r="AO201" s="60">
        <f t="shared" si="205"/>
        <v>278.95637851890405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-1.7053025658242404E-13</v>
      </c>
      <c r="BE201" s="14">
        <f>BD201*VLOOKUP('Données projet'!$B$11,Paramètres!$A$1:$I$89,3,0)*VLOOKUP('Données projet'!$B$11,Paramètres!$A$1:$I$89,5,0)</f>
        <v>-1.7025740817189217E-13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123.29894837876157</v>
      </c>
      <c r="BJ201" s="60">
        <f t="shared" si="206"/>
        <v>103.52963511757127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-9.7986685432260874E-13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428.49602929661046</v>
      </c>
      <c r="CE201" s="60">
        <f t="shared" si="207"/>
        <v>252.32489414103878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3.813056537183002E-14</v>
      </c>
      <c r="CV201" s="14">
        <f t="shared" si="173"/>
        <v>6.4086286045526829E-13</v>
      </c>
      <c r="CW201" s="22">
        <f t="shared" si="174"/>
        <v>1.1825802166488628E-12</v>
      </c>
      <c r="CX201" s="60">
        <f t="shared" si="196"/>
        <v>293.33333333333451</v>
      </c>
      <c r="CY201" s="60">
        <f ca="1">AVERAGE(OFFSET($CX$3,0,0,'Données projet'!$E$13+1,1))-AVERAGE(OFFSET($H$3,0,0,'Données projet'!$E$13+1,1))</f>
        <v>226.5873967387837</v>
      </c>
      <c r="CZ201" s="60">
        <f t="shared" si="208"/>
        <v>188.57459946241204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-6.2527760746888816E-13</v>
      </c>
      <c r="DP201" s="18">
        <f>DO201*VLOOKUP('Données projet'!$B$14,Paramètres!$A$1:$I$89,3,0)*VLOOKUP('Données projet'!$B$14,Paramètres!$A$1:$I$89,5,0)</f>
        <v>-2.9262992029543964E-13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212.19771249416107</v>
      </c>
      <c r="DU201" s="60">
        <f t="shared" si="209"/>
        <v>125.93313963856127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54.327000000000233</v>
      </c>
      <c r="D202" s="12">
        <f t="shared" si="202"/>
        <v>15.725771397109364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540.75823534610913</v>
      </c>
      <c r="H202" s="68">
        <f t="shared" si="192"/>
        <v>378.67524351663258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-1.0401663530501537E-12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455.09463986470064</v>
      </c>
      <c r="T202" s="60">
        <f t="shared" si="204"/>
        <v>266.42568447709669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1.4210854715202004E-13</v>
      </c>
      <c r="AJ202" s="14">
        <f>AI202*VLOOKUP('Données projet'!$B$10,Paramètres!$A$1:$I$89,3,0)*VLOOKUP('Données projet'!$B$10,Paramètres!$A$1:$I$89,5,0)</f>
        <v>1.2192913345643319E-13</v>
      </c>
      <c r="AK202" s="14">
        <f t="shared" si="164"/>
        <v>1.7899324464546674E-12</v>
      </c>
      <c r="AL202" s="22">
        <f t="shared" si="165"/>
        <v>3.3298255850118335E-12</v>
      </c>
      <c r="AM202" s="60">
        <f t="shared" si="193"/>
        <v>293.33333333333667</v>
      </c>
      <c r="AN202" s="60">
        <f ca="1">AVERAGE(OFFSET($AM$3,0,0,'Données projet'!$E$10+1,1))-AVERAGE(OFFSET($H$3,0,0,'Données projet'!$E$10+1,1))</f>
        <v>201.39673092164992</v>
      </c>
      <c r="AO202" s="60">
        <f t="shared" si="205"/>
        <v>278.95637851890405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-1.7053025658242404E-13</v>
      </c>
      <c r="BE202" s="14">
        <f>BD202*VLOOKUP('Données projet'!$B$11,Paramètres!$A$1:$I$89,3,0)*VLOOKUP('Données projet'!$B$11,Paramètres!$A$1:$I$89,5,0)</f>
        <v>-1.7025740817189217E-13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123.29894837876157</v>
      </c>
      <c r="BJ202" s="60">
        <f t="shared" si="206"/>
        <v>103.52963511757127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-9.7986685432260874E-13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428.49602929661046</v>
      </c>
      <c r="CE202" s="60">
        <f t="shared" si="207"/>
        <v>252.32489414103878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3.813056537183002E-14</v>
      </c>
      <c r="CV202" s="14">
        <f t="shared" si="173"/>
        <v>6.4086286045526829E-13</v>
      </c>
      <c r="CW202" s="22">
        <f t="shared" si="174"/>
        <v>1.1825802166488628E-12</v>
      </c>
      <c r="CX202" s="60">
        <f t="shared" si="196"/>
        <v>293.33333333333451</v>
      </c>
      <c r="CY202" s="60">
        <f ca="1">AVERAGE(OFFSET($CX$3,0,0,'Données projet'!$E$13+1,1))-AVERAGE(OFFSET($H$3,0,0,'Données projet'!$E$13+1,1))</f>
        <v>226.5873967387837</v>
      </c>
      <c r="CZ202" s="60">
        <f t="shared" si="208"/>
        <v>188.57459946241204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-6.2527760746888816E-13</v>
      </c>
      <c r="DP202" s="18">
        <f>DO202*VLOOKUP('Données projet'!$B$14,Paramètres!$A$1:$I$89,3,0)*VLOOKUP('Données projet'!$B$14,Paramètres!$A$1:$I$89,5,0)</f>
        <v>-2.9262992029543964E-13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212.19771249416107</v>
      </c>
      <c r="DU202" s="60">
        <f t="shared" si="209"/>
        <v>125.93313963856127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54.600000000000236</v>
      </c>
      <c r="D203" s="12">
        <f t="shared" si="202"/>
        <v>15.795576599806385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543.40445094587574</v>
      </c>
      <c r="H203" s="68">
        <f t="shared" si="192"/>
        <v>379.27229591132988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-1.0401663530501537E-12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455.09463986470064</v>
      </c>
      <c r="T203" s="60">
        <f t="shared" si="204"/>
        <v>266.42568447709669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1.4210854715202004E-13</v>
      </c>
      <c r="AJ203" s="14">
        <f>AI203*VLOOKUP('Données projet'!$B$10,Paramètres!$A$1:$I$89,3,0)*VLOOKUP('Données projet'!$B$10,Paramètres!$A$1:$I$89,5,0)</f>
        <v>1.2192913345643319E-13</v>
      </c>
      <c r="AK203" s="14">
        <f t="shared" si="164"/>
        <v>1.7899324464546674E-12</v>
      </c>
      <c r="AL203" s="22">
        <f t="shared" si="165"/>
        <v>3.3298255850118335E-12</v>
      </c>
      <c r="AM203" s="60">
        <f t="shared" si="193"/>
        <v>293.33333333333667</v>
      </c>
      <c r="AN203" s="60">
        <f ca="1">AVERAGE(OFFSET($AM$3,0,0,'Données projet'!$E$10+1,1))-AVERAGE(OFFSET($H$3,0,0,'Données projet'!$E$10+1,1))</f>
        <v>201.39673092164992</v>
      </c>
      <c r="AO203" s="60">
        <f t="shared" si="205"/>
        <v>278.95637851890405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-1.7053025658242404E-13</v>
      </c>
      <c r="BE203" s="14">
        <f>BD203*VLOOKUP('Données projet'!$B$11,Paramètres!$A$1:$I$89,3,0)*VLOOKUP('Données projet'!$B$11,Paramètres!$A$1:$I$89,5,0)</f>
        <v>-1.7025740817189217E-13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123.29894837876157</v>
      </c>
      <c r="BJ203" s="60">
        <f t="shared" si="206"/>
        <v>103.52963511757127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-9.7986685432260874E-13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428.49602929661046</v>
      </c>
      <c r="CE203" s="60">
        <f t="shared" si="207"/>
        <v>252.32489414103878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3.813056537183002E-14</v>
      </c>
      <c r="CV203" s="14">
        <f t="shared" si="173"/>
        <v>6.4086286045526829E-13</v>
      </c>
      <c r="CW203" s="22">
        <f t="shared" si="174"/>
        <v>1.1825802166488628E-12</v>
      </c>
      <c r="CX203" s="60">
        <f t="shared" si="196"/>
        <v>293.33333333333451</v>
      </c>
      <c r="CY203" s="60">
        <f ca="1">AVERAGE(OFFSET($CX$3,0,0,'Données projet'!$E$13+1,1))-AVERAGE(OFFSET($H$3,0,0,'Données projet'!$E$13+1,1))</f>
        <v>226.5873967387837</v>
      </c>
      <c r="CZ203" s="60">
        <f t="shared" si="208"/>
        <v>188.57459946241204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-6.2527760746888816E-13</v>
      </c>
      <c r="DP203" s="18">
        <f>DO203*VLOOKUP('Données projet'!$B$14,Paramètres!$A$1:$I$89,3,0)*VLOOKUP('Données projet'!$B$14,Paramètres!$A$1:$I$89,5,0)</f>
        <v>-2.9262992029543964E-13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212.19771249416107</v>
      </c>
      <c r="DU203" s="60">
        <f t="shared" si="209"/>
        <v>125.93313963856127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1.4581472360160126</v>
      </c>
      <c r="BA205" s="86">
        <f>EXP(LN('Données projet'!B88)/'Données projet'!A88)</f>
        <v>0.3</v>
      </c>
      <c r="BV205" s="86">
        <f>EXP(LN('Données projet'!B114)/'Données projet'!A114)</f>
        <v>1.2054868146447177</v>
      </c>
      <c r="CQ205" s="86">
        <f>EXP(LN('Données projet'!B140)/'Données projet'!A140)</f>
        <v>1.2583595963961556</v>
      </c>
      <c r="DL205" s="86">
        <f>EXP(LN('Données projet'!B166)/'Données projet'!A166)</f>
        <v>1.167092777711815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C14" sqref="C14:C18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31" zoomScale="85" zoomScaleNormal="85" workbookViewId="0">
      <selection activeCell="O12" sqref="O1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Cormier</v>
      </c>
      <c r="B6" s="153">
        <f>'Données projet'!D9</f>
        <v>1.012</v>
      </c>
      <c r="C6" s="154">
        <f ca="1">IF(OR('Données projet'!B9="",'Données projet'!C9="",'Données projet'!C9=0%),0,Calculateur!S3)</f>
        <v>455.09463986470064</v>
      </c>
      <c r="D6" s="154">
        <f>IF(OR('Données projet'!B9="",'Données projet'!C9="",'Données projet'!C9=0%),0,Calculateur!T3)</f>
        <v>266.42568447709669</v>
      </c>
      <c r="E6" s="154">
        <f ca="1">MIN(C6,D6)</f>
        <v>266.42568447709669</v>
      </c>
      <c r="F6" s="154">
        <f ca="1">E6*B6</f>
        <v>269.62279269082188</v>
      </c>
      <c r="G6" s="154">
        <f ca="1">F6*(100%-'Données projet'!$C$24)*(100%-'Données projet'!$C$25)*(100%-'Données projet'!$C$26)*(100%-'Données projet'!$C$27)</f>
        <v>206.26143640847874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7.3369999999999997</v>
      </c>
      <c r="K6" s="158">
        <f>J6*(100%-'Données projet'!$C$24)*(100%-'Données projet'!$C$25)*(100%-'Données projet'!$C$26)*(100%-'Données projet'!$C$27)</f>
        <v>5.6128049999999998</v>
      </c>
      <c r="L6" s="159">
        <f ca="1">G6+I6+K6</f>
        <v>211.87424140847875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Micocoulier de Provence</v>
      </c>
      <c r="B7" s="161">
        <f>'Données projet'!D10</f>
        <v>0.78200000000000003</v>
      </c>
      <c r="C7" s="154">
        <f ca="1">IF(OR('Données projet'!B10="",'Données projet'!C10="",'Données projet'!C10=0%),0,Calculateur!AN3)</f>
        <v>201.39673092164992</v>
      </c>
      <c r="D7" s="154">
        <f>IF(OR('Données projet'!B10="",'Données projet'!C10="",'Données projet'!C10=0%),0,Calculateur!AO3)</f>
        <v>278.95637851890405</v>
      </c>
      <c r="E7" s="154">
        <f t="shared" ref="E7:E15" ca="1" si="0">MIN(C7,D7)</f>
        <v>201.39673092164992</v>
      </c>
      <c r="F7" s="154">
        <f t="shared" ref="F7:F15" ca="1" si="1">E7*B7</f>
        <v>157.49224358073025</v>
      </c>
      <c r="G7" s="154">
        <f ca="1">F7*(100%-'Données projet'!$C$24)*(100%-'Données projet'!$C$25)*(100%-'Données projet'!$C$26)*(100%-'Données projet'!$C$27)</f>
        <v>120.48156633925865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1.37632</v>
      </c>
      <c r="K7" s="158">
        <f>J7*(100%-'Données projet'!$C$24)*(100%-'Données projet'!$C$25)*(100%-'Données projet'!$C$26)*(100%-'Données projet'!$C$27)</f>
        <v>1.0528848</v>
      </c>
      <c r="L7" s="159">
        <f t="shared" ref="L7:L15" ca="1" si="2">G7+I7+K7</f>
        <v>121.53445113925865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Chêne tauzin</v>
      </c>
      <c r="B8" s="161">
        <f>'Données projet'!D11</f>
        <v>0.91999999999999993</v>
      </c>
      <c r="C8" s="154">
        <f ca="1">IF(OR('Données projet'!B11="",'Données projet'!C11="",'Données projet'!C11=0%),0,Calculateur!BI3)</f>
        <v>123.29894837876157</v>
      </c>
      <c r="D8" s="154">
        <f>IF(OR('Données projet'!B11="",'Données projet'!C11="",'Données projet'!C11=0%),0,Calculateur!BJ3)</f>
        <v>103.52963511757127</v>
      </c>
      <c r="E8" s="154">
        <f t="shared" ca="1" si="0"/>
        <v>103.52963511757127</v>
      </c>
      <c r="F8" s="154">
        <f t="shared" ca="1" si="1"/>
        <v>95.247264308165569</v>
      </c>
      <c r="G8" s="154">
        <f ca="1">F8*(100%-'Données projet'!$C$24)*(100%-'Données projet'!$C$25)*(100%-'Données projet'!$C$26)*(100%-'Données projet'!$C$27)</f>
        <v>72.864157195746657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0.84141409398321565</v>
      </c>
      <c r="K8" s="158">
        <f>J8*(100%-'Données projet'!$C$24)*(100%-'Données projet'!$C$25)*(100%-'Données projet'!$C$26)*(100%-'Données projet'!$C$27)</f>
        <v>0.64368178189715997</v>
      </c>
      <c r="L8" s="159">
        <f t="shared" ca="1" si="2"/>
        <v>73.507838977643814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Chêne pubescent</v>
      </c>
      <c r="B9" s="161">
        <f>'Données projet'!D12</f>
        <v>0.41399999999999998</v>
      </c>
      <c r="C9" s="154">
        <f ca="1">IF(OR('Données projet'!B12="",'Données projet'!C12="",'Données projet'!C12=0%),0,Calculateur!CD3)</f>
        <v>428.49602929661046</v>
      </c>
      <c r="D9" s="154">
        <f>IF(OR('Données projet'!B12="",'Données projet'!C12="",'Données projet'!C12=0%),0,Calculateur!CE3)</f>
        <v>252.32489414103878</v>
      </c>
      <c r="E9" s="154">
        <f t="shared" ca="1" si="0"/>
        <v>252.32489414103878</v>
      </c>
      <c r="F9" s="154">
        <f t="shared" ca="1" si="1"/>
        <v>104.46250617439006</v>
      </c>
      <c r="G9" s="154">
        <f ca="1">F9*(100%-'Données projet'!$C$24)*(100%-'Données projet'!$C$25)*(100%-'Données projet'!$C$26)*(100%-'Données projet'!$C$27)</f>
        <v>79.913817223408387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3.0015000000000001</v>
      </c>
      <c r="K9" s="158">
        <f>J9*(100%-'Données projet'!$C$24)*(100%-'Données projet'!$C$25)*(100%-'Données projet'!$C$26)*(100%-'Données projet'!$C$27)</f>
        <v>2.2961475</v>
      </c>
      <c r="L9" s="159">
        <f t="shared" ca="1" si="2"/>
        <v>82.20996472340839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Tilleul</v>
      </c>
      <c r="B10" s="161">
        <f>'Données projet'!D13</f>
        <v>0.45999999999999996</v>
      </c>
      <c r="C10" s="154">
        <f ca="1">IF(OR('Données projet'!B13="",'Données projet'!C13="",'Données projet'!C13=0%),0,Calculateur!CY3)</f>
        <v>226.5873967387837</v>
      </c>
      <c r="D10" s="154">
        <f>IF(OR('Données projet'!B13="",'Données projet'!C13="",'Données projet'!C13=0%),0,Calculateur!CZ3)</f>
        <v>188.57459946241204</v>
      </c>
      <c r="E10" s="154">
        <f t="shared" ca="1" si="0"/>
        <v>188.57459946241204</v>
      </c>
      <c r="F10" s="154">
        <f t="shared" ca="1" si="1"/>
        <v>86.744315752709525</v>
      </c>
      <c r="G10" s="154">
        <f ca="1">F10*(100%-'Données projet'!$C$24)*(100%-'Données projet'!$C$25)*(100%-'Données projet'!$C$26)*(100%-'Données projet'!$C$27)</f>
        <v>66.359401550822795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5.0128205128205128</v>
      </c>
      <c r="K10" s="158">
        <f>J10*(100%-'Données projet'!$C$24)*(100%-'Données projet'!$C$25)*(100%-'Données projet'!$C$26)*(100%-'Données projet'!$C$27)</f>
        <v>3.8348076923076921</v>
      </c>
      <c r="L10" s="159">
        <f t="shared" ca="1" si="2"/>
        <v>70.194209243130487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Cèdre de l'Atlas</v>
      </c>
      <c r="B11" s="161">
        <f>'Données projet'!D14</f>
        <v>0.45999999999999996</v>
      </c>
      <c r="C11" s="154">
        <f ca="1">IF(OR('Données projet'!B14="",'Données projet'!C14="",'Données projet'!C14=0%),0,Calculateur!DT3)</f>
        <v>212.19771249416107</v>
      </c>
      <c r="D11" s="154">
        <f>IF(OR('Données projet'!B14="",'Données projet'!C14="",'Données projet'!C14=0%),0,Calculateur!DU3)</f>
        <v>125.93313963856127</v>
      </c>
      <c r="E11" s="154">
        <f t="shared" ca="1" si="0"/>
        <v>125.93313963856127</v>
      </c>
      <c r="F11" s="154">
        <f t="shared" ca="1" si="1"/>
        <v>57.929244233738181</v>
      </c>
      <c r="G11" s="154">
        <f ca="1">F11*(100%-'Données projet'!$C$24)*(100%-'Données projet'!$C$25)*(100%-'Données projet'!$C$26)*(100%-'Données projet'!$C$27)</f>
        <v>44.315871838809706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</v>
      </c>
      <c r="K11" s="158">
        <f>J11*(100%-'Données projet'!$C$24)*(100%-'Données projet'!$C$25)*(100%-'Données projet'!$C$26)*(100%-'Données projet'!$C$27)</f>
        <v>0</v>
      </c>
      <c r="L11" s="159">
        <f t="shared" ca="1" si="2"/>
        <v>44.315871838809706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4"/>
      <c r="B16" s="231"/>
      <c r="C16" s="232"/>
      <c r="D16" s="25"/>
      <c r="E16" s="25"/>
      <c r="F16" s="172">
        <f t="shared" ref="F16:L16" ca="1" si="3">SUM(F6:F15)</f>
        <v>771.49836674055553</v>
      </c>
      <c r="G16" s="173">
        <f t="shared" ca="1" si="3"/>
        <v>590.19625055652489</v>
      </c>
      <c r="H16" s="174">
        <f t="shared" si="3"/>
        <v>0</v>
      </c>
      <c r="I16" s="174">
        <f t="shared" si="3"/>
        <v>0</v>
      </c>
      <c r="J16" s="175">
        <f t="shared" si="3"/>
        <v>17.569054606803729</v>
      </c>
      <c r="K16" s="175">
        <f t="shared" si="3"/>
        <v>13.440326774204852</v>
      </c>
      <c r="L16" s="176">
        <f t="shared" ca="1" si="3"/>
        <v>603.63657733072978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4"/>
      <c r="B17" s="231"/>
      <c r="C17" s="232"/>
      <c r="D17" s="229"/>
      <c r="E17" s="229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4"/>
      <c r="B18" s="231"/>
      <c r="C18" s="232"/>
      <c r="D18" s="229"/>
      <c r="E18" s="229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Cormier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Micocoulier de Provence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Chêne tauzin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Chêne pubescent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Tilleul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Cèdre de l'Atlas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H1" zoomScale="70" zoomScaleNormal="70" workbookViewId="0">
      <selection activeCell="S38" sqref="S3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3" t="s">
        <v>315</v>
      </c>
      <c r="I4" s="323"/>
      <c r="K4" s="320" t="s">
        <v>253</v>
      </c>
      <c r="L4" s="321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1" t="s">
        <v>310</v>
      </c>
      <c r="S7" s="332"/>
      <c r="T7" s="332"/>
      <c r="U7" s="332"/>
      <c r="V7" s="333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Cormier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709.40710147359903</v>
      </c>
      <c r="U10" s="188">
        <f>'Données projet'!D9</f>
        <v>1.012</v>
      </c>
      <c r="V10" s="187">
        <f>U10*T10</f>
        <v>717.91998669128225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Micocoulier de Provence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1213.1560875057135</v>
      </c>
      <c r="U11" s="188">
        <f>'Données projet'!D10</f>
        <v>0.78200000000000003</v>
      </c>
      <c r="V11" s="187">
        <f t="shared" ref="V11" si="0">U11*T11</f>
        <v>948.68806042946801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Chêne tauzin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203.04822337926674</v>
      </c>
      <c r="U12" s="188">
        <f>'Données projet'!D11</f>
        <v>0.91999999999999993</v>
      </c>
      <c r="V12" s="187">
        <f t="shared" ref="V12:V19" si="1">U12*T12</f>
        <v>186.8043655089254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pubescent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709.40710147359903</v>
      </c>
      <c r="U13" s="188">
        <f>'Données projet'!D12</f>
        <v>0.41399999999999998</v>
      </c>
      <c r="V13" s="187">
        <f t="shared" si="1"/>
        <v>293.69454001007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Cormier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Tilleul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598.5388734637404</v>
      </c>
      <c r="U14" s="188">
        <f>'Données projet'!D13</f>
        <v>0.45999999999999996</v>
      </c>
      <c r="V14" s="187">
        <f t="shared" si="1"/>
        <v>275.32788179332056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9"/>
      <c r="G15" s="324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Cèdre de l'Atlas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643.89755362456219</v>
      </c>
      <c r="U15" s="188">
        <f>'Données projet'!D14</f>
        <v>0.45999999999999996</v>
      </c>
      <c r="V15" s="187">
        <f t="shared" si="1"/>
        <v>296.19287466729861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4"/>
      <c r="H16" s="201"/>
      <c r="I16" s="202"/>
      <c r="J16" s="214"/>
      <c r="K16" s="223"/>
      <c r="L16" s="320" t="s">
        <v>254</v>
      </c>
      <c r="M16" s="321"/>
      <c r="N16" s="2">
        <v>70</v>
      </c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4"/>
      <c r="J17" s="214"/>
      <c r="K17" s="223"/>
      <c r="L17" s="291" t="s">
        <v>289</v>
      </c>
      <c r="M17" s="293"/>
      <c r="N17" s="185">
        <f>VLOOKUP(N16,Calculateur!$A$2:$H$153,3,0)/VLOOKUP('Scénario référence'!$G$15,Paramètres!A1:I89,3,0)/VLOOKUP('Scénario référence'!$G$15,Paramètres!A1:I89,5,0)</f>
        <v>34.999999999999972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4"/>
      <c r="J18" s="214"/>
      <c r="K18" s="223"/>
      <c r="L18" s="291" t="s">
        <v>255</v>
      </c>
      <c r="M18" s="293"/>
      <c r="N18" s="203">
        <v>20</v>
      </c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4"/>
      <c r="H19" s="230" t="s">
        <v>178</v>
      </c>
      <c r="I19" s="230" t="s">
        <v>287</v>
      </c>
      <c r="J19" s="258"/>
      <c r="K19" s="181"/>
      <c r="L19" s="320" t="s">
        <v>288</v>
      </c>
      <c r="M19" s="321"/>
      <c r="N19" s="189">
        <f>N17*N18</f>
        <v>699.99999999999943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4"/>
      <c r="H20" s="201">
        <v>0</v>
      </c>
      <c r="I20" s="202">
        <v>7000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2"/>
      <c r="D23" s="192">
        <f>B23*C23</f>
        <v>0</v>
      </c>
      <c r="E23" s="204"/>
      <c r="F23" s="259"/>
      <c r="H23" s="201"/>
      <c r="I23" s="202"/>
      <c r="K23" s="223"/>
      <c r="L23" s="322" t="s">
        <v>260</v>
      </c>
      <c r="M23" s="322"/>
      <c r="N23" s="322"/>
      <c r="O23" s="25"/>
      <c r="P23" s="25"/>
      <c r="Q23" s="263"/>
      <c r="R23" s="25"/>
      <c r="S23" s="183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-29481.372290899631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0</v>
      </c>
      <c r="C24" s="202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147.81399005772823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29</v>
      </c>
      <c r="C25" s="202">
        <v>10</v>
      </c>
      <c r="D25" s="192">
        <f t="shared" si="2"/>
        <v>290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8">
        <f ca="1">T23-T24</f>
        <v>-29629.186280957361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0</v>
      </c>
      <c r="C26" s="202"/>
      <c r="D26" s="192">
        <f t="shared" si="2"/>
        <v>0</v>
      </c>
      <c r="E26" s="204"/>
      <c r="F26" s="262"/>
      <c r="G26" s="257"/>
      <c r="H26" s="201"/>
      <c r="I26" s="202"/>
      <c r="K26" s="223"/>
      <c r="L26" s="325" t="s">
        <v>258</v>
      </c>
      <c r="M26" s="326"/>
      <c r="N26" s="326"/>
      <c r="O26" s="326"/>
      <c r="P26" s="327"/>
      <c r="Q26" s="263"/>
      <c r="R26" s="25"/>
      <c r="S26" s="196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42</v>
      </c>
      <c r="C27" s="202">
        <v>10</v>
      </c>
      <c r="D27" s="192">
        <f t="shared" si="2"/>
        <v>420</v>
      </c>
      <c r="E27" s="204"/>
      <c r="F27" s="262"/>
      <c r="G27" s="257"/>
      <c r="H27" s="201"/>
      <c r="I27" s="202"/>
      <c r="K27" s="223"/>
      <c r="L27" s="328"/>
      <c r="M27" s="329"/>
      <c r="N27" s="329"/>
      <c r="O27" s="329"/>
      <c r="P27" s="330"/>
      <c r="Q27" s="263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0</v>
      </c>
      <c r="C28" s="202"/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42</v>
      </c>
      <c r="C29" s="202">
        <v>15</v>
      </c>
      <c r="D29" s="192">
        <f t="shared" si="2"/>
        <v>630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0</v>
      </c>
      <c r="C30" s="202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42</v>
      </c>
      <c r="C31" s="202">
        <v>20</v>
      </c>
      <c r="D31" s="192">
        <f t="shared" si="2"/>
        <v>840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0</v>
      </c>
      <c r="C32" s="202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42</v>
      </c>
      <c r="C33" s="202">
        <v>40</v>
      </c>
      <c r="D33" s="192">
        <f t="shared" si="2"/>
        <v>1680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0</v>
      </c>
      <c r="C34" s="202"/>
      <c r="D34" s="192">
        <f t="shared" si="2"/>
        <v>0</v>
      </c>
      <c r="E34" s="204"/>
      <c r="F34" s="262"/>
      <c r="G34" s="216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80</v>
      </c>
      <c r="B35" s="191">
        <f>'Données projet'!D48</f>
        <v>42</v>
      </c>
      <c r="C35" s="202">
        <v>60</v>
      </c>
      <c r="D35" s="192">
        <f t="shared" si="2"/>
        <v>2520</v>
      </c>
      <c r="E35" s="204"/>
      <c r="F35" s="262"/>
      <c r="G35" s="216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90</v>
      </c>
      <c r="B36" s="191">
        <f>'Données projet'!D49</f>
        <v>42</v>
      </c>
      <c r="C36" s="202">
        <v>80</v>
      </c>
      <c r="D36" s="192">
        <f t="shared" si="2"/>
        <v>3360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100</v>
      </c>
      <c r="B37" s="191">
        <f>'Données projet'!D50</f>
        <v>42</v>
      </c>
      <c r="C37" s="202">
        <v>100</v>
      </c>
      <c r="D37" s="192">
        <f t="shared" si="2"/>
        <v>4200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110</v>
      </c>
      <c r="B38" s="191">
        <f>'Données projet'!D51</f>
        <v>39</v>
      </c>
      <c r="C38" s="202">
        <v>110</v>
      </c>
      <c r="D38" s="192">
        <f t="shared" si="2"/>
        <v>4290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120</v>
      </c>
      <c r="B39" s="191">
        <f>'Données projet'!D52</f>
        <v>35</v>
      </c>
      <c r="C39" s="202">
        <v>130</v>
      </c>
      <c r="D39" s="192">
        <f t="shared" si="2"/>
        <v>4550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130</v>
      </c>
      <c r="B40" s="191">
        <f>'Données projet'!D53</f>
        <v>31</v>
      </c>
      <c r="C40" s="202">
        <v>150</v>
      </c>
      <c r="D40" s="192">
        <f t="shared" si="2"/>
        <v>4650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140</v>
      </c>
      <c r="B41" s="191">
        <f>'Données projet'!D54</f>
        <v>27</v>
      </c>
      <c r="C41" s="202">
        <v>200</v>
      </c>
      <c r="D41" s="192">
        <f t="shared" si="2"/>
        <v>5400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293</v>
      </c>
      <c r="C42" s="202">
        <v>200</v>
      </c>
      <c r="D42" s="192">
        <f t="shared" si="2"/>
        <v>58600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Micocoulier de Provence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8">
        <v>5</v>
      </c>
      <c r="B53" s="211" t="s">
        <v>132</v>
      </c>
      <c r="C53" s="202"/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11</v>
      </c>
      <c r="B54" s="191">
        <f>'Données projet'!D62</f>
        <v>7.0399999999999991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31</v>
      </c>
      <c r="B55" s="191">
        <f>'Données projet'!D63</f>
        <v>35.712000000000018</v>
      </c>
      <c r="C55" s="202">
        <v>20</v>
      </c>
      <c r="D55" s="189">
        <f t="shared" ref="D55:D73" si="4">B55*C55</f>
        <v>714.24000000000035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41</v>
      </c>
      <c r="B56" s="191">
        <f>'Données projet'!D64</f>
        <v>37.785600000000017</v>
      </c>
      <c r="C56" s="202">
        <v>20</v>
      </c>
      <c r="D56" s="189">
        <f t="shared" si="4"/>
        <v>755.71200000000033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51</v>
      </c>
      <c r="B57" s="191">
        <f>'Données projet'!D65</f>
        <v>37.601280000000003</v>
      </c>
      <c r="C57" s="202">
        <v>20</v>
      </c>
      <c r="D57" s="189">
        <f t="shared" si="4"/>
        <v>752.02560000000005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60</v>
      </c>
      <c r="B58" s="191">
        <f>'Données projet'!D66</f>
        <v>176.94720000000001</v>
      </c>
      <c r="C58" s="202">
        <v>80</v>
      </c>
      <c r="D58" s="189">
        <f t="shared" si="4"/>
        <v>14155.776000000002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0</v>
      </c>
      <c r="B59" s="191">
        <f>'Données projet'!D67</f>
        <v>0</v>
      </c>
      <c r="C59" s="202"/>
      <c r="D59" s="189">
        <f t="shared" si="4"/>
        <v>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0</v>
      </c>
      <c r="B60" s="191">
        <f>'Données projet'!D68</f>
        <v>0</v>
      </c>
      <c r="C60" s="202"/>
      <c r="D60" s="189">
        <f t="shared" si="4"/>
        <v>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0</v>
      </c>
      <c r="B61" s="191">
        <f>'Données projet'!D69</f>
        <v>0</v>
      </c>
      <c r="C61" s="202"/>
      <c r="D61" s="189">
        <f t="shared" si="4"/>
        <v>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0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Chêne tauzin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30</v>
      </c>
      <c r="B86" s="191">
        <f>'Données projet'!D89</f>
        <v>3.658322147753112</v>
      </c>
      <c r="C86" s="202">
        <v>20</v>
      </c>
      <c r="D86" s="189">
        <f t="shared" ref="D86:D104" si="6">B86*C86</f>
        <v>73.166442955062237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46</v>
      </c>
      <c r="B87" s="191">
        <f>'Données projet'!D90</f>
        <v>5.9350694187970658</v>
      </c>
      <c r="C87" s="202">
        <v>20</v>
      </c>
      <c r="D87" s="189">
        <f t="shared" si="6"/>
        <v>118.70138837594132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61</v>
      </c>
      <c r="B88" s="191">
        <f>'Données projet'!D91</f>
        <v>7.8564011781403069</v>
      </c>
      <c r="C88" s="202">
        <v>20</v>
      </c>
      <c r="D88" s="189">
        <f t="shared" si="6"/>
        <v>157.12802356280613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75</v>
      </c>
      <c r="B89" s="191">
        <f>'Données projet'!D92</f>
        <v>9.3672946007864581</v>
      </c>
      <c r="C89" s="202">
        <v>20</v>
      </c>
      <c r="D89" s="189">
        <f t="shared" si="6"/>
        <v>187.34589201572916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90</v>
      </c>
      <c r="B90" s="191">
        <f>'Données projet'!D93</f>
        <v>98.652289322929107</v>
      </c>
      <c r="C90" s="202">
        <v>80</v>
      </c>
      <c r="D90" s="189">
        <f t="shared" si="6"/>
        <v>7892.1831458343286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0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str">
        <f>IF(O93+1&lt;=MIN('Données projet'!$E$9:$E$18),O93+1,"STOP")</f>
        <v>STOP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Chêne pubescent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25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30</v>
      </c>
      <c r="B118" s="191">
        <f>'Données projet'!D116</f>
        <v>29</v>
      </c>
      <c r="C118" s="202">
        <v>10</v>
      </c>
      <c r="D118" s="189">
        <f t="shared" si="8"/>
        <v>290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35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40</v>
      </c>
      <c r="B120" s="191">
        <f>'Données projet'!D118</f>
        <v>42</v>
      </c>
      <c r="C120" s="202">
        <v>10</v>
      </c>
      <c r="D120" s="189">
        <f t="shared" si="8"/>
        <v>420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45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50</v>
      </c>
      <c r="B122" s="191">
        <f>'Données projet'!D120</f>
        <v>42</v>
      </c>
      <c r="C122" s="202">
        <v>15</v>
      </c>
      <c r="D122" s="189">
        <f t="shared" si="8"/>
        <v>630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55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60</v>
      </c>
      <c r="B124" s="191">
        <f>'Données projet'!D122</f>
        <v>42</v>
      </c>
      <c r="C124" s="202">
        <v>20</v>
      </c>
      <c r="D124" s="189">
        <f t="shared" si="8"/>
        <v>840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65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70</v>
      </c>
      <c r="B126" s="191">
        <f>'Données projet'!D124</f>
        <v>42</v>
      </c>
      <c r="C126" s="202">
        <v>40</v>
      </c>
      <c r="D126" s="189">
        <f t="shared" si="8"/>
        <v>1680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75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80</v>
      </c>
      <c r="B128" s="191">
        <f>'Données projet'!D126</f>
        <v>42</v>
      </c>
      <c r="C128" s="202">
        <v>60</v>
      </c>
      <c r="D128" s="189">
        <f t="shared" si="8"/>
        <v>2520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90</v>
      </c>
      <c r="B129" s="191">
        <f>'Données projet'!D127</f>
        <v>42</v>
      </c>
      <c r="C129" s="202">
        <v>80</v>
      </c>
      <c r="D129" s="189">
        <f t="shared" si="8"/>
        <v>3360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100</v>
      </c>
      <c r="B130" s="191">
        <f>'Données projet'!D128</f>
        <v>42</v>
      </c>
      <c r="C130" s="202">
        <v>100</v>
      </c>
      <c r="D130" s="189">
        <f t="shared" si="8"/>
        <v>4200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110</v>
      </c>
      <c r="B131" s="191">
        <f>'Données projet'!D129</f>
        <v>39</v>
      </c>
      <c r="C131" s="202">
        <v>110</v>
      </c>
      <c r="D131" s="189">
        <f t="shared" si="8"/>
        <v>4290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120</v>
      </c>
      <c r="B132" s="191">
        <f>'Données projet'!D130</f>
        <v>35</v>
      </c>
      <c r="C132" s="202">
        <v>130</v>
      </c>
      <c r="D132" s="189">
        <f t="shared" si="8"/>
        <v>4550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130</v>
      </c>
      <c r="B133" s="191">
        <f>'Données projet'!D131</f>
        <v>31</v>
      </c>
      <c r="C133" s="202">
        <v>150</v>
      </c>
      <c r="D133" s="189">
        <f t="shared" si="8"/>
        <v>4650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140</v>
      </c>
      <c r="B134" s="191">
        <f>'Données projet'!D132</f>
        <v>27</v>
      </c>
      <c r="C134" s="202">
        <v>200</v>
      </c>
      <c r="D134" s="189">
        <f t="shared" si="8"/>
        <v>5400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150</v>
      </c>
      <c r="B135" s="191">
        <f>'Données projet'!D133</f>
        <v>293</v>
      </c>
      <c r="C135" s="202">
        <v>200</v>
      </c>
      <c r="D135" s="189">
        <f t="shared" si="8"/>
        <v>58600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Tilleul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5">
        <f>'Données projet'!D140</f>
        <v>0</v>
      </c>
      <c r="C147" s="204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5">
        <f>'Données projet'!D141</f>
        <v>17.307692307692307</v>
      </c>
      <c r="C148" s="204">
        <v>10</v>
      </c>
      <c r="D148" s="192">
        <f t="shared" ref="D148:D166" si="10">B148*C148</f>
        <v>173.07692307692307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5">
        <f>'Données projet'!D142</f>
        <v>0</v>
      </c>
      <c r="C149" s="204"/>
      <c r="D149" s="192">
        <f t="shared" si="10"/>
        <v>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5">
        <f>'Données projet'!D143</f>
        <v>26.282051282051281</v>
      </c>
      <c r="C150" s="204">
        <v>10</v>
      </c>
      <c r="D150" s="192">
        <f t="shared" si="10"/>
        <v>262.82051282051282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5">
        <f>'Données projet'!D144</f>
        <v>0</v>
      </c>
      <c r="C151" s="204"/>
      <c r="D151" s="192">
        <f t="shared" si="10"/>
        <v>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5">
        <f>'Données projet'!D145</f>
        <v>28.205128205128204</v>
      </c>
      <c r="C152" s="204">
        <v>15</v>
      </c>
      <c r="D152" s="192">
        <f t="shared" si="10"/>
        <v>423.07692307692309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5">
        <f>'Données projet'!D146</f>
        <v>0</v>
      </c>
      <c r="C153" s="204"/>
      <c r="D153" s="192">
        <f t="shared" si="10"/>
        <v>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5">
        <f>'Données projet'!D147</f>
        <v>28.205128205128204</v>
      </c>
      <c r="C154" s="204">
        <v>20</v>
      </c>
      <c r="D154" s="192">
        <f t="shared" si="10"/>
        <v>564.10256410256409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5">
        <f>'Données projet'!D148</f>
        <v>0</v>
      </c>
      <c r="C155" s="204"/>
      <c r="D155" s="192">
        <f t="shared" si="10"/>
        <v>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5">
        <f>'Données projet'!D149</f>
        <v>26.282051282051281</v>
      </c>
      <c r="C156" s="204">
        <v>30</v>
      </c>
      <c r="D156" s="192">
        <f t="shared" si="10"/>
        <v>788.46153846153845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5">
        <f>'Données projet'!D150</f>
        <v>0</v>
      </c>
      <c r="C157" s="204"/>
      <c r="D157" s="192">
        <f t="shared" si="10"/>
        <v>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5">
        <f>'Données projet'!D151</f>
        <v>25</v>
      </c>
      <c r="C158" s="204">
        <v>40</v>
      </c>
      <c r="D158" s="192">
        <f t="shared" si="10"/>
        <v>1000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5">
        <f>'Données projet'!D152</f>
        <v>0</v>
      </c>
      <c r="C159" s="204"/>
      <c r="D159" s="192">
        <f t="shared" si="10"/>
        <v>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5">
        <f>'Données projet'!D153</f>
        <v>22.435897435897434</v>
      </c>
      <c r="C160" s="204">
        <v>50</v>
      </c>
      <c r="D160" s="192">
        <f t="shared" si="10"/>
        <v>1121.7948717948718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85</v>
      </c>
      <c r="B161" s="185">
        <f>'Données projet'!D154</f>
        <v>0</v>
      </c>
      <c r="C161" s="204"/>
      <c r="D161" s="192">
        <f t="shared" si="10"/>
        <v>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90</v>
      </c>
      <c r="B162" s="185">
        <f>'Données projet'!D155</f>
        <v>21.153846153846153</v>
      </c>
      <c r="C162" s="204">
        <v>60</v>
      </c>
      <c r="D162" s="192">
        <f t="shared" si="10"/>
        <v>1269.2307692307693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95</v>
      </c>
      <c r="B163" s="185">
        <f>'Données projet'!D156</f>
        <v>0</v>
      </c>
      <c r="C163" s="204"/>
      <c r="D163" s="192">
        <f t="shared" si="10"/>
        <v>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100</v>
      </c>
      <c r="B164" s="185">
        <f>'Données projet'!D157</f>
        <v>17.948717948717949</v>
      </c>
      <c r="C164" s="204">
        <v>65</v>
      </c>
      <c r="D164" s="192">
        <f t="shared" si="10"/>
        <v>1166.6666666666667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105</v>
      </c>
      <c r="B165" s="185">
        <f>'Données projet'!D158</f>
        <v>0</v>
      </c>
      <c r="C165" s="204"/>
      <c r="D165" s="192">
        <f t="shared" si="10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110</v>
      </c>
      <c r="B166" s="185">
        <f>'Données projet'!D159</f>
        <v>267.30769230769232</v>
      </c>
      <c r="C166" s="204">
        <v>70</v>
      </c>
      <c r="D166" s="192">
        <f t="shared" si="10"/>
        <v>18711.538461538461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Cèdre de l'Atlas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30</v>
      </c>
      <c r="B178" s="191">
        <f>'Données projet'!D166</f>
        <v>0</v>
      </c>
      <c r="C178" s="202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51</v>
      </c>
      <c r="B179" s="191">
        <f>'Données projet'!D167</f>
        <v>100</v>
      </c>
      <c r="C179" s="202">
        <v>15</v>
      </c>
      <c r="D179" s="189">
        <f t="shared" ref="D179:D197" si="11">B179*C179</f>
        <v>1500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63</v>
      </c>
      <c r="B180" s="191">
        <f>'Données projet'!D168</f>
        <v>108.46153846153845</v>
      </c>
      <c r="C180" s="202">
        <v>20</v>
      </c>
      <c r="D180" s="189">
        <f>B180*C180</f>
        <v>2169.2307692307691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75</v>
      </c>
      <c r="B181" s="191">
        <f>'Données projet'!D169</f>
        <v>85.384615384615415</v>
      </c>
      <c r="C181" s="202">
        <v>30</v>
      </c>
      <c r="D181" s="189">
        <f>B181*C181</f>
        <v>2561.5384615384623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87</v>
      </c>
      <c r="B182" s="191">
        <f>'Données projet'!D170</f>
        <v>83.076923076923038</v>
      </c>
      <c r="C182" s="202">
        <v>50</v>
      </c>
      <c r="D182" s="189">
        <f>B182*C182</f>
        <v>4153.8461538461515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99</v>
      </c>
      <c r="B183" s="191">
        <f>'Données projet'!D171</f>
        <v>198.46153846153845</v>
      </c>
      <c r="C183" s="202">
        <v>15</v>
      </c>
      <c r="D183" s="189">
        <f>B183*C183</f>
        <v>2976.9230769230767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109</v>
      </c>
      <c r="B184" s="191">
        <f>'Données projet'!D172</f>
        <v>256.15384615384613</v>
      </c>
      <c r="C184" s="202">
        <v>60</v>
      </c>
      <c r="D184" s="189">
        <f>B184*C184</f>
        <v>15369.230769230768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0</v>
      </c>
      <c r="B185" s="191">
        <f>'Données projet'!D173</f>
        <v>0</v>
      </c>
      <c r="C185" s="202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0</v>
      </c>
      <c r="B186" s="191">
        <f>'Données projet'!D174</f>
        <v>0</v>
      </c>
      <c r="C186" s="202"/>
      <c r="D186" s="189">
        <f>B186*C186</f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0</v>
      </c>
      <c r="B187" s="191">
        <f>'Données projet'!D175</f>
        <v>0</v>
      </c>
      <c r="C187" s="202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0</v>
      </c>
      <c r="B188" s="191">
        <f>'Données projet'!D176</f>
        <v>0</v>
      </c>
      <c r="C188" s="202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0</v>
      </c>
      <c r="B189" s="191">
        <f>'Données projet'!D177</f>
        <v>0</v>
      </c>
      <c r="C189" s="202"/>
      <c r="D189" s="189">
        <f>B189*C189</f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0</v>
      </c>
      <c r="B190" s="191">
        <f>'Données projet'!D178</f>
        <v>0</v>
      </c>
      <c r="C190" s="202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0</v>
      </c>
      <c r="B191" s="191">
        <f>'Données projet'!D179</f>
        <v>0</v>
      </c>
      <c r="C191" s="202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0</v>
      </c>
      <c r="B192" s="191">
        <f>'Données projet'!D180</f>
        <v>0</v>
      </c>
      <c r="C192" s="202"/>
      <c r="D192" s="189">
        <f>B192*C192</f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0</v>
      </c>
      <c r="B193" s="191">
        <f>'Données projet'!D181</f>
        <v>0</v>
      </c>
      <c r="C193" s="202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0</v>
      </c>
      <c r="B194" s="191">
        <f>'Données projet'!D182</f>
        <v>0</v>
      </c>
      <c r="C194" s="202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0</v>
      </c>
      <c r="B195" s="191">
        <f>'Données projet'!D183</f>
        <v>0</v>
      </c>
      <c r="C195" s="202"/>
      <c r="D195" s="189">
        <f>B195*C195</f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0</v>
      </c>
      <c r="B196" s="191">
        <f>'Données projet'!D184</f>
        <v>0</v>
      </c>
      <c r="C196" s="202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0</v>
      </c>
      <c r="B197" s="191">
        <f>'Données projet'!D185</f>
        <v>0</v>
      </c>
      <c r="C197" s="202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Hippolyte.Reignier</cp:lastModifiedBy>
  <dcterms:created xsi:type="dcterms:W3CDTF">2021-02-01T08:22:39Z</dcterms:created>
  <dcterms:modified xsi:type="dcterms:W3CDTF">2023-12-08T10:58:47Z</dcterms:modified>
</cp:coreProperties>
</file>