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Romain Gauget/"/>
    </mc:Choice>
  </mc:AlternateContent>
  <xr:revisionPtr revIDLastSave="40" documentId="13_ncr:1_{B40AFCC7-1658-4C37-A0F2-7CD553E0CD8D}" xr6:coauthVersionLast="47" xr6:coauthVersionMax="47" xr10:uidLastSave="{FA3FA04F-B929-4DA2-AEA6-7F23FD478132}"/>
  <bookViews>
    <workbookView minimized="1" xWindow="1480" yWindow="1480" windowWidth="14400" windowHeight="817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X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W20" i="2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HI28" i="2"/>
  <c r="HG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V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EC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I85" i="2"/>
  <c r="EV85" i="2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C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B113" i="2"/>
  <c r="HI113" i="2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FR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FS130" i="2"/>
  <c r="HG130" i="2"/>
  <c r="HH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W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FR145" i="2"/>
  <c r="HG145" i="2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Y154" i="2"/>
  <c r="HJ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AB156" i="2"/>
  <c r="HI156" i="2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D157" i="2" s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FS160" i="2"/>
  <c r="HG160" i="2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HH161" i="2"/>
  <c r="HG161" i="2"/>
  <c r="AB161" i="2"/>
  <c r="EA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Y161" i="2"/>
  <c r="HG162" i="2"/>
  <c r="EW162" i="2"/>
  <c r="DI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G163" i="2"/>
  <c r="ED162" i="2"/>
  <c r="EY162" i="2"/>
  <c r="EA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EX164" i="2"/>
  <c r="DI163" i="2"/>
  <c r="DH164" i="2"/>
  <c r="HH164" i="2"/>
  <c r="FR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HJ166" i="2"/>
  <c r="HH167" i="2"/>
  <c r="EX167" i="2"/>
  <c r="EA167" i="2"/>
  <c r="EB167" i="2"/>
  <c r="DG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DG168" i="2"/>
  <c r="DI167" i="2"/>
  <c r="HH168" i="2"/>
  <c r="HI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I172" i="2"/>
  <c r="HG172" i="2"/>
  <c r="EV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B175" i="2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G178" i="2"/>
  <c r="HH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HG179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A185" i="2"/>
  <c r="EW185" i="2"/>
  <c r="HI185" i="2"/>
  <c r="EV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HG186" i="2"/>
  <c r="HH186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EB189" i="2"/>
  <c r="AA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J189" i="2"/>
  <c r="EW190" i="2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Y191" i="2"/>
  <c r="HH192" i="2"/>
  <c r="HG192" i="2"/>
  <c r="EV192" i="2"/>
  <c r="EB192" i="2"/>
  <c r="EA192" i="2"/>
  <c r="EW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ED192" i="2"/>
  <c r="EA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EX195" i="2"/>
  <c r="EY194" i="2"/>
  <c r="DH195" i="2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FS197" i="2"/>
  <c r="EY196" i="2"/>
  <c r="AA197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HJ200" i="2"/>
  <c r="EA201" i="2"/>
  <c r="FS201" i="2"/>
  <c r="EB201" i="2"/>
  <c r="HG201" i="2"/>
  <c r="HH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HG202" i="2"/>
  <c r="HH202" i="2"/>
  <c r="EY201" i="2"/>
  <c r="EX202" i="2"/>
  <c r="HI202" i="2"/>
  <c r="FZ6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BC34" i="2" a="1"/>
  <c r="BC34" i="2" s="1"/>
  <c r="BC58" i="2" a="1"/>
  <c r="BC58" i="2" s="1"/>
  <c r="BC68" i="2" a="1"/>
  <c r="BC68" i="2" s="1"/>
  <c r="BC47" i="2" a="1"/>
  <c r="BC47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EI198" i="2" a="1"/>
  <c r="EI198" i="2" s="1"/>
  <c r="EI166" i="2" a="1"/>
  <c r="EI166" i="2" s="1"/>
  <c r="EI106" i="2" a="1"/>
  <c r="EI106" i="2" s="1"/>
  <c r="AH151" i="2" a="1"/>
  <c r="AH151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74" i="2" a="1"/>
  <c r="GT174" i="2" s="1"/>
  <c r="GT107" i="2" a="1"/>
  <c r="GT107" i="2" s="1"/>
  <c r="GT138" i="2" a="1"/>
  <c r="GT138" i="2" s="1"/>
  <c r="GT15" i="2" a="1"/>
  <c r="GT15" i="2" s="1"/>
  <c r="EI57" i="2" a="1"/>
  <c r="EI57" i="2" s="1"/>
  <c r="EI71" i="2" a="1"/>
  <c r="EI71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DN31" i="2" a="1"/>
  <c r="DN31" i="2" s="1"/>
  <c r="DN6" i="2" a="1"/>
  <c r="DN6" i="2" s="1"/>
  <c r="DO6" i="2" s="1"/>
  <c r="CS24" i="2" a="1"/>
  <c r="CS24" i="2" s="1"/>
  <c r="HJ202" i="2"/>
  <c r="AX200" i="2"/>
  <c r="FD194" i="2" l="1" a="1"/>
  <c r="FD194" i="2" s="1"/>
  <c r="GT198" i="2" a="1"/>
  <c r="GT198" i="2" s="1"/>
  <c r="GT21" i="2" a="1"/>
  <c r="GT21" i="2" s="1"/>
  <c r="GT12" i="2" a="1"/>
  <c r="GT12" i="2" s="1"/>
  <c r="GT11" i="2" a="1"/>
  <c r="GT11" i="2" s="1"/>
  <c r="GT189" i="2" a="1"/>
  <c r="GT189" i="2" s="1"/>
  <c r="GT102" i="2" a="1"/>
  <c r="GT102" i="2" s="1"/>
  <c r="GT147" i="2" a="1"/>
  <c r="GT147" i="2" s="1"/>
  <c r="GT191" i="2" a="1"/>
  <c r="GT191" i="2" s="1"/>
  <c r="GT152" i="2" a="1"/>
  <c r="GT152" i="2" s="1"/>
  <c r="GT38" i="2" a="1"/>
  <c r="GT38" i="2" s="1"/>
  <c r="GT33" i="2" a="1"/>
  <c r="GT33" i="2" s="1"/>
  <c r="GT126" i="2" a="1"/>
  <c r="GT126" i="2" s="1"/>
  <c r="GT121" i="2" a="1"/>
  <c r="GT121" i="2" s="1"/>
  <c r="GT74" i="2" a="1"/>
  <c r="GT74" i="2" s="1"/>
  <c r="GT190" i="2" a="1"/>
  <c r="GT190" i="2" s="1"/>
  <c r="GT122" i="2" a="1"/>
  <c r="GT122" i="2" s="1"/>
  <c r="GT178" i="2" a="1"/>
  <c r="GT178" i="2" s="1"/>
  <c r="GT51" i="2" a="1"/>
  <c r="GT51" i="2" s="1"/>
  <c r="EI153" i="2" a="1"/>
  <c r="EI153" i="2" s="1"/>
  <c r="EI36" i="2" a="1"/>
  <c r="EI36" i="2" s="1"/>
  <c r="EI87" i="2" a="1"/>
  <c r="EI87" i="2" s="1"/>
  <c r="EI109" i="2" a="1"/>
  <c r="EI109" i="2" s="1"/>
  <c r="EI38" i="2" a="1"/>
  <c r="EI38" i="2" s="1"/>
  <c r="EI195" i="2" a="1"/>
  <c r="EI195" i="2" s="1"/>
  <c r="EI37" i="2" a="1"/>
  <c r="EI37" i="2" s="1"/>
  <c r="EI142" i="2" a="1"/>
  <c r="EI142" i="2" s="1"/>
  <c r="EI113" i="2" a="1"/>
  <c r="EI113" i="2" s="1"/>
  <c r="EI178" i="2" a="1"/>
  <c r="EI178" i="2" s="1"/>
  <c r="EI128" i="2" a="1"/>
  <c r="EI128" i="2" s="1"/>
  <c r="EI145" i="2" a="1"/>
  <c r="EI145" i="2" s="1"/>
  <c r="EI20" i="2" a="1"/>
  <c r="EI20" i="2" s="1"/>
  <c r="EI162" i="2" a="1"/>
  <c r="EI162" i="2" s="1"/>
  <c r="EI34" i="2" a="1"/>
  <c r="EI34" i="2" s="1"/>
  <c r="EI150" i="2" a="1"/>
  <c r="EI150" i="2" s="1"/>
  <c r="EI165" i="2" a="1"/>
  <c r="EI165" i="2" s="1"/>
  <c r="EI29" i="2" a="1"/>
  <c r="EI29" i="2" s="1"/>
  <c r="FD19" i="2" a="1"/>
  <c r="FD19" i="2" s="1"/>
  <c r="FD137" i="2" a="1"/>
  <c r="FD137" i="2" s="1"/>
  <c r="FD82" i="2" a="1"/>
  <c r="FD82" i="2" s="1"/>
  <c r="FD187" i="2" a="1"/>
  <c r="FD187" i="2" s="1"/>
  <c r="FD160" i="2" a="1"/>
  <c r="FD160" i="2" s="1"/>
  <c r="FD107" i="2" a="1"/>
  <c r="FD107" i="2" s="1"/>
  <c r="FD131" i="2" a="1"/>
  <c r="FD131" i="2" s="1"/>
  <c r="FD43" i="2" a="1"/>
  <c r="FD43" i="2" s="1"/>
  <c r="FD64" i="2" a="1"/>
  <c r="FD64" i="2" s="1"/>
  <c r="FD48" i="2" a="1"/>
  <c r="FD48" i="2" s="1"/>
  <c r="FD44" i="2" a="1"/>
  <c r="FD44" i="2" s="1"/>
  <c r="HH203" i="2"/>
  <c r="HG203" i="2"/>
  <c r="GT133" i="2" a="1"/>
  <c r="GT133" i="2" s="1"/>
  <c r="FD167" i="2" a="1"/>
  <c r="FD167" i="2" s="1"/>
  <c r="FD59" i="2" a="1"/>
  <c r="FD59" i="2" s="1"/>
  <c r="FD144" i="2" a="1"/>
  <c r="FD144" i="2" s="1"/>
  <c r="FD189" i="2" a="1"/>
  <c r="FD189" i="2" s="1"/>
  <c r="FD14" i="2" a="1"/>
  <c r="FD14" i="2" s="1"/>
  <c r="FD188" i="2" a="1"/>
  <c r="FD188" i="2" s="1"/>
  <c r="FD60" i="2" a="1"/>
  <c r="FD60" i="2" s="1"/>
  <c r="FD159" i="2" a="1"/>
  <c r="FD159" i="2" s="1"/>
  <c r="DN66" i="2" a="1"/>
  <c r="DN66" i="2" s="1"/>
  <c r="DN152" i="2" a="1"/>
  <c r="DN152" i="2" s="1"/>
  <c r="DN168" i="2" a="1"/>
  <c r="DN168" i="2" s="1"/>
  <c r="CS77" i="2" a="1"/>
  <c r="CS77" i="2" s="1"/>
  <c r="BC82" i="2" a="1"/>
  <c r="BC82" i="2" s="1"/>
  <c r="FR203" i="2"/>
  <c r="BP203" i="2"/>
  <c r="FY109" i="2" a="1"/>
  <c r="FY109" i="2" s="1"/>
  <c r="DN177" i="2" a="1"/>
  <c r="DN177" i="2" s="1"/>
  <c r="FY164" i="2" a="1"/>
  <c r="FY164" i="2" s="1"/>
  <c r="DN103" i="2" a="1"/>
  <c r="DN103" i="2" s="1"/>
  <c r="FY143" i="2" a="1"/>
  <c r="FY143" i="2" s="1"/>
  <c r="FY121" i="2" a="1"/>
  <c r="FY121" i="2" s="1"/>
  <c r="FY191" i="2" a="1"/>
  <c r="FY191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88" i="2" a="1"/>
  <c r="DN188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86" i="2" a="1"/>
  <c r="DN186" i="2" s="1"/>
  <c r="FY35" i="2" a="1"/>
  <c r="FY35" i="2" s="1"/>
  <c r="DN135" i="2" a="1"/>
  <c r="DN135" i="2" s="1"/>
  <c r="CS129" i="2" a="1"/>
  <c r="CS129" i="2" s="1"/>
  <c r="FY174" i="2" a="1"/>
  <c r="FY174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33" i="2" a="1"/>
  <c r="FY133" i="2" s="1"/>
  <c r="FY86" i="2" a="1"/>
  <c r="FY86" i="2" s="1"/>
  <c r="FY79" i="2" a="1"/>
  <c r="FY79" i="2" s="1"/>
  <c r="FY58" i="2" a="1"/>
  <c r="FY58" i="2" s="1"/>
  <c r="FY29" i="2" a="1"/>
  <c r="FY29" i="2" s="1"/>
  <c r="FY24" i="2" a="1"/>
  <c r="FY24" i="2" s="1"/>
  <c r="FY167" i="2" a="1"/>
  <c r="FY167" i="2" s="1"/>
  <c r="FY110" i="2" a="1"/>
  <c r="FY110" i="2" s="1"/>
  <c r="CS114" i="2" a="1"/>
  <c r="CS114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FY188" i="2" a="1"/>
  <c r="FY188" i="2" s="1"/>
  <c r="DN115" i="2" a="1"/>
  <c r="DN115" i="2" s="1"/>
  <c r="FY149" i="2" a="1"/>
  <c r="FY149" i="2" s="1"/>
  <c r="FY47" i="2" a="1"/>
  <c r="FY47" i="2" s="1"/>
  <c r="DN176" i="2" a="1"/>
  <c r="DN176" i="2" s="1"/>
  <c r="DN153" i="2" a="1"/>
  <c r="DN153" i="2" s="1"/>
  <c r="CS105" i="2" a="1"/>
  <c r="CS105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6" i="2" a="1"/>
  <c r="DN16" i="2" s="1"/>
  <c r="DN41" i="2" a="1"/>
  <c r="DN41" i="2" s="1"/>
  <c r="FY126" i="2" a="1"/>
  <c r="FY126" i="2" s="1"/>
  <c r="DN46" i="2" a="1"/>
  <c r="DN46" i="2" s="1"/>
  <c r="DN114" i="2" a="1"/>
  <c r="DN114" i="2" s="1"/>
  <c r="FY140" i="2" a="1"/>
  <c r="FY140" i="2" s="1"/>
  <c r="FY28" i="2" a="1"/>
  <c r="FY28" i="2" s="1"/>
  <c r="DN164" i="2" a="1"/>
  <c r="DN164" i="2" s="1"/>
  <c r="DN137" i="2" a="1"/>
  <c r="DN137" i="2" s="1"/>
  <c r="FY78" i="2" a="1"/>
  <c r="FY78" i="2" s="1"/>
  <c r="DN190" i="2" a="1"/>
  <c r="DN190" i="2" s="1"/>
  <c r="DN170" i="2" a="1"/>
  <c r="DN170" i="2" s="1"/>
  <c r="FY124" i="2" a="1"/>
  <c r="FY124" i="2" s="1"/>
  <c r="BX107" i="2" a="1"/>
  <c r="BX107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ED203" i="2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59" i="2"/>
  <c r="GE158" i="2"/>
  <c r="GE193" i="2"/>
  <c r="GE194" i="2"/>
  <c r="GE33" i="2"/>
  <c r="GE59" i="2"/>
  <c r="GE105" i="2"/>
  <c r="GE156" i="2"/>
  <c r="GE74" i="2"/>
  <c r="GE162" i="2"/>
  <c r="GE69" i="2"/>
  <c r="GE185" i="2"/>
  <c r="GE21" i="2"/>
  <c r="GE187" i="2"/>
  <c r="GE95" i="2"/>
  <c r="GE115" i="2"/>
  <c r="GE35" i="2"/>
  <c r="GE12" i="2"/>
  <c r="GE109" i="2"/>
  <c r="GE130" i="2"/>
  <c r="GE34" i="2"/>
  <c r="GE18" i="2"/>
  <c r="GE149" i="2"/>
  <c r="GE160" i="2"/>
  <c r="GE152" i="2"/>
  <c r="GE62" i="2"/>
  <c r="GE153" i="2"/>
  <c r="GE49" i="2"/>
  <c r="GE31" i="2"/>
  <c r="GE40" i="2"/>
  <c r="GE131" i="2"/>
  <c r="GE113" i="2"/>
  <c r="GE86" i="2"/>
  <c r="GE39" i="2"/>
  <c r="GE26" i="2"/>
  <c r="GE36" i="2"/>
  <c r="GE79" i="2"/>
  <c r="GE114" i="2"/>
  <c r="GE68" i="2"/>
  <c r="GE139" i="2"/>
  <c r="GE167" i="2"/>
  <c r="GE15" i="2"/>
  <c r="GE186" i="2"/>
  <c r="GE144" i="2"/>
  <c r="GE142" i="2"/>
  <c r="GE22" i="2"/>
  <c r="GE138" i="2"/>
  <c r="GE179" i="2"/>
  <c r="GE140" i="2"/>
  <c r="GE183" i="2"/>
  <c r="GE106" i="2"/>
  <c r="GE32" i="2"/>
  <c r="GE172" i="2"/>
  <c r="GE100" i="2"/>
  <c r="GE170" i="2"/>
  <c r="GE146" i="2"/>
  <c r="GE164" i="2"/>
  <c r="GE173" i="2"/>
  <c r="GE190" i="2"/>
  <c r="GE27" i="2"/>
  <c r="GE119" i="2"/>
  <c r="GE161" i="2"/>
  <c r="GE44" i="2"/>
  <c r="GE154" i="2"/>
  <c r="GE165" i="2"/>
  <c r="GE171" i="2"/>
  <c r="GE75" i="2"/>
  <c r="GE61" i="2"/>
  <c r="GE93" i="2"/>
  <c r="GE197" i="2"/>
  <c r="GE88" i="2"/>
  <c r="GE178" i="2"/>
  <c r="GE9" i="2"/>
  <c r="GE57" i="2"/>
  <c r="GE17" i="2"/>
  <c r="GE47" i="2"/>
  <c r="GE143" i="2"/>
  <c r="GE73" i="2"/>
  <c r="GE70" i="2"/>
  <c r="GE188" i="2"/>
  <c r="GE54" i="2"/>
  <c r="GE85" i="2"/>
  <c r="GE7" i="2"/>
  <c r="GE98" i="2"/>
  <c r="GE71" i="2"/>
  <c r="GE82" i="2"/>
  <c r="GE103" i="2"/>
  <c r="GE81" i="2"/>
  <c r="GE127" i="2"/>
  <c r="GE65" i="2"/>
  <c r="GE151" i="2"/>
  <c r="GE116" i="2"/>
  <c r="GE16" i="2"/>
  <c r="GE110" i="2"/>
  <c r="GE195" i="2"/>
  <c r="GE55" i="2"/>
  <c r="GE189" i="2"/>
  <c r="GE96" i="2"/>
  <c r="GE176" i="2"/>
  <c r="GE63" i="2"/>
  <c r="GE48" i="2"/>
  <c r="GE112" i="2"/>
  <c r="GE203" i="2"/>
  <c r="GE111" i="2"/>
  <c r="GE99" i="2"/>
  <c r="GE196" i="2"/>
  <c r="GE13" i="2"/>
  <c r="GE123" i="2"/>
  <c r="GE84" i="2"/>
  <c r="GE157" i="2"/>
  <c r="GE53" i="2"/>
  <c r="GE175" i="2"/>
  <c r="GE191" i="2"/>
  <c r="GE4" i="2"/>
  <c r="GE94" i="2"/>
  <c r="GE42" i="2"/>
  <c r="GE3" i="2"/>
  <c r="C14" i="4" s="1"/>
  <c r="E14" i="4" s="1"/>
  <c r="F14" i="4" s="1"/>
  <c r="G14" i="4" s="1"/>
  <c r="L14" i="4" s="1"/>
  <c r="GE52" i="2"/>
  <c r="GE122" i="2"/>
  <c r="GE108" i="2"/>
  <c r="GE90" i="2"/>
  <c r="GE19" i="2"/>
  <c r="GE201" i="2"/>
  <c r="GE43" i="2"/>
  <c r="GE37" i="2"/>
  <c r="GE80" i="2"/>
  <c r="GE78" i="2"/>
  <c r="GE10" i="2"/>
  <c r="GE29" i="2"/>
  <c r="GE117" i="2"/>
  <c r="GE135" i="2"/>
  <c r="GE5" i="2"/>
  <c r="GE24" i="2"/>
  <c r="GE60" i="2"/>
  <c r="GE148" i="2"/>
  <c r="GE20" i="2"/>
  <c r="GE192" i="2"/>
  <c r="GE180" i="2"/>
  <c r="GE177" i="2"/>
  <c r="GE155" i="2"/>
  <c r="GE6" i="2"/>
  <c r="GE129" i="2"/>
  <c r="GE23" i="2"/>
  <c r="GE89" i="2"/>
  <c r="GE118" i="2"/>
  <c r="GE102" i="2"/>
  <c r="GE125" i="2"/>
  <c r="GE72" i="2"/>
  <c r="GE91" i="2"/>
  <c r="GE58" i="2"/>
  <c r="GE200" i="2"/>
  <c r="GE202" i="2"/>
  <c r="GE128" i="2"/>
  <c r="GE64" i="2"/>
  <c r="GE92" i="2"/>
  <c r="GE136" i="2"/>
  <c r="GE137" i="2"/>
  <c r="GE101" i="2"/>
  <c r="GE83" i="2"/>
  <c r="GE132" i="2"/>
  <c r="GE28" i="2"/>
  <c r="GE181" i="2"/>
  <c r="GE97" i="2"/>
  <c r="GE30" i="2"/>
  <c r="GE56" i="2"/>
  <c r="GE184" i="2"/>
  <c r="GE41" i="2"/>
  <c r="GE38" i="2"/>
  <c r="GE199" i="2"/>
  <c r="GE141" i="2"/>
  <c r="GE25" i="2"/>
  <c r="GE198" i="2"/>
  <c r="GE8" i="2"/>
  <c r="GE182" i="2"/>
  <c r="GE163" i="2"/>
  <c r="GE67" i="2"/>
  <c r="GE45" i="2"/>
  <c r="GE145" i="2"/>
  <c r="GE124" i="2"/>
  <c r="GE66" i="2"/>
  <c r="GE174" i="2"/>
  <c r="GE166" i="2"/>
  <c r="GE46" i="2"/>
  <c r="GE150" i="2"/>
  <c r="GE87" i="2"/>
  <c r="GE76" i="2"/>
  <c r="GE14" i="2"/>
  <c r="GE169" i="2"/>
  <c r="GE107" i="2"/>
  <c r="GE168" i="2"/>
  <c r="GE120" i="2"/>
  <c r="GE51" i="2"/>
  <c r="GE126" i="2"/>
  <c r="GE133" i="2"/>
  <c r="GE104" i="2"/>
  <c r="GE50" i="2"/>
  <c r="GE147" i="2"/>
  <c r="GE77" i="2"/>
  <c r="GE134" i="2"/>
  <c r="GE121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Z31" i="2" l="1"/>
  <c r="GZ8" i="2"/>
  <c r="GZ130" i="2"/>
  <c r="GZ76" i="2"/>
  <c r="GZ176" i="2"/>
  <c r="GZ28" i="2"/>
  <c r="GZ70" i="2"/>
  <c r="GZ74" i="2"/>
  <c r="GZ9" i="2"/>
  <c r="GZ58" i="2"/>
  <c r="GZ147" i="2"/>
  <c r="GZ32" i="2"/>
  <c r="GZ15" i="2"/>
  <c r="GZ140" i="2"/>
  <c r="GZ43" i="2"/>
  <c r="GZ93" i="2"/>
  <c r="GZ157" i="2"/>
  <c r="GZ35" i="2"/>
  <c r="GZ166" i="2"/>
  <c r="GZ200" i="2"/>
  <c r="GZ199" i="2"/>
  <c r="GZ75" i="2"/>
  <c r="GZ49" i="2"/>
  <c r="GZ138" i="2"/>
  <c r="GZ38" i="2"/>
  <c r="GZ72" i="2"/>
  <c r="GZ198" i="2"/>
  <c r="GZ102" i="2"/>
  <c r="GZ95" i="2"/>
  <c r="GZ150" i="2"/>
  <c r="GZ107" i="2"/>
  <c r="GZ16" i="2"/>
  <c r="GZ137" i="2"/>
  <c r="GZ103" i="2"/>
  <c r="GZ18" i="2"/>
  <c r="GZ156" i="2"/>
  <c r="GZ154" i="2"/>
  <c r="GZ99" i="2"/>
  <c r="GZ88" i="2"/>
  <c r="GZ79" i="2"/>
  <c r="GZ26" i="2"/>
  <c r="GZ80" i="2"/>
  <c r="GZ119" i="2"/>
  <c r="GZ29" i="2"/>
  <c r="GZ184" i="2"/>
  <c r="GZ160" i="2"/>
  <c r="GZ82" i="2"/>
  <c r="GZ124" i="2"/>
  <c r="GZ155" i="2"/>
  <c r="GZ173" i="2"/>
  <c r="GZ11" i="2"/>
  <c r="GZ77" i="2"/>
  <c r="GZ192" i="2"/>
  <c r="GZ53" i="2"/>
  <c r="GZ182" i="2"/>
  <c r="GZ125" i="2"/>
  <c r="GZ153" i="2"/>
  <c r="GZ148" i="2"/>
  <c r="GZ87" i="2"/>
  <c r="GZ165" i="2"/>
  <c r="GZ65" i="2"/>
  <c r="GZ60" i="2"/>
  <c r="GZ183" i="2"/>
  <c r="GZ178" i="2"/>
  <c r="GZ90" i="2"/>
  <c r="GZ23" i="2"/>
  <c r="GZ39" i="2"/>
  <c r="GZ12" i="2"/>
  <c r="GZ191" i="2"/>
  <c r="GZ189" i="2"/>
  <c r="GZ161" i="2"/>
  <c r="GZ69" i="2"/>
  <c r="GZ185" i="2"/>
  <c r="GZ21" i="2"/>
  <c r="GZ108" i="2"/>
  <c r="GZ169" i="2"/>
  <c r="GZ121" i="2"/>
  <c r="GZ45" i="2"/>
  <c r="GZ41" i="2"/>
  <c r="GZ134" i="2"/>
  <c r="GZ142" i="2"/>
  <c r="GZ111" i="2"/>
  <c r="GZ89" i="2"/>
  <c r="GZ6" i="2"/>
  <c r="GZ146" i="2"/>
  <c r="GZ174" i="2"/>
  <c r="GZ22" i="2"/>
  <c r="GZ152" i="2"/>
  <c r="GZ172" i="2"/>
  <c r="GZ46" i="2"/>
  <c r="GZ118" i="2"/>
  <c r="GZ36" i="2"/>
  <c r="GZ4" i="2"/>
  <c r="GZ97" i="2"/>
  <c r="GZ10" i="2"/>
  <c r="GZ37" i="2"/>
  <c r="GZ179" i="2"/>
  <c r="GZ144" i="2"/>
  <c r="GZ40" i="2"/>
  <c r="GZ56" i="2"/>
  <c r="GZ85" i="2"/>
  <c r="GZ117" i="2"/>
  <c r="GZ33" i="2"/>
  <c r="GZ115" i="2"/>
  <c r="GZ19" i="2"/>
  <c r="GZ84" i="2"/>
  <c r="GZ63" i="2"/>
  <c r="GZ13" i="2"/>
  <c r="GZ164" i="2"/>
  <c r="GZ71" i="2"/>
  <c r="GZ186" i="2"/>
  <c r="GZ129" i="2"/>
  <c r="GZ175" i="2"/>
  <c r="GZ201" i="2"/>
  <c r="GZ143" i="2"/>
  <c r="GZ47" i="2"/>
  <c r="GZ190" i="2"/>
  <c r="GZ101" i="2"/>
  <c r="GZ20" i="2"/>
  <c r="GZ196" i="2"/>
  <c r="GZ52" i="2"/>
  <c r="GZ127" i="2"/>
  <c r="GZ50" i="2"/>
  <c r="GZ110" i="2"/>
  <c r="GZ68" i="2"/>
  <c r="GZ136" i="2"/>
  <c r="GZ188" i="2"/>
  <c r="GZ135" i="2"/>
  <c r="GZ55" i="2"/>
  <c r="GZ83" i="2"/>
  <c r="GZ126" i="2"/>
  <c r="GZ167" i="2"/>
  <c r="GZ193" i="2"/>
  <c r="GZ54" i="2"/>
  <c r="GZ109" i="2"/>
  <c r="GZ145" i="2"/>
  <c r="GZ203" i="2"/>
  <c r="GZ86" i="2"/>
  <c r="GZ112" i="2"/>
  <c r="GZ96" i="2"/>
  <c r="GZ92" i="2"/>
  <c r="GZ128" i="2"/>
  <c r="GZ27" i="2"/>
  <c r="GZ14" i="2"/>
  <c r="GZ158" i="2"/>
  <c r="GZ131" i="2"/>
  <c r="GZ42" i="2"/>
  <c r="GZ17" i="2"/>
  <c r="GZ168" i="2"/>
  <c r="GZ149" i="2"/>
  <c r="GZ25" i="2"/>
  <c r="GZ30" i="2"/>
  <c r="GZ7" i="2"/>
  <c r="GZ171" i="2"/>
  <c r="GZ61" i="2"/>
  <c r="GZ197" i="2"/>
  <c r="GZ194" i="2"/>
  <c r="GZ114" i="2"/>
  <c r="GZ120" i="2"/>
  <c r="GZ170" i="2"/>
  <c r="GZ195" i="2"/>
  <c r="GZ116" i="2"/>
  <c r="GZ62" i="2"/>
  <c r="GZ177" i="2"/>
  <c r="GZ141" i="2"/>
  <c r="GZ81" i="2"/>
  <c r="GZ98" i="2"/>
  <c r="GZ104" i="2"/>
  <c r="GZ106" i="2"/>
  <c r="GZ100" i="2"/>
  <c r="GZ105" i="2"/>
  <c r="GZ162" i="2"/>
  <c r="GZ94" i="2"/>
  <c r="GZ24" i="2"/>
  <c r="GZ159" i="2"/>
  <c r="GZ51" i="2"/>
  <c r="GZ151" i="2"/>
  <c r="GZ48" i="2"/>
  <c r="GZ59" i="2"/>
  <c r="GZ122" i="2"/>
  <c r="GZ187" i="2"/>
  <c r="GZ133" i="2"/>
  <c r="GZ123" i="2"/>
  <c r="GZ113" i="2"/>
  <c r="GZ132" i="2"/>
  <c r="GZ181" i="2"/>
  <c r="GZ34" i="2"/>
  <c r="GZ73" i="2"/>
  <c r="GZ202" i="2"/>
  <c r="GZ44" i="2"/>
  <c r="GZ139" i="2"/>
  <c r="GZ66" i="2"/>
  <c r="GZ57" i="2"/>
  <c r="GZ163" i="2"/>
  <c r="GZ91" i="2"/>
  <c r="GZ67" i="2"/>
  <c r="GZ180" i="2"/>
  <c r="GZ64" i="2"/>
  <c r="GZ78" i="2"/>
  <c r="GZ5" i="2"/>
  <c r="GZ3" i="2"/>
  <c r="C15" i="4" s="1"/>
  <c r="E15" i="4" s="1"/>
  <c r="F15" i="4" s="1"/>
  <c r="G15" i="4" s="1"/>
  <c r="L15" i="4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EO26" i="2" l="1"/>
  <c r="EO30" i="2"/>
  <c r="EO82" i="2"/>
  <c r="EO183" i="2"/>
  <c r="EO100" i="2"/>
  <c r="EO12" i="2"/>
  <c r="EO33" i="2"/>
  <c r="EO130" i="2"/>
  <c r="EO7" i="2"/>
  <c r="EO52" i="2"/>
  <c r="EO146" i="2"/>
  <c r="EO200" i="2"/>
  <c r="EO102" i="2"/>
  <c r="EO35" i="2"/>
  <c r="EO187" i="2"/>
  <c r="EO31" i="2"/>
  <c r="EO163" i="2"/>
  <c r="EO197" i="2"/>
  <c r="EO203" i="2"/>
  <c r="EO176" i="2"/>
  <c r="EO74" i="2"/>
  <c r="EO143" i="2"/>
  <c r="EO202" i="2"/>
  <c r="EO88" i="2"/>
  <c r="EO42" i="2"/>
  <c r="EO51" i="2"/>
  <c r="EO125" i="2"/>
  <c r="EO169" i="2"/>
  <c r="EO142" i="2"/>
  <c r="EO156" i="2"/>
  <c r="EO121" i="2"/>
  <c r="EO71" i="2"/>
  <c r="EO62" i="2"/>
  <c r="EO144" i="2"/>
  <c r="EO132" i="2"/>
  <c r="EO98" i="2"/>
  <c r="EO75" i="2"/>
  <c r="EO181" i="2"/>
  <c r="EO201" i="2"/>
  <c r="EO152" i="2"/>
  <c r="EO20" i="2"/>
  <c r="EO72" i="2"/>
  <c r="EO108" i="2"/>
  <c r="EO41" i="2"/>
  <c r="EO126" i="2"/>
  <c r="EO17" i="2"/>
  <c r="EO39" i="2"/>
  <c r="EO63" i="2"/>
  <c r="EO160" i="2"/>
  <c r="EO196" i="2"/>
  <c r="EO29" i="2"/>
  <c r="EO114" i="2"/>
  <c r="EO58" i="2"/>
  <c r="EO194" i="2"/>
  <c r="EO122" i="2"/>
  <c r="EO105" i="2"/>
  <c r="EO190" i="2"/>
  <c r="EO164" i="2"/>
  <c r="EO104" i="2"/>
  <c r="EO10" i="2"/>
  <c r="EO49" i="2"/>
  <c r="EO61" i="2"/>
  <c r="EO76" i="2"/>
  <c r="EO77" i="2"/>
  <c r="EO93" i="2"/>
  <c r="EO116" i="2"/>
  <c r="EO13" i="2"/>
  <c r="EO162" i="2"/>
  <c r="EO18" i="2"/>
  <c r="EO45" i="2"/>
  <c r="EO57" i="2"/>
  <c r="EO78" i="2"/>
  <c r="EO22" i="2"/>
  <c r="EO14" i="2"/>
  <c r="EO40" i="2"/>
  <c r="EO9" i="2"/>
  <c r="EO179" i="2"/>
  <c r="EO110" i="2"/>
  <c r="EO171" i="2"/>
  <c r="EO173" i="2"/>
  <c r="EO192" i="2"/>
  <c r="EO178" i="2"/>
  <c r="EO150" i="2"/>
  <c r="EO158" i="2"/>
  <c r="EO85" i="2"/>
  <c r="EO90" i="2"/>
  <c r="EO111" i="2"/>
  <c r="EO128" i="2"/>
  <c r="EO34" i="2"/>
  <c r="EO50" i="2"/>
  <c r="EO56" i="2"/>
  <c r="EO182" i="2"/>
  <c r="EO140" i="2"/>
  <c r="EO167" i="2"/>
  <c r="EO97" i="2"/>
  <c r="EO79" i="2"/>
  <c r="EO4" i="2"/>
  <c r="EO21" i="2"/>
  <c r="EO19" i="2"/>
  <c r="EO174" i="2"/>
  <c r="EO16" i="2"/>
  <c r="EO55" i="2"/>
  <c r="EO177" i="2"/>
  <c r="EO137" i="2"/>
  <c r="EO86" i="2"/>
  <c r="EO15" i="2"/>
  <c r="EO84" i="2"/>
  <c r="EO3" i="2"/>
  <c r="C12" i="4" s="1"/>
  <c r="E12" i="4" s="1"/>
  <c r="F12" i="4" s="1"/>
  <c r="G12" i="4" s="1"/>
  <c r="L12" i="4" s="1"/>
  <c r="EO87" i="2"/>
  <c r="EO184" i="2"/>
  <c r="EO67" i="2"/>
  <c r="EO155" i="2"/>
  <c r="EO103" i="2"/>
  <c r="EO101" i="2"/>
  <c r="EO69" i="2"/>
  <c r="EO185" i="2"/>
  <c r="EO148" i="2"/>
  <c r="EO44" i="2"/>
  <c r="EO133" i="2"/>
  <c r="EO92" i="2"/>
  <c r="EO119" i="2"/>
  <c r="EO120" i="2"/>
  <c r="EO170" i="2"/>
  <c r="EO186" i="2"/>
  <c r="EO153" i="2"/>
  <c r="EO165" i="2"/>
  <c r="EO80" i="2"/>
  <c r="EO135" i="2"/>
  <c r="EO129" i="2"/>
  <c r="EO36" i="2"/>
  <c r="EO175" i="2"/>
  <c r="EO191" i="2"/>
  <c r="EO46" i="2"/>
  <c r="EO99" i="2"/>
  <c r="EO38" i="2"/>
  <c r="EO59" i="2"/>
  <c r="EO131" i="2"/>
  <c r="EO53" i="2"/>
  <c r="EO48" i="2"/>
  <c r="EO168" i="2"/>
  <c r="EO47" i="2"/>
  <c r="EO64" i="2"/>
  <c r="EO96" i="2"/>
  <c r="EO166" i="2"/>
  <c r="EO134" i="2"/>
  <c r="EO11" i="2"/>
  <c r="EO107" i="2"/>
  <c r="EO23" i="2"/>
  <c r="EO65" i="2"/>
  <c r="EO115" i="2"/>
  <c r="EO28" i="2"/>
  <c r="EO139" i="2"/>
  <c r="EO118" i="2"/>
  <c r="EO37" i="2"/>
  <c r="EO151" i="2"/>
  <c r="EO25" i="2"/>
  <c r="EO60" i="2"/>
  <c r="EO195" i="2"/>
  <c r="EO8" i="2"/>
  <c r="EO159" i="2"/>
  <c r="EO172" i="2"/>
  <c r="EO188" i="2"/>
  <c r="EO68" i="2"/>
  <c r="EO147" i="2"/>
  <c r="EO141" i="2"/>
  <c r="EO123" i="2"/>
  <c r="EO109" i="2"/>
  <c r="EO81" i="2"/>
  <c r="EO154" i="2"/>
  <c r="EO117" i="2"/>
  <c r="EO83" i="2"/>
  <c r="EO5" i="2"/>
  <c r="EO193" i="2"/>
  <c r="EO145" i="2"/>
  <c r="EO149" i="2"/>
  <c r="EO66" i="2"/>
  <c r="EO54" i="2"/>
  <c r="EO95" i="2"/>
  <c r="EO32" i="2"/>
  <c r="EO157" i="2"/>
  <c r="EO127" i="2"/>
  <c r="EO94" i="2"/>
  <c r="EO73" i="2"/>
  <c r="EO24" i="2"/>
  <c r="EO89" i="2"/>
  <c r="EO189" i="2"/>
  <c r="EO113" i="2"/>
  <c r="EO199" i="2"/>
  <c r="EO136" i="2"/>
  <c r="EO161" i="2"/>
  <c r="EO112" i="2"/>
  <c r="EO6" i="2"/>
  <c r="EO70" i="2"/>
  <c r="EO106" i="2"/>
  <c r="EO27" i="2"/>
  <c r="EO198" i="2"/>
  <c r="EO43" i="2"/>
  <c r="EO91" i="2"/>
  <c r="EO138" i="2"/>
  <c r="EO180" i="2"/>
  <c r="EO124" i="2"/>
  <c r="DT101" i="2"/>
  <c r="DT13" i="2"/>
  <c r="DT80" i="2"/>
  <c r="DT111" i="2"/>
  <c r="DT153" i="2"/>
  <c r="DT20" i="2"/>
  <c r="DT159" i="2"/>
  <c r="DT171" i="2"/>
  <c r="DT167" i="2"/>
  <c r="DT95" i="2"/>
  <c r="DT92" i="2"/>
  <c r="DT29" i="2"/>
  <c r="DT88" i="2"/>
  <c r="DT8" i="2"/>
  <c r="DT105" i="2"/>
  <c r="DT56" i="2"/>
  <c r="DT17" i="2"/>
  <c r="DT180" i="2"/>
  <c r="DT27" i="2"/>
  <c r="DT74" i="2"/>
  <c r="DT161" i="2"/>
  <c r="DT144" i="2"/>
  <c r="DT15" i="2"/>
  <c r="DT68" i="2"/>
  <c r="DT104" i="2"/>
  <c r="DT181" i="2"/>
  <c r="DT24" i="2"/>
  <c r="DT97" i="2"/>
  <c r="DT109" i="2"/>
  <c r="DT94" i="2"/>
  <c r="DT126" i="2"/>
  <c r="DT57" i="2"/>
  <c r="DT145" i="2"/>
  <c r="DT10" i="2"/>
  <c r="DT156" i="2"/>
  <c r="DT192" i="2"/>
  <c r="DT157" i="2"/>
  <c r="DT37" i="2"/>
  <c r="DT53" i="2"/>
  <c r="DT107" i="2"/>
  <c r="DT44" i="2"/>
  <c r="DT54" i="2"/>
  <c r="DT178" i="2"/>
  <c r="DT170" i="2"/>
  <c r="DT177" i="2"/>
  <c r="DT179" i="2"/>
  <c r="DT169" i="2"/>
  <c r="DT186" i="2"/>
  <c r="DT77" i="2"/>
  <c r="DT71" i="2"/>
  <c r="DT4" i="2"/>
  <c r="DT14" i="2"/>
  <c r="DT113" i="2"/>
  <c r="DT129" i="2"/>
  <c r="DT147" i="2"/>
  <c r="DT26" i="2"/>
  <c r="DT84" i="2"/>
  <c r="DT85" i="2"/>
  <c r="DT90" i="2"/>
  <c r="DT87" i="2"/>
  <c r="DT121" i="2"/>
  <c r="DT132" i="2"/>
  <c r="DT199" i="2"/>
  <c r="DT176" i="2"/>
  <c r="DT65" i="2"/>
  <c r="DT189" i="2"/>
  <c r="DT173" i="2"/>
  <c r="DT202" i="2"/>
  <c r="DT23" i="2"/>
  <c r="DT55" i="2"/>
  <c r="DT93" i="2"/>
  <c r="DT43" i="2"/>
  <c r="DT182" i="2"/>
  <c r="DT45" i="2"/>
  <c r="DT61" i="2"/>
  <c r="DT21" i="2"/>
  <c r="DT137" i="2"/>
  <c r="DT194" i="2"/>
  <c r="DT67" i="2"/>
  <c r="DT133" i="2"/>
  <c r="DT19" i="2"/>
  <c r="DT187" i="2"/>
  <c r="DT158" i="2"/>
  <c r="DT38" i="2"/>
  <c r="DT197" i="2"/>
  <c r="DT175" i="2"/>
  <c r="DT124" i="2"/>
  <c r="DT34" i="2"/>
  <c r="DT140" i="2"/>
  <c r="DT118" i="2"/>
  <c r="DT114" i="2"/>
  <c r="DT40" i="2"/>
  <c r="DT62" i="2"/>
  <c r="DT9" i="2"/>
  <c r="DT100" i="2"/>
  <c r="DT110" i="2"/>
  <c r="DT12" i="2"/>
  <c r="DT127" i="2"/>
  <c r="DT52" i="2"/>
  <c r="DT82" i="2"/>
  <c r="DT32" i="2"/>
  <c r="DT99" i="2"/>
  <c r="DT51" i="2"/>
  <c r="DT122" i="2"/>
  <c r="DT184" i="2"/>
  <c r="DT130" i="2"/>
  <c r="DT201" i="2"/>
  <c r="DT166" i="2"/>
  <c r="DT135" i="2"/>
  <c r="DT155" i="2"/>
  <c r="DT141" i="2"/>
  <c r="DT174" i="2"/>
  <c r="DT103" i="2"/>
  <c r="DT150" i="2"/>
  <c r="DT116" i="2"/>
  <c r="DT75" i="2"/>
  <c r="DT112" i="2"/>
  <c r="DT195" i="2"/>
  <c r="DT63" i="2"/>
  <c r="DT168" i="2"/>
  <c r="DT59" i="2"/>
  <c r="DT79" i="2"/>
  <c r="DT148" i="2"/>
  <c r="DT36" i="2"/>
  <c r="DT162" i="2"/>
  <c r="DT78" i="2"/>
  <c r="DT31" i="2"/>
  <c r="DT33" i="2"/>
  <c r="DT81" i="2"/>
  <c r="DT5" i="2"/>
  <c r="DT123" i="2"/>
  <c r="DT11" i="2"/>
  <c r="DT49" i="2"/>
  <c r="DT188" i="2"/>
  <c r="DT146" i="2"/>
  <c r="DT196" i="2"/>
  <c r="DT64" i="2"/>
  <c r="DT91" i="2"/>
  <c r="DT35" i="2"/>
  <c r="DT86" i="2"/>
  <c r="DT58" i="2"/>
  <c r="DT72" i="2"/>
  <c r="DT48" i="2"/>
  <c r="DT125" i="2"/>
  <c r="DT39" i="2"/>
  <c r="DT70" i="2"/>
  <c r="DT46" i="2"/>
  <c r="DT7" i="2"/>
  <c r="DT28" i="2"/>
  <c r="DT165" i="2"/>
  <c r="DT117" i="2"/>
  <c r="DT73" i="2"/>
  <c r="DT119" i="2"/>
  <c r="DT69" i="2"/>
  <c r="DT50" i="2"/>
  <c r="DT185" i="2"/>
  <c r="DT120" i="2"/>
  <c r="DT102" i="2"/>
  <c r="DT83" i="2"/>
  <c r="DT183" i="2"/>
  <c r="DT131" i="2"/>
  <c r="DT203" i="2"/>
  <c r="DT128" i="2"/>
  <c r="DT163" i="2"/>
  <c r="DT143" i="2"/>
  <c r="DT142" i="2"/>
  <c r="DT139" i="2"/>
  <c r="DT106" i="2"/>
  <c r="DT42" i="2"/>
  <c r="DT198" i="2"/>
  <c r="DT66" i="2"/>
  <c r="DT41" i="2"/>
  <c r="DT6" i="2"/>
  <c r="DT134" i="2"/>
  <c r="DT89" i="2"/>
  <c r="DT160" i="2"/>
  <c r="DT60" i="2"/>
  <c r="DT16" i="2"/>
  <c r="DT3" i="2"/>
  <c r="C11" i="4" s="1"/>
  <c r="E11" i="4" s="1"/>
  <c r="F11" i="4" s="1"/>
  <c r="G11" i="4" s="1"/>
  <c r="L11" i="4" s="1"/>
  <c r="DT96" i="2"/>
  <c r="DT76" i="2"/>
  <c r="DT98" i="2"/>
  <c r="DT25" i="2"/>
  <c r="DT172" i="2"/>
  <c r="DT200" i="2"/>
  <c r="DT190" i="2"/>
  <c r="DT152" i="2"/>
  <c r="DT22" i="2"/>
  <c r="DT154" i="2"/>
  <c r="DT138" i="2"/>
  <c r="DT136" i="2"/>
  <c r="DT191" i="2"/>
  <c r="DT108" i="2"/>
  <c r="DT149" i="2"/>
  <c r="DT164" i="2"/>
  <c r="DT151" i="2"/>
  <c r="DT47" i="2"/>
  <c r="DT18" i="2"/>
  <c r="DT30" i="2"/>
  <c r="DT115" i="2"/>
  <c r="DT193" i="2"/>
  <c r="CD24" i="2"/>
  <c r="CD202" i="2"/>
  <c r="CD60" i="2"/>
  <c r="CD28" i="2"/>
  <c r="CD190" i="2"/>
  <c r="CD148" i="2"/>
  <c r="CD181" i="2"/>
  <c r="CD93" i="2"/>
  <c r="CD47" i="2"/>
  <c r="CD43" i="2"/>
  <c r="CD69" i="2"/>
  <c r="CD178" i="2"/>
  <c r="CD138" i="2"/>
  <c r="CD61" i="2"/>
  <c r="CD90" i="2"/>
  <c r="CD168" i="2"/>
  <c r="CD117" i="2"/>
  <c r="CD10" i="2"/>
  <c r="CD188" i="2"/>
  <c r="CD13" i="2"/>
  <c r="CD62" i="2"/>
  <c r="CD127" i="2"/>
  <c r="CD107" i="2"/>
  <c r="CD63" i="2"/>
  <c r="CD187" i="2"/>
  <c r="CD160" i="2"/>
  <c r="CD144" i="2"/>
  <c r="CD44" i="2"/>
  <c r="CD143" i="2"/>
  <c r="CD140" i="2"/>
  <c r="CD120" i="2"/>
  <c r="CD101" i="2"/>
  <c r="CD5" i="2"/>
  <c r="CD161" i="2"/>
  <c r="CD39" i="2"/>
  <c r="CD169" i="2"/>
  <c r="CD87" i="2"/>
  <c r="CD123" i="2"/>
  <c r="CD200" i="2"/>
  <c r="CD78" i="2"/>
  <c r="CD59" i="2"/>
  <c r="CD137" i="2"/>
  <c r="CD51" i="2"/>
  <c r="CD46" i="2"/>
  <c r="CD163" i="2"/>
  <c r="CD173" i="2"/>
  <c r="CD31" i="2"/>
  <c r="CD99" i="2"/>
  <c r="CD89" i="2"/>
  <c r="CD199" i="2"/>
  <c r="CD203" i="2"/>
  <c r="CD20" i="2"/>
  <c r="CD155" i="2"/>
  <c r="CD57" i="2"/>
  <c r="CD92" i="2"/>
  <c r="CD142" i="2"/>
  <c r="CD30" i="2"/>
  <c r="CD129" i="2"/>
  <c r="CD41" i="2"/>
  <c r="CD75" i="2"/>
  <c r="CD154" i="2"/>
  <c r="CD98" i="2"/>
  <c r="CD96" i="2"/>
  <c r="CD84" i="2"/>
  <c r="CD125" i="2"/>
  <c r="CD14" i="2"/>
  <c r="CD119" i="2"/>
  <c r="CD15" i="2"/>
  <c r="CD165" i="2"/>
  <c r="CD112" i="2"/>
  <c r="CD106" i="2"/>
  <c r="CD32" i="2"/>
  <c r="CD151" i="2"/>
  <c r="CD132" i="2"/>
  <c r="CD164" i="2"/>
  <c r="CD49" i="2"/>
  <c r="CD55" i="2"/>
  <c r="CD21" i="2"/>
  <c r="CD145" i="2"/>
  <c r="CD198" i="2"/>
  <c r="CD189" i="2"/>
  <c r="CD18" i="2"/>
  <c r="CD37" i="2"/>
  <c r="CD72" i="2"/>
  <c r="CD6" i="2"/>
  <c r="CD11" i="2"/>
  <c r="CD157" i="2"/>
  <c r="CD193" i="2"/>
  <c r="CD52" i="2"/>
  <c r="CD95" i="2"/>
  <c r="CD201" i="2"/>
  <c r="CD103" i="2"/>
  <c r="CD113" i="2"/>
  <c r="CD150" i="2"/>
  <c r="CD16" i="2"/>
  <c r="CD19" i="2"/>
  <c r="CD131" i="2"/>
  <c r="CD133" i="2"/>
  <c r="CD109" i="2"/>
  <c r="CD171" i="2"/>
  <c r="CD197" i="2"/>
  <c r="CD38" i="2"/>
  <c r="CD54" i="2"/>
  <c r="CD166" i="2"/>
  <c r="CD104" i="2"/>
  <c r="CD170" i="2"/>
  <c r="CD115" i="2"/>
  <c r="CD179" i="2"/>
  <c r="CD158" i="2"/>
  <c r="CD183" i="2"/>
  <c r="CD136" i="2"/>
  <c r="CD153" i="2"/>
  <c r="CD139" i="2"/>
  <c r="CD172" i="2"/>
  <c r="CD25" i="2"/>
  <c r="CD73" i="2"/>
  <c r="CD76" i="2"/>
  <c r="CD4" i="2"/>
  <c r="CD147" i="2"/>
  <c r="CD128" i="2"/>
  <c r="CD156" i="2"/>
  <c r="CD135" i="2"/>
  <c r="CD116" i="2"/>
  <c r="CD97" i="2"/>
  <c r="CD34" i="2"/>
  <c r="CD23" i="2"/>
  <c r="CD124" i="2"/>
  <c r="CD195" i="2"/>
  <c r="CD74" i="2"/>
  <c r="CD102" i="2"/>
  <c r="CD175" i="2"/>
  <c r="CD134" i="2"/>
  <c r="CD146" i="2"/>
  <c r="CD185" i="2"/>
  <c r="CD192" i="2"/>
  <c r="CD68" i="2"/>
  <c r="CD83" i="2"/>
  <c r="CD42" i="2"/>
  <c r="CD22" i="2"/>
  <c r="CD70" i="2"/>
  <c r="CD66" i="2"/>
  <c r="CD79" i="2"/>
  <c r="CD58" i="2"/>
  <c r="CD108" i="2"/>
  <c r="CD149" i="2"/>
  <c r="CD81" i="2"/>
  <c r="CD174" i="2"/>
  <c r="CD177" i="2"/>
  <c r="CD176" i="2"/>
  <c r="CD118" i="2"/>
  <c r="CD33" i="2"/>
  <c r="CD40" i="2"/>
  <c r="CD194" i="2"/>
  <c r="CD196" i="2"/>
  <c r="CD162" i="2"/>
  <c r="CD45" i="2"/>
  <c r="CD86" i="2"/>
  <c r="CD56" i="2"/>
  <c r="CD126" i="2"/>
  <c r="CD122" i="2"/>
  <c r="CD17" i="2"/>
  <c r="CD94" i="2"/>
  <c r="CD71" i="2"/>
  <c r="CD141" i="2"/>
  <c r="CD111" i="2"/>
  <c r="CD35" i="2"/>
  <c r="CD105" i="2"/>
  <c r="CD7" i="2"/>
  <c r="CD110" i="2"/>
  <c r="CD130" i="2"/>
  <c r="CD77" i="2"/>
  <c r="CD100" i="2"/>
  <c r="CD191" i="2"/>
  <c r="CD186" i="2"/>
  <c r="CD48" i="2"/>
  <c r="CD80" i="2"/>
  <c r="CD50" i="2"/>
  <c r="CD8" i="2"/>
  <c r="CD180" i="2"/>
  <c r="CD26" i="2"/>
  <c r="CD85" i="2"/>
  <c r="CD82" i="2"/>
  <c r="CD53" i="2"/>
  <c r="CD184" i="2"/>
  <c r="CD167" i="2"/>
  <c r="CD67" i="2"/>
  <c r="CD12" i="2"/>
  <c r="CD159" i="2"/>
  <c r="CD9" i="2"/>
  <c r="CD65" i="2"/>
  <c r="CD121" i="2"/>
  <c r="CD64" i="2"/>
  <c r="CD91" i="2"/>
  <c r="CD182" i="2"/>
  <c r="CD29" i="2"/>
  <c r="CD36" i="2"/>
  <c r="CD27" i="2"/>
  <c r="CD88" i="2"/>
  <c r="CD114" i="2"/>
  <c r="CD152" i="2"/>
  <c r="CD3" i="2"/>
  <c r="C9" i="4" s="1"/>
  <c r="E9" i="4" s="1"/>
  <c r="F9" i="4" s="1"/>
  <c r="G9" i="4" s="1"/>
  <c r="L9" i="4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<sst xmlns="http://schemas.openxmlformats.org/spreadsheetml/2006/main" count="1200" uniqueCount="336">
  <si>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</si>
  <si>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</si>
  <si>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</si>
  <si>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</si>
  <si>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</si>
  <si>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</si>
  <si>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</si>
  <si>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</si>
  <si>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</si>
  <si>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</si>
  <si>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</si>
  <si>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</si>
  <si>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</si>
  <si>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</si>
  <si>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</si>
  <si>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</si>
  <si>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</si>
  <si>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</si>
  <si>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</si>
  <si>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</si>
  <si>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</si>
  <si>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</si>
  <si>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</si>
  <si>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</si>
  <si>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</si>
  <si>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</si>
  <si>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</si>
  <si>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</si>
  <si>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</si>
  <si>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</si>
  <si>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</si>
  <si>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</si>
  <si>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</si>
  <si>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</si>
  <si>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</si>
  <si>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</si>
  <si>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</si>
  <si>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</si>
  <si>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</si>
  <si>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</si>
  <si>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</si>
  <si>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</si>
  <si>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</si>
  <si>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</si>
  <si>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</si>
  <si>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</si>
  <si>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</si>
  <si>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</si>
  <si>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</si>
  <si>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</si>
  <si>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</si>
  <si>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</si>
  <si>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</si>
  <si>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</si>
  <si>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</si>
  <si>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</si>
  <si>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</si>
  <si>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</si>
  <si>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</si>
  <si>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</si>
  <si>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</si>
  <si>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</si>
  <si>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</si>
  <si>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</si>
  <si>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</si>
  <si>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</si>
  <si>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</si>
  <si>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</si>
  <si>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</si>
  <si>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</si>
  <si>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</si>
  <si>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</si>
  <si>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</si>
  <si>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</si>
  <si>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</si>
  <si>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</si>
  <si>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</si>
  <si>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</si>
  <si>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</si>
  <si>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</si>
  <si>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</si>
  <si>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</si>
  <si>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</si>
  <si>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</si>
  <si>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</si>
  <si>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</si>
  <si>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</si>
  <si>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</si>
  <si>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</si>
  <si>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</si>
  <si>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</si>
  <si>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</si>
  <si>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</si>
  <si>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</si>
  <si>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</si>
  <si>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</si>
  <si>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</si>
  <si>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</si>
  <si>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</si>
  <si>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</si>
  <si>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</si>
  <si>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</si>
  <si>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</si>
  <si>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</si>
  <si>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</si>
  <si>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</si>
  <si>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</si>
  <si>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</si>
  <si>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</si>
  <si>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</si>
  <si>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</si>
  <si>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</si>
  <si>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</si>
  <si>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</si>
  <si>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</si>
  <si>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</si>
  <si>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</si>
  <si>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</si>
  <si>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</si>
  <si>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</si>
  <si>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</si>
  <si>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</si>
  <si>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</si>
  <si>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</si>
  <si>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</si>
  <si>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</si>
  <si>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</si>
  <si>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</si>
  <si>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</si>
  <si>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</si>
  <si>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</si>
  <si>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</si>
  <si>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</si>
  <si>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</si>
  <si>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</si>
  <si>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</si>
  <si>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</si>
  <si>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</si>
  <si>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</si>
  <si>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</si>
  <si>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</si>
  <si>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</si>
  <si>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</si>
  <si>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</si>
  <si>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</si>
  <si>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</si>
  <si>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</si>
  <si>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</si>
  <si>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</si>
  <si>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</si>
  <si>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</si>
  <si>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</si>
  <si>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</si>
  <si>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</si>
  <si>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</si>
  <si>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</si>
  <si>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</si>
  <si>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</si>
  <si>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</si>
  <si>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</si>
  <si>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</si>
  <si>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</si>
  <si>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</si>
  <si>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</si>
  <si>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</si>
  <si>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</si>
  <si>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</si>
  <si>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</si>
  <si>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</si>
  <si>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</si>
  <si>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</si>
  <si>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</si>
  <si>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</si>
  <si>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</si>
  <si>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</si>
  <si>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</si>
  <si>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</si>
  <si>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</si>
  <si>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</si>
  <si>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</si>
  <si>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</si>
  <si>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</si>
  <si>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</si>
  <si>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</si>
  <si>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</si>
  <si>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</si>
  <si>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</si>
  <si>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</si>
  <si>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</si>
  <si>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</si>
  <si>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</si>
  <si>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</si>
  <si>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</si>
  <si>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</si>
  <si>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</si>
  <si>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</si>
  <si>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</si>
  <si>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</si>
  <si>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</si>
  <si>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</si>
  <si>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</si>
  <si>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</si>
  <si>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</si>
  <si>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</si>
  <si>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</si>
  <si>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</si>
  <si>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</si>
  <si>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</si>
  <si>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</si>
  <si>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</si>
  <si>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</si>
  <si>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</si>
  <si>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</si>
  <si>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</si>
  <si>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</si>
  <si>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</si>
  <si>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</si>
  <si>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</si>
  <si>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</si>
  <si>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</si>
  <si>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</si>
  <si>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</si>
  <si>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</si>
  <si>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</si>
  <si>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</si>
  <si>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</si>
  <si>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</si>
  <si>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</si>
  <si>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</si>
  <si>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</si>
  <si>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</si>
  <si>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</si>
  <si>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</si>
  <si>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</si>
  <si>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</si>
  <si>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</si>
  <si>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</si>
  <si>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</si>
  <si>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</si>
  <si>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</si>
  <si>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</si>
  <si>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</si>
  <si>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</si>
  <si>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</si>
  <si>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</si>
  <si>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</si>
  <si>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</si>
  <si>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</si>
  <si>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</si>
  <si>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</si>
  <si>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</si>
  <si>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</si>
  <si>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</si>
  <si>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</si>
  <si>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</si>
  <si>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</si>
  <si>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</si>
  <si>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</si>
  <si>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</si>
  <si>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</si>
  <si>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</si>
  <si>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</si>
  <si>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</si>
  <si>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</si>
  <si>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</si>
  <si>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</si>
  <si>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</si>
  <si>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</si>
  <si>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</si>
  <si>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</si>
  <si>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</si>
  <si>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</si>
  <si>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</si>
  <si>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</si>
  <si>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</si>
  <si>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</si>
  <si>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</si>
  <si>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</si>
  <si>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</si>
  <si>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</si>
  <si>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</si>
  <si>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</si>
  <si>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</si>
  <si>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</si>
  <si>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</si>
  <si>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</si>
  <si>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</si>
  <si>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</si>
  <si>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</si>
  <si>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</si>
  <si>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</si>
  <si>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</si>
  <si>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</si>
  <si>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</si>
  <si>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</si>
  <si>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</si>
  <si>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</si>
  <si>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</si>
  <si>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</si>
  <si>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</si>
  <si>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</si>
  <si>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</si>
  <si>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</si>
  <si>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</si>
  <si>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</si>
  <si>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</si>
  <si>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</si>
  <si>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</si>
  <si>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</si>
  <si>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</si>
  <si>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</si>
  <si>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</si>
  <si>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</si>
  <si>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</si>
  <si>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</si>
  <si>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</si>
  <si>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</si>
  <si>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</si>
  <si>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</si>
  <si>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</si>
  <si>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</si>
  <si>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</si>
  <si>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</si>
  <si>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</si>
  <si>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</si>
  <si>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29</t>
  </si>
  <si>
    <t>19</t>
  </si>
  <si>
    <t>20</t>
  </si>
  <si>
    <t>18</t>
  </si>
  <si>
    <t>17</t>
  </si>
  <si>
    <t>16</t>
  </si>
  <si>
    <t>15</t>
  </si>
  <si>
    <t>14</t>
  </si>
  <si>
    <t>12</t>
  </si>
  <si>
    <t>11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</si>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</sst>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1.9338344915053816</c:v>
                </c:pt>
                <c:pt idx="2">
                  <c:v>2.5168792774880031</c:v>
                </c:pt>
                <c:pt idx="3">
                  <c:v>3.2764284552021476</c:v>
                </c:pt>
                <c:pt idx="4">
                  <c:v>4.2661201458786024</c:v>
                </c:pt>
                <c:pt idx="5">
                  <c:v>5.5559509893338399</c:v>
                </c:pt>
                <c:pt idx="6">
                  <c:v>7.237281695378214</c:v>
                </c:pt>
                <c:pt idx="7">
                  <c:v>9.4293789173990721</c:v>
                </c:pt>
                <c:pt idx="8">
                  <c:v>12.287966296384234</c:v>
                </c:pt>
                <c:pt idx="9">
                  <c:v>16.016403425468454</c:v>
                </c:pt>
                <c:pt idx="10">
                  <c:v>20.88030250950899</c:v>
                </c:pt>
                <c:pt idx="11">
                  <c:v>27.226642624964267</c:v>
                </c:pt>
                <c:pt idx="12">
                  <c:v>35.508769047857506</c:v>
                </c:pt>
                <c:pt idx="13">
                  <c:v>46.319094129132111</c:v>
                </c:pt>
                <c:pt idx="14">
                  <c:v>60.431878137154875</c:v>
                </c:pt>
                <c:pt idx="15">
                  <c:v>78.859204621460421</c:v>
                </c:pt>
                <c:pt idx="16">
                  <c:v>102.92422927625837</c:v>
                </c:pt>
                <c:pt idx="17">
                  <c:v>134.35704491997242</c:v>
                </c:pt>
                <c:pt idx="18">
                  <c:v>175.42016105015344</c:v>
                </c:pt>
                <c:pt idx="19">
                  <c:v>125.82879109366719</c:v>
                </c:pt>
                <c:pt idx="20">
                  <c:v>141.94238832170592</c:v>
                </c:pt>
                <c:pt idx="21">
                  <c:v>158.01211566910104</c:v>
                </c:pt>
                <c:pt idx="22">
                  <c:v>174.04306660404936</c:v>
                </c:pt>
                <c:pt idx="23">
                  <c:v>190.03931770153531</c:v>
                </c:pt>
                <c:pt idx="24">
                  <c:v>206.00420213768868</c:v>
                </c:pt>
                <c:pt idx="25">
                  <c:v>176.13246114489334</c:v>
                </c:pt>
                <c:pt idx="26">
                  <c:v>191.72935742098488</c:v>
                </c:pt>
                <c:pt idx="27">
                  <c:v>207.29672302421133</c:v>
                </c:pt>
                <c:pt idx="28">
                  <c:v>222.83708849639251</c:v>
                </c:pt>
                <c:pt idx="29">
                  <c:v>238.35260229410608</c:v>
                </c:pt>
                <c:pt idx="30">
                  <c:v>253.84511013669089</c:v>
                </c:pt>
                <c:pt idx="31">
                  <c:v>225.15962827390544</c:v>
                </c:pt>
                <c:pt idx="32">
                  <c:v>240.11122770634071</c:v>
                </c:pt>
                <c:pt idx="33">
                  <c:v>255.04163512038642</c:v>
                </c:pt>
                <c:pt idx="34">
                  <c:v>269.95226599479992</c:v>
                </c:pt>
                <c:pt idx="35">
                  <c:v>284.84436661088188</c:v>
                </c:pt>
                <c:pt idx="36">
                  <c:v>299.71904225404415</c:v>
                </c:pt>
                <c:pt idx="37">
                  <c:v>270.6458571543069</c:v>
                </c:pt>
                <c:pt idx="38">
                  <c:v>284.61186690817152</c:v>
                </c:pt>
                <c:pt idx="39">
                  <c:v>298.56253763341641</c:v>
                </c:pt>
                <c:pt idx="40">
                  <c:v>312.49868711783694</c:v>
                </c:pt>
                <c:pt idx="41">
                  <c:v>326.42105423723257</c:v>
                </c:pt>
                <c:pt idx="42">
                  <c:v>340.33030968214121</c:v>
                </c:pt>
                <c:pt idx="43">
                  <c:v>354.22706483856382</c:v>
                </c:pt>
                <c:pt idx="44">
                  <c:v>313.75623504954939</c:v>
                </c:pt>
                <c:pt idx="45">
                  <c:v>326.46270991876611</c:v>
                </c:pt>
                <c:pt idx="46">
                  <c:v>339.15826458212433</c:v>
                </c:pt>
                <c:pt idx="47">
                  <c:v>351.84336548552483</c:v>
                </c:pt>
                <c:pt idx="48">
                  <c:v>364.51844268873464</c:v>
                </c:pt>
                <c:pt idx="49">
                  <c:v>377.18389389712837</c:v>
                </c:pt>
                <c:pt idx="50">
                  <c:v>389.84008792349988</c:v>
                </c:pt>
                <c:pt idx="51">
                  <c:v>348.14169100820396</c:v>
                </c:pt>
                <c:pt idx="52">
                  <c:v>359.38093486712893</c:v>
                </c:pt>
                <c:pt idx="53">
                  <c:v>370.61249078254201</c:v>
                </c:pt>
                <c:pt idx="54">
                  <c:v>381.83662464817547</c:v>
                </c:pt>
                <c:pt idx="55">
                  <c:v>393.05358544574614</c:v>
                </c:pt>
                <c:pt idx="56">
                  <c:v>404.26360678288592</c:v>
                </c:pt>
                <c:pt idx="57">
                  <c:v>415.46690825155366</c:v>
                </c:pt>
                <c:pt idx="58">
                  <c:v>426.66369663226078</c:v>
                </c:pt>
                <c:pt idx="59">
                  <c:v>380.87671539481539</c:v>
                </c:pt>
                <c:pt idx="60">
                  <c:v>390.68520896319927</c:v>
                </c:pt>
                <c:pt idx="61">
                  <c:v>400.48836078912228</c:v>
                </c:pt>
                <c:pt idx="62">
                  <c:v>410.28632011431318</c:v>
                </c:pt>
                <c:pt idx="63">
                  <c:v>420.07922846824539</c:v>
                </c:pt>
                <c:pt idx="64">
                  <c:v>429.86722024105217</c:v>
                </c:pt>
                <c:pt idx="65">
                  <c:v>439.65042320152907</c:v>
                </c:pt>
                <c:pt idx="66">
                  <c:v>449.42895896661662</c:v>
                </c:pt>
                <c:pt idx="67">
                  <c:v>459.20294342788992</c:v>
                </c:pt>
                <c:pt idx="68">
                  <c:v>468.97248713983782</c:v>
                </c:pt>
                <c:pt idx="69">
                  <c:v>421.38133257324426</c:v>
                </c:pt>
                <c:pt idx="70">
                  <c:v>429.75315147072342</c:v>
                </c:pt>
                <c:pt idx="71">
                  <c:v>438.12146587044663</c:v>
                </c:pt>
                <c:pt idx="72">
                  <c:v>446.48635218091061</c:v>
                </c:pt>
                <c:pt idx="73">
                  <c:v>454.84788371276096</c:v>
                </c:pt>
                <c:pt idx="74">
                  <c:v>463.20613086026702</c:v>
                </c:pt>
                <c:pt idx="75">
                  <c:v>471.56116126901406</c:v>
                </c:pt>
                <c:pt idx="76">
                  <c:v>479.91303999108851</c:v>
                </c:pt>
                <c:pt idx="77">
                  <c:v>488.26182962889516</c:v>
                </c:pt>
                <c:pt idx="78">
                  <c:v>496.60759046862569</c:v>
                </c:pt>
                <c:pt idx="79">
                  <c:v>451.80236122992369</c:v>
                </c:pt>
                <c:pt idx="80">
                  <c:v>459.03861762211324</c:v>
                </c:pt>
                <c:pt idx="81">
                  <c:v>466.27243875376661</c:v>
                </c:pt>
                <c:pt idx="82">
                  <c:v>473.50386775452876</c:v>
                </c:pt>
                <c:pt idx="83">
                  <c:v>480.73294632855033</c:v>
                </c:pt>
                <c:pt idx="84">
                  <c:v>487.95971482280015</c:v>
                </c:pt>
                <c:pt idx="85">
                  <c:v>495.18421229111846</c:v>
                </c:pt>
                <c:pt idx="86">
                  <c:v>502.40647655433673</c:v>
                </c:pt>
                <c:pt idx="87">
                  <c:v>509.62654425675811</c:v>
                </c:pt>
                <c:pt idx="88">
                  <c:v>516.84445091927262</c:v>
                </c:pt>
                <c:pt idx="89">
                  <c:v>218.65542870960817</c:v>
                </c:pt>
                <c:pt idx="90">
                  <c:v>222.62203979798639</c:v>
                </c:pt>
                <c:pt idx="91">
                  <c:v>226.58702960261917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2.80033121253499</c:v>
                </c:pt>
                <c:pt idx="2">
                  <c:v>3.2331920402022267</c:v>
                </c:pt>
                <c:pt idx="3">
                  <c:v>3.7332025678630338</c:v>
                </c:pt>
                <c:pt idx="4">
                  <c:v>4.3108149429188805</c:v>
                </c:pt>
                <c:pt idx="5">
                  <c:v>4.9781133777906152</c:v>
                </c:pt>
                <c:pt idx="6">
                  <c:v>5.7490697393039083</c:v>
                </c:pt>
                <c:pt idx="7">
                  <c:v>6.6398392731882963</c:v>
                </c:pt>
                <c:pt idx="8">
                  <c:v>7.6691027817963127</c:v>
                </c:pt>
                <c:pt idx="9">
                  <c:v>8.8584625700164565</c:v>
                </c:pt>
                <c:pt idx="10">
                  <c:v>10.232900628832473</c:v>
                </c:pt>
                <c:pt idx="11">
                  <c:v>11.821308863037162</c:v>
                </c:pt>
                <c:pt idx="12">
                  <c:v>13.657102718169881</c:v>
                </c:pt>
                <c:pt idx="13">
                  <c:v>15.77893135533084</c:v>
                </c:pt>
                <c:pt idx="14">
                  <c:v>18.231499599972256</c:v>
                </c:pt>
                <c:pt idx="15">
                  <c:v>21.066519297081395</c:v>
                </c:pt>
                <c:pt idx="16">
                  <c:v>24.343810492506289</c:v>
                </c:pt>
                <c:pt idx="17">
                  <c:v>28.132576088968303</c:v>
                </c:pt>
                <c:pt idx="18">
                  <c:v>32.512877365593162</c:v>
                </c:pt>
                <c:pt idx="19">
                  <c:v>37.57734208274011</c:v>
                </c:pt>
                <c:pt idx="20">
                  <c:v>43.433141913583228</c:v>
                </c:pt>
                <c:pt idx="21">
                  <c:v>50.204281759315286</c:v>
                </c:pt>
                <c:pt idx="22">
                  <c:v>58.03425024235446</c:v>
                </c:pt>
                <c:pt idx="23">
                  <c:v>67.089088477976034</c:v>
                </c:pt>
                <c:pt idx="24">
                  <c:v>77.560943269096967</c:v>
                </c:pt>
                <c:pt idx="25">
                  <c:v>89.672181348239192</c:v>
                </c:pt>
                <c:pt idx="26">
                  <c:v>103.68015343301619</c:v>
                </c:pt>
                <c:pt idx="27">
                  <c:v>119.88271093114093</c:v>
                </c:pt>
                <c:pt idx="28">
                  <c:v>138.62459443431774</c:v>
                </c:pt>
                <c:pt idx="29">
                  <c:v>160.30483203260653</c:v>
                </c:pt>
                <c:pt idx="30">
                  <c:v>185.38530737361916</c:v>
                </c:pt>
                <c:pt idx="31">
                  <c:v>196.37533783443902</c:v>
                </c:pt>
                <c:pt idx="32">
                  <c:v>207.35108824704912</c:v>
                </c:pt>
                <c:pt idx="33">
                  <c:v>218.31342161081352</c:v>
                </c:pt>
                <c:pt idx="34">
                  <c:v>229.26310709251729</c:v>
                </c:pt>
                <c:pt idx="35">
                  <c:v>240.20083432049225</c:v>
                </c:pt>
                <c:pt idx="36">
                  <c:v>251.12722493560943</c:v>
                </c:pt>
                <c:pt idx="37">
                  <c:v>262.04284202449577</c:v>
                </c:pt>
                <c:pt idx="38">
                  <c:v>272.94819789712841</c:v>
                </c:pt>
                <c:pt idx="39">
                  <c:v>283.84376055529771</c:v>
                </c:pt>
                <c:pt idx="40">
                  <c:v>294.72995911512686</c:v>
                </c:pt>
                <c:pt idx="41">
                  <c:v>305.60718838596318</c:v>
                </c:pt>
                <c:pt idx="42">
                  <c:v>316.4758127628665</c:v>
                </c:pt>
                <c:pt idx="43">
                  <c:v>327.33616955611961</c:v>
                </c:pt>
                <c:pt idx="44">
                  <c:v>338.18857185554612</c:v>
                </c:pt>
                <c:pt idx="45">
                  <c:v>220.60470895888159</c:v>
                </c:pt>
                <c:pt idx="46">
                  <c:v>234.60392856819058</c:v>
                </c:pt>
                <c:pt idx="47">
                  <c:v>248.58409025616402</c:v>
                </c:pt>
                <c:pt idx="48">
                  <c:v>262.54641706022585</c:v>
                </c:pt>
                <c:pt idx="49">
                  <c:v>276.49199124793489</c:v>
                </c:pt>
                <c:pt idx="50">
                  <c:v>290.42177695391069</c:v>
                </c:pt>
                <c:pt idx="51">
                  <c:v>304.33663824269297</c:v>
                </c:pt>
                <c:pt idx="52">
                  <c:v>240.41935872090417</c:v>
                </c:pt>
                <c:pt idx="53">
                  <c:v>253.50865855137769</c:v>
                </c:pt>
                <c:pt idx="54">
                  <c:v>266.58265739444079</c:v>
                </c:pt>
                <c:pt idx="55">
                  <c:v>279.64221160679057</c:v>
                </c:pt>
                <c:pt idx="56">
                  <c:v>292.6880909926802</c:v>
                </c:pt>
                <c:pt idx="57">
                  <c:v>305.72099110209916</c:v>
                </c:pt>
                <c:pt idx="58">
                  <c:v>318.74154332078069</c:v>
                </c:pt>
                <c:pt idx="59">
                  <c:v>331.75032322437022</c:v>
                </c:pt>
                <c:pt idx="60">
                  <c:v>264.48165557092597</c:v>
                </c:pt>
                <c:pt idx="61">
                  <c:v>276.62240947152162</c:v>
                </c:pt>
                <c:pt idx="62">
                  <c:v>288.75120300595034</c:v>
                </c:pt>
                <c:pt idx="63">
                  <c:v>300.86860954335856</c:v>
                </c:pt>
                <c:pt idx="64">
                  <c:v>312.97515247729331</c:v>
                </c:pt>
                <c:pt idx="65">
                  <c:v>325.07131138762742</c:v>
                </c:pt>
                <c:pt idx="66">
                  <c:v>337.15752723690747</c:v>
                </c:pt>
                <c:pt idx="67">
                  <c:v>349.23420678233242</c:v>
                </c:pt>
                <c:pt idx="68">
                  <c:v>295.70900070054716</c:v>
                </c:pt>
                <c:pt idx="69">
                  <c:v>307.30433706893126</c:v>
                </c:pt>
                <c:pt idx="70">
                  <c:v>318.88995436923523</c:v>
                </c:pt>
                <c:pt idx="71">
                  <c:v>330.46625560244939</c:v>
                </c:pt>
                <c:pt idx="72">
                  <c:v>342.03361321930743</c:v>
                </c:pt>
                <c:pt idx="73">
                  <c:v>353.5923724131722</c:v>
                </c:pt>
                <c:pt idx="74">
                  <c:v>365.14285395969938</c:v>
                </c:pt>
                <c:pt idx="75">
                  <c:v>376.68535667831543</c:v>
                </c:pt>
                <c:pt idx="76">
                  <c:v>325.07022459446569</c:v>
                </c:pt>
                <c:pt idx="77">
                  <c:v>336.26433346535657</c:v>
                </c:pt>
                <c:pt idx="78">
                  <c:v>347.45023779511899</c:v>
                </c:pt>
                <c:pt idx="79">
                  <c:v>358.62823904709302</c:v>
                </c:pt>
                <c:pt idx="80">
                  <c:v>369.79861835176501</c:v>
                </c:pt>
                <c:pt idx="81">
                  <c:v>380.96163846407029</c:v>
                </c:pt>
                <c:pt idx="82">
                  <c:v>392.11754547924482</c:v>
                </c:pt>
                <c:pt idx="83">
                  <c:v>403.26657034317213</c:v>
                </c:pt>
                <c:pt idx="84">
                  <c:v>414.40893018695834</c:v>
                </c:pt>
                <c:pt idx="85">
                  <c:v>353.95577071128059</c:v>
                </c:pt>
                <c:pt idx="86">
                  <c:v>364.63498264849346</c:v>
                </c:pt>
                <c:pt idx="87">
                  <c:v>375.30736346509519</c:v>
                </c:pt>
                <c:pt idx="88">
                  <c:v>385.97313486442658</c:v>
                </c:pt>
                <c:pt idx="89">
                  <c:v>396.63250529300484</c:v>
                </c:pt>
                <c:pt idx="90">
                  <c:v>407.28567107582967</c:v>
                </c:pt>
                <c:pt idx="91">
                  <c:v>417.93281742668711</c:v>
                </c:pt>
                <c:pt idx="92">
                  <c:v>428.57411935011061</c:v>
                </c:pt>
                <c:pt idx="93">
                  <c:v>439.2097424490762</c:v>
                </c:pt>
                <c:pt idx="94">
                  <c:v>388.96939364255013</c:v>
                </c:pt>
                <c:pt idx="95">
                  <c:v>399.62224069425901</c:v>
                </c:pt>
                <c:pt idx="96">
                  <c:v>410.26894164564254</c:v>
                </c:pt>
                <c:pt idx="97">
                  <c:v>420.90967851722456</c:v>
                </c:pt>
                <c:pt idx="98">
                  <c:v>431.54462337332347</c:v>
                </c:pt>
                <c:pt idx="99">
                  <c:v>442.17393910383311</c:v>
                </c:pt>
                <c:pt idx="100">
                  <c:v>452.79778012690167</c:v>
                </c:pt>
                <c:pt idx="101">
                  <c:v>463.41629302222265</c:v>
                </c:pt>
                <c:pt idx="102">
                  <c:v>474.02961710325332</c:v>
                </c:pt>
                <c:pt idx="103">
                  <c:v>484.63788493551419</c:v>
                </c:pt>
                <c:pt idx="104">
                  <c:v>415.10943513621038</c:v>
                </c:pt>
                <c:pt idx="105">
                  <c:v>425.41949941830768</c:v>
                </c:pt>
                <c:pt idx="106">
                  <c:v>435.724189378208</c:v>
                </c:pt>
                <c:pt idx="107">
                  <c:v>446.02365006516692</c:v>
                </c:pt>
                <c:pt idx="108">
                  <c:v>456.3180192815957</c:v>
                </c:pt>
                <c:pt idx="109">
                  <c:v>466.60742810394527</c:v>
                </c:pt>
                <c:pt idx="110">
                  <c:v>476.89200135524828</c:v>
                </c:pt>
                <c:pt idx="111">
                  <c:v>487.17185803477059</c:v>
                </c:pt>
                <c:pt idx="112">
                  <c:v>497.44711170951149</c:v>
                </c:pt>
                <c:pt idx="113">
                  <c:v>507.71787087166916</c:v>
                </c:pt>
                <c:pt idx="114">
                  <c:v>454.67168843245491</c:v>
                </c:pt>
                <c:pt idx="115">
                  <c:v>465.38675976853341</c:v>
                </c:pt>
                <c:pt idx="116">
                  <c:v>476.09657210373803</c:v>
                </c:pt>
                <c:pt idx="117">
                  <c:v>486.80126042752903</c:v>
                </c:pt>
                <c:pt idx="118">
                  <c:v>497.50095330786547</c:v>
                </c:pt>
                <c:pt idx="119">
                  <c:v>508.19577333115927</c:v>
                </c:pt>
                <c:pt idx="120">
                  <c:v>518.8858375032695</c:v>
                </c:pt>
                <c:pt idx="121">
                  <c:v>529.57125761573309</c:v>
                </c:pt>
                <c:pt idx="122">
                  <c:v>540.25214058090251</c:v>
                </c:pt>
                <c:pt idx="123">
                  <c:v>550.92858873920397</c:v>
                </c:pt>
                <c:pt idx="124">
                  <c:v>561.60070014134226</c:v>
                </c:pt>
                <c:pt idx="125">
                  <c:v>572.26856880794298</c:v>
                </c:pt>
                <c:pt idx="126">
                  <c:v>485.86827596707514</c:v>
                </c:pt>
                <c:pt idx="127">
                  <c:v>496.44348170304221</c:v>
                </c:pt>
                <c:pt idx="128">
                  <c:v>507.01391614180881</c:v>
                </c:pt>
                <c:pt idx="129">
                  <c:v>517.57969278390635</c:v>
                </c:pt>
                <c:pt idx="130">
                  <c:v>528.14092011787591</c:v>
                </c:pt>
                <c:pt idx="131">
                  <c:v>538.69770193952468</c:v>
                </c:pt>
                <c:pt idx="132">
                  <c:v>549.25013764485414</c:v>
                </c:pt>
                <c:pt idx="133">
                  <c:v>559.79832249931235</c:v>
                </c:pt>
                <c:pt idx="134">
                  <c:v>570.34234788569677</c:v>
                </c:pt>
                <c:pt idx="135">
                  <c:v>580.8823015327763</c:v>
                </c:pt>
                <c:pt idx="136">
                  <c:v>591.41826772645936</c:v>
                </c:pt>
                <c:pt idx="137">
                  <c:v>601.95032750513701</c:v>
                </c:pt>
                <c:pt idx="138">
                  <c:v>509.32698658413818</c:v>
                </c:pt>
                <c:pt idx="139">
                  <c:v>519.6131170105399</c:v>
                </c:pt>
                <c:pt idx="140">
                  <c:v>529.89495428211808</c:v>
                </c:pt>
                <c:pt idx="141">
                  <c:v>540.17259344593401</c:v>
                </c:pt>
                <c:pt idx="142">
                  <c:v>550.4461256372507</c:v>
                </c:pt>
                <c:pt idx="143">
                  <c:v>560.71563831209176</c:v>
                </c:pt>
                <c:pt idx="144">
                  <c:v>570.98121546187531</c:v>
                </c:pt>
                <c:pt idx="145">
                  <c:v>581.24293781181666</c:v>
                </c:pt>
                <c:pt idx="146">
                  <c:v>591.50088300458958</c:v>
                </c:pt>
                <c:pt idx="147">
                  <c:v>601.75512577058942</c:v>
                </c:pt>
                <c:pt idx="148">
                  <c:v>612.00573808599006</c:v>
                </c:pt>
                <c:pt idx="149">
                  <c:v>622.25278931966182</c:v>
                </c:pt>
                <c:pt idx="150">
                  <c:v>385.58443738719296</c:v>
                </c:pt>
                <c:pt idx="151">
                  <c:v>391.85561736484743</c:v>
                </c:pt>
                <c:pt idx="152">
                  <c:v>398.12462062672506</c:v>
                </c:pt>
                <c:pt idx="153">
                  <c:v>404.39148631382312</c:v>
                </c:pt>
                <c:pt idx="154">
                  <c:v>265.61981298658986</c:v>
                </c:pt>
                <c:pt idx="155">
                  <c:v>269.44452913892491</c:v>
                </c:pt>
                <c:pt idx="156">
                  <c:v>273.26802309100526</c:v>
                </c:pt>
                <c:pt idx="157">
                  <c:v>277.09031439007811</c:v>
                </c:pt>
                <c:pt idx="158">
                  <c:v>185.74524606996872</c:v>
                </c:pt>
                <c:pt idx="159">
                  <c:v>188.13892084434758</c:v>
                </c:pt>
                <c:pt idx="160">
                  <c:v>190.53188525040613</c:v>
                </c:pt>
                <c:pt idx="161">
                  <c:v>192.92414949593956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210.34498910896306</c:v>
                </c:pt>
                <c:pt idx="17">
                  <c:v>229.86009453547467</c:v>
                </c:pt>
                <c:pt idx="18">
                  <c:v>249.33731901797844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382.14783395214209</c:v>
                </c:pt>
                <c:pt idx="32">
                  <c:v>392.93895526469413</c:v>
                </c:pt>
                <c:pt idx="33">
                  <c:v>403.7236518794877</c:v>
                </c:pt>
                <c:pt idx="34">
                  <c:v>414.50211965810945</c:v>
                </c:pt>
                <c:pt idx="35">
                  <c:v>425.27454344239982</c:v>
                </c:pt>
                <c:pt idx="36">
                  <c:v>421.04322924291404</c:v>
                </c:pt>
                <c:pt idx="37">
                  <c:v>430.27402055922079</c:v>
                </c:pt>
                <c:pt idx="38">
                  <c:v>439.50055712660475</c:v>
                </c:pt>
                <c:pt idx="39">
                  <c:v>448.72294089251386</c:v>
                </c:pt>
                <c:pt idx="40">
                  <c:v>457.94126927057505</c:v>
                </c:pt>
                <c:pt idx="41">
                  <c:v>457.55725199363536</c:v>
                </c:pt>
                <c:pt idx="42">
                  <c:v>466.7717814393539</c:v>
                </c:pt>
                <c:pt idx="43">
                  <c:v>475.98243422180309</c:v>
                </c:pt>
                <c:pt idx="44">
                  <c:v>485.18929595470831</c:v>
                </c:pt>
                <c:pt idx="45">
                  <c:v>494.39244873679655</c:v>
                </c:pt>
                <c:pt idx="46">
                  <c:v>484.80575132371092</c:v>
                </c:pt>
                <c:pt idx="47">
                  <c:v>484.80575132371092</c:v>
                </c:pt>
                <c:pt idx="48">
                  <c:v>484.80575132371092</c:v>
                </c:pt>
                <c:pt idx="49">
                  <c:v>484.80575132371092</c:v>
                </c:pt>
                <c:pt idx="50">
                  <c:v>484.80575132371092</c:v>
                </c:pt>
                <c:pt idx="51">
                  <c:v>484.80575132371092</c:v>
                </c:pt>
                <c:pt idx="52">
                  <c:v>484.80575132371092</c:v>
                </c:pt>
                <c:pt idx="53">
                  <c:v>484.80575132371092</c:v>
                </c:pt>
                <c:pt idx="54">
                  <c:v>484.80575132371092</c:v>
                </c:pt>
                <c:pt idx="55">
                  <c:v>484.80575132371092</c:v>
                </c:pt>
                <c:pt idx="56">
                  <c:v>484.80575132371092</c:v>
                </c:pt>
                <c:pt idx="57">
                  <c:v>484.80575132371092</c:v>
                </c:pt>
                <c:pt idx="58">
                  <c:v>484.80575132371092</c:v>
                </c:pt>
                <c:pt idx="59">
                  <c:v>484.80575132371092</c:v>
                </c:pt>
                <c:pt idx="60">
                  <c:v>484.80575132371092</c:v>
                </c:pt>
                <c:pt idx="61">
                  <c:v>484.80575132371092</c:v>
                </c:pt>
                <c:pt idx="62">
                  <c:v>484.80575132371092</c:v>
                </c:pt>
                <c:pt idx="63">
                  <c:v>484.80575132371092</c:v>
                </c:pt>
                <c:pt idx="64">
                  <c:v>484.80575132371092</c:v>
                </c:pt>
                <c:pt idx="65">
                  <c:v>484.80575132371092</c:v>
                </c:pt>
                <c:pt idx="66">
                  <c:v>484.80575132371092</c:v>
                </c:pt>
                <c:pt idx="67">
                  <c:v>484.80575132371092</c:v>
                </c:pt>
                <c:pt idx="68">
                  <c:v>484.80575132371092</c:v>
                </c:pt>
                <c:pt idx="69">
                  <c:v>484.80575132371092</c:v>
                </c:pt>
                <c:pt idx="70">
                  <c:v>484.80575132371092</c:v>
                </c:pt>
                <c:pt idx="71">
                  <c:v>484.80575132371092</c:v>
                </c:pt>
                <c:pt idx="72">
                  <c:v>484.80575132371092</c:v>
                </c:pt>
                <c:pt idx="73">
                  <c:v>484.80575132371092</c:v>
                </c:pt>
                <c:pt idx="74">
                  <c:v>484.80575132371092</c:v>
                </c:pt>
                <c:pt idx="75">
                  <c:v>484.80575132371092</c:v>
                </c:pt>
                <c:pt idx="76">
                  <c:v>484.80575132371092</c:v>
                </c:pt>
                <c:pt idx="77">
                  <c:v>484.80575132371092</c:v>
                </c:pt>
                <c:pt idx="78">
                  <c:v>484.80575132371092</c:v>
                </c:pt>
                <c:pt idx="79">
                  <c:v>484.80575132371092</c:v>
                </c:pt>
                <c:pt idx="80">
                  <c:v>484.80575132371092</c:v>
                </c:pt>
                <c:pt idx="81">
                  <c:v>484.80575132371092</c:v>
                </c:pt>
                <c:pt idx="82">
                  <c:v>484.80575132371092</c:v>
                </c:pt>
                <c:pt idx="83">
                  <c:v>484.80575132371092</c:v>
                </c:pt>
                <c:pt idx="84">
                  <c:v>484.80575132371092</c:v>
                </c:pt>
                <c:pt idx="85">
                  <c:v>484.80575132371092</c:v>
                </c:pt>
                <c:pt idx="86">
                  <c:v>484.80575132371092</c:v>
                </c:pt>
                <c:pt idx="87">
                  <c:v>484.80575132371092</c:v>
                </c:pt>
                <c:pt idx="88">
                  <c:v>484.80575132371092</c:v>
                </c:pt>
                <c:pt idx="89">
                  <c:v>484.80575132371092</c:v>
                </c:pt>
                <c:pt idx="90">
                  <c:v>484.80575132371092</c:v>
                </c:pt>
                <c:pt idx="91">
                  <c:v>484.80575132371092</c:v>
                </c:pt>
                <c:pt idx="92">
                  <c:v>484.80575132371092</c:v>
                </c:pt>
                <c:pt idx="93">
                  <c:v>484.80575132371092</c:v>
                </c:pt>
                <c:pt idx="94">
                  <c:v>484.80575132371092</c:v>
                </c:pt>
                <c:pt idx="95">
                  <c:v>484.80575132371092</c:v>
                </c:pt>
                <c:pt idx="96">
                  <c:v>484.80575132371092</c:v>
                </c:pt>
                <c:pt idx="97">
                  <c:v>484.80575132371092</c:v>
                </c:pt>
                <c:pt idx="98">
                  <c:v>484.80575132371092</c:v>
                </c:pt>
                <c:pt idx="99">
                  <c:v>484.80575132371092</c:v>
                </c:pt>
                <c:pt idx="100">
                  <c:v>484.80575132371092</c:v>
                </c:pt>
                <c:pt idx="101">
                  <c:v>484.80575132371092</c:v>
                </c:pt>
                <c:pt idx="102">
                  <c:v>484.80575132371092</c:v>
                </c:pt>
                <c:pt idx="103">
                  <c:v>484.80575132371092</c:v>
                </c:pt>
                <c:pt idx="104">
                  <c:v>484.80575132371092</c:v>
                </c:pt>
                <c:pt idx="105">
                  <c:v>484.80575132371092</c:v>
                </c:pt>
                <c:pt idx="106">
                  <c:v>484.80575132371092</c:v>
                </c:pt>
                <c:pt idx="107">
                  <c:v>484.80575132371092</c:v>
                </c:pt>
                <c:pt idx="108">
                  <c:v>484.80575132371092</c:v>
                </c:pt>
                <c:pt idx="109">
                  <c:v>484.80575132371092</c:v>
                </c:pt>
                <c:pt idx="110">
                  <c:v>484.80575132371092</c:v>
                </c:pt>
                <c:pt idx="111">
                  <c:v>484.80575132371092</c:v>
                </c:pt>
                <c:pt idx="112">
                  <c:v>484.80575132371092</c:v>
                </c:pt>
                <c:pt idx="113">
                  <c:v>484.80575132371092</c:v>
                </c:pt>
                <c:pt idx="114">
                  <c:v>484.80575132371092</c:v>
                </c:pt>
                <c:pt idx="115">
                  <c:v>484.80575132371092</c:v>
                </c:pt>
                <c:pt idx="116">
                  <c:v>484.80575132371092</c:v>
                </c:pt>
                <c:pt idx="117">
                  <c:v>484.80575132371092</c:v>
                </c:pt>
                <c:pt idx="118">
                  <c:v>484.80575132371092</c:v>
                </c:pt>
                <c:pt idx="119">
                  <c:v>484.80575132371092</c:v>
                </c:pt>
                <c:pt idx="120">
                  <c:v>484.80575132371092</c:v>
                </c:pt>
                <c:pt idx="121">
                  <c:v>484.80575132371092</c:v>
                </c:pt>
                <c:pt idx="122">
                  <c:v>484.80575132371092</c:v>
                </c:pt>
                <c:pt idx="123">
                  <c:v>484.80575132371092</c:v>
                </c:pt>
                <c:pt idx="124">
                  <c:v>484.80575132371092</c:v>
                </c:pt>
                <c:pt idx="125">
                  <c:v>484.80575132371092</c:v>
                </c:pt>
                <c:pt idx="126">
                  <c:v>484.80575132371092</c:v>
                </c:pt>
                <c:pt idx="127">
                  <c:v>484.80575132371092</c:v>
                </c:pt>
                <c:pt idx="128">
                  <c:v>484.80575132371092</c:v>
                </c:pt>
                <c:pt idx="129">
                  <c:v>484.80575132371092</c:v>
                </c:pt>
                <c:pt idx="130">
                  <c:v>484.80575132371092</c:v>
                </c:pt>
                <c:pt idx="131">
                  <c:v>484.80575132371092</c:v>
                </c:pt>
                <c:pt idx="132">
                  <c:v>484.80575132371092</c:v>
                </c:pt>
                <c:pt idx="133">
                  <c:v>484.80575132371092</c:v>
                </c:pt>
                <c:pt idx="134">
                  <c:v>484.80575132371092</c:v>
                </c:pt>
                <c:pt idx="135">
                  <c:v>484.80575132371092</c:v>
                </c:pt>
                <c:pt idx="136">
                  <c:v>484.80575132371092</c:v>
                </c:pt>
                <c:pt idx="137">
                  <c:v>484.80575132371092</c:v>
                </c:pt>
                <c:pt idx="138">
                  <c:v>484.80575132371092</c:v>
                </c:pt>
                <c:pt idx="139">
                  <c:v>484.80575132371092</c:v>
                </c:pt>
                <c:pt idx="140">
                  <c:v>484.80575132371092</c:v>
                </c:pt>
                <c:pt idx="141">
                  <c:v>484.80575132371092</c:v>
                </c:pt>
                <c:pt idx="142">
                  <c:v>484.80575132371092</c:v>
                </c:pt>
                <c:pt idx="143">
                  <c:v>484.80575132371092</c:v>
                </c:pt>
                <c:pt idx="144">
                  <c:v>484.80575132371092</c:v>
                </c:pt>
                <c:pt idx="145">
                  <c:v>484.80575132371092</c:v>
                </c:pt>
                <c:pt idx="146">
                  <c:v>484.80575132371092</c:v>
                </c:pt>
                <c:pt idx="147">
                  <c:v>484.80575132371092</c:v>
                </c:pt>
                <c:pt idx="148">
                  <c:v>484.80575132371092</c:v>
                </c:pt>
                <c:pt idx="149">
                  <c:v>484.80575132371092</c:v>
                </c:pt>
                <c:pt idx="150">
                  <c:v>484.80575132371092</c:v>
                </c:pt>
                <c:pt idx="151">
                  <c:v>484.80575132371092</c:v>
                </c:pt>
                <c:pt idx="152">
                  <c:v>484.80575132371092</c:v>
                </c:pt>
                <c:pt idx="153">
                  <c:v>484.80575132371092</c:v>
                </c:pt>
                <c:pt idx="154">
                  <c:v>484.80575132371092</c:v>
                </c:pt>
                <c:pt idx="155">
                  <c:v>484.80575132371092</c:v>
                </c:pt>
                <c:pt idx="156">
                  <c:v>484.80575132371092</c:v>
                </c:pt>
                <c:pt idx="157">
                  <c:v>484.80575132371092</c:v>
                </c:pt>
                <c:pt idx="158">
                  <c:v>484.80575132371092</c:v>
                </c:pt>
                <c:pt idx="159">
                  <c:v>484.80575132371092</c:v>
                </c:pt>
                <c:pt idx="160">
                  <c:v>484.80575132371092</c:v>
                </c:pt>
                <c:pt idx="161">
                  <c:v>484.80575132371092</c:v>
                </c:pt>
                <c:pt idx="162">
                  <c:v>484.80575132371092</c:v>
                </c:pt>
                <c:pt idx="163">
                  <c:v>484.80575132371092</c:v>
                </c:pt>
                <c:pt idx="164">
                  <c:v>484.80575132371092</c:v>
                </c:pt>
                <c:pt idx="165">
                  <c:v>484.80575132371092</c:v>
                </c:pt>
                <c:pt idx="166">
                  <c:v>484.80575132371092</c:v>
                </c:pt>
                <c:pt idx="167">
                  <c:v>484.80575132371092</c:v>
                </c:pt>
                <c:pt idx="168">
                  <c:v>484.80575132371092</c:v>
                </c:pt>
                <c:pt idx="169">
                  <c:v>484.80575132371092</c:v>
                </c:pt>
                <c:pt idx="170">
                  <c:v>484.80575132371092</c:v>
                </c:pt>
                <c:pt idx="171">
                  <c:v>484.80575132371092</c:v>
                </c:pt>
                <c:pt idx="172">
                  <c:v>484.80575132371092</c:v>
                </c:pt>
                <c:pt idx="173">
                  <c:v>484.80575132371092</c:v>
                </c:pt>
                <c:pt idx="174">
                  <c:v>484.80575132371092</c:v>
                </c:pt>
                <c:pt idx="175">
                  <c:v>484.80575132371092</c:v>
                </c:pt>
                <c:pt idx="176">
                  <c:v>484.80575132371092</c:v>
                </c:pt>
                <c:pt idx="177">
                  <c:v>484.80575132371092</c:v>
                </c:pt>
                <c:pt idx="178">
                  <c:v>484.80575132371092</c:v>
                </c:pt>
                <c:pt idx="179">
                  <c:v>484.80575132371092</c:v>
                </c:pt>
                <c:pt idx="180">
                  <c:v>484.80575132371092</c:v>
                </c:pt>
                <c:pt idx="181">
                  <c:v>484.80575132371092</c:v>
                </c:pt>
                <c:pt idx="182">
                  <c:v>484.80575132371092</c:v>
                </c:pt>
                <c:pt idx="183">
                  <c:v>484.80575132371092</c:v>
                </c:pt>
                <c:pt idx="184">
                  <c:v>484.80575132371092</c:v>
                </c:pt>
                <c:pt idx="185">
                  <c:v>484.80575132371092</c:v>
                </c:pt>
                <c:pt idx="186">
                  <c:v>484.80575132371092</c:v>
                </c:pt>
                <c:pt idx="187">
                  <c:v>484.80575132371092</c:v>
                </c:pt>
                <c:pt idx="188">
                  <c:v>484.80575132371092</c:v>
                </c:pt>
                <c:pt idx="189">
                  <c:v>484.80575132371092</c:v>
                </c:pt>
                <c:pt idx="190">
                  <c:v>484.80575132371092</c:v>
                </c:pt>
                <c:pt idx="191">
                  <c:v>484.80575132371092</c:v>
                </c:pt>
                <c:pt idx="192">
                  <c:v>484.80575132371092</c:v>
                </c:pt>
                <c:pt idx="193">
                  <c:v>484.80575132371092</c:v>
                </c:pt>
                <c:pt idx="194">
                  <c:v>484.80575132371092</c:v>
                </c:pt>
                <c:pt idx="195">
                  <c:v>484.80575132371092</c:v>
                </c:pt>
                <c:pt idx="196">
                  <c:v>484.80575132371092</c:v>
                </c:pt>
                <c:pt idx="197">
                  <c:v>484.80575132371092</c:v>
                </c:pt>
                <c:pt idx="198">
                  <c:v>484.80575132371092</c:v>
                </c:pt>
                <c:pt idx="199">
                  <c:v>484.80575132371092</c:v>
                </c:pt>
                <c:pt idx="200">
                  <c:v>484.80575132371092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2.8445538772295063</c:v>
                </c:pt>
                <c:pt idx="2">
                  <c:v>3.284273535613877</c:v>
                </c:pt>
                <c:pt idx="3">
                  <c:v>3.7922102922952434</c:v>
                </c:pt>
                <c:pt idx="4">
                  <c:v>4.3789829346453333</c:v>
                </c:pt>
                <c:pt idx="5">
                  <c:v>5.0568684072794188</c:v>
                </c:pt>
                <c:pt idx="6">
                  <c:v>5.8400614980565448</c:v>
                </c:pt>
                <c:pt idx="7">
                  <c:v>6.7449753039941669</c:v>
                </c:pt>
                <c:pt idx="8">
                  <c:v>7.7905888969266996</c:v>
                </c:pt>
                <c:pt idx="9">
                  <c:v>8.9988496216860376</c:v>
                </c:pt>
                <c:pt idx="10">
                  <c:v>10.395138632688928</c:v>
                </c:pt>
                <c:pt idx="11">
                  <c:v>12.008809633451259</c:v>
                </c:pt>
                <c:pt idx="12">
                  <c:v>13.873812357108987</c:v>
                </c:pt>
                <c:pt idx="13">
                  <c:v>16.029414148570542</c:v>
                </c:pt>
                <c:pt idx="14">
                  <c:v>18.521035119924662</c:v>
                </c:pt>
                <c:pt idx="15">
                  <c:v>21.401214795914981</c:v>
                </c:pt>
                <c:pt idx="16">
                  <c:v>24.730730998666559</c:v>
                </c:pt>
                <c:pt idx="17">
                  <c:v>28.57989500182471</c:v>
                </c:pt>
                <c:pt idx="18">
                  <c:v>33.030050785016336</c:v>
                </c:pt>
                <c:pt idx="19">
                  <c:v>38.175310622549354</c:v>
                </c:pt>
                <c:pt idx="20">
                  <c:v>44.124564341117825</c:v>
                </c:pt>
                <c:pt idx="21">
                  <c:v>51.003805490763547</c:v>
                </c:pt>
                <c:pt idx="22">
                  <c:v>58.958824519858602</c:v>
                </c:pt>
                <c:pt idx="23">
                  <c:v>68.158326977231852</c:v>
                </c:pt>
                <c:pt idx="24">
                  <c:v>78.797543955252777</c:v>
                </c:pt>
                <c:pt idx="25">
                  <c:v>91.102412636626653</c:v>
                </c:pt>
                <c:pt idx="26">
                  <c:v>105.3344171465771</c:v>
                </c:pt>
                <c:pt idx="27">
                  <c:v>121.79619420959904</c:v>
                </c:pt>
                <c:pt idx="28">
                  <c:v>140.8380246774075</c:v>
                </c:pt>
                <c:pt idx="29">
                  <c:v>162.86535119300285</c:v>
                </c:pt>
                <c:pt idx="30">
                  <c:v>188.34748450328843</c:v>
                </c:pt>
                <c:pt idx="31">
                  <c:v>199.51355751778638</c:v>
                </c:pt>
                <c:pt idx="32">
                  <c:v>210.66514383022638</c:v>
                </c:pt>
                <c:pt idx="33">
                  <c:v>221.80311892887573</c:v>
                </c:pt>
                <c:pt idx="34">
                  <c:v>232.92826311152359</c:v>
                </c:pt>
                <c:pt idx="35">
                  <c:v>244.04127598646448</c:v>
                </c:pt>
                <c:pt idx="36">
                  <c:v>255.14278819065109</c:v>
                </c:pt>
                <c:pt idx="37">
                  <c:v>266.23337095942338</c:v>
                </c:pt>
                <c:pt idx="38">
                  <c:v>277.31354401665726</c:v>
                </c:pt>
                <c:pt idx="39">
                  <c:v>288.38378213683524</c:v>
                </c:pt>
                <c:pt idx="40">
                  <c:v>299.44452064603837</c:v>
                </c:pt>
                <c:pt idx="41">
                  <c:v>310.49616006710073</c:v>
                </c:pt>
                <c:pt idx="42">
                  <c:v>321.53907006842928</c:v>
                </c:pt>
                <c:pt idx="43">
                  <c:v>332.57359284169502</c:v>
                </c:pt>
                <c:pt idx="44">
                  <c:v>343.60004600760408</c:v>
                </c:pt>
                <c:pt idx="45">
                  <c:v>224.13112047558164</c:v>
                </c:pt>
                <c:pt idx="46">
                  <c:v>238.35467317528014</c:v>
                </c:pt>
                <c:pt idx="47">
                  <c:v>252.55889215676018</c:v>
                </c:pt>
                <c:pt idx="48">
                  <c:v>266.7450181566432</c:v>
                </c:pt>
                <c:pt idx="49">
                  <c:v>280.91414910453278</c:v>
                </c:pt>
                <c:pt idx="50">
                  <c:v>295.06726308753133</c:v>
                </c:pt>
                <c:pt idx="51">
                  <c:v>309.20523667449658</c:v>
                </c:pt>
                <c:pt idx="52">
                  <c:v>244.26330259426319</c:v>
                </c:pt>
                <c:pt idx="53">
                  <c:v>257.56239224116058</c:v>
                </c:pt>
                <c:pt idx="54">
                  <c:v>270.8459594722687</c:v>
                </c:pt>
                <c:pt idx="55">
                  <c:v>284.11487303705792</c:v>
                </c:pt>
                <c:pt idx="56">
                  <c:v>297.36991388001081</c:v>
                </c:pt>
                <c:pt idx="57">
                  <c:v>310.61178761677502</c:v>
                </c:pt>
                <c:pt idx="58">
                  <c:v>323.84113477018821</c:v>
                </c:pt>
                <c:pt idx="59">
                  <c:v>337.05853924534387</c:v>
                </c:pt>
                <c:pt idx="60">
                  <c:v>268.7112782938953</c:v>
                </c:pt>
                <c:pt idx="61">
                  <c:v>281.04665813680271</c:v>
                </c:pt>
                <c:pt idx="62">
                  <c:v>293.36990452899482</c:v>
                </c:pt>
                <c:pt idx="63">
                  <c:v>305.68159913713504</c:v>
                </c:pt>
                <c:pt idx="64">
                  <c:v>317.982272929065</c:v>
                </c:pt>
                <c:pt idx="65">
                  <c:v>330.27241242490169</c:v>
                </c:pt>
                <c:pt idx="66">
                  <c:v>342.55246496858553</c:v>
                </c:pt>
                <c:pt idx="67">
                  <c:v>354.82284320370565</c:v>
                </c:pt>
                <c:pt idx="68">
                  <c:v>300.43926003821406</c:v>
                </c:pt>
                <c:pt idx="69">
                  <c:v>312.22052278591252</c:v>
                </c:pt>
                <c:pt idx="70">
                  <c:v>323.99192581594804</c:v>
                </c:pt>
                <c:pt idx="71">
                  <c:v>335.75387796134402</c:v>
                </c:pt>
                <c:pt idx="72">
                  <c:v>347.5067570627578</c:v>
                </c:pt>
                <c:pt idx="73">
                  <c:v>359.25091330902154</c:v>
                </c:pt>
                <c:pt idx="74">
                  <c:v>370.98667211789854</c:v>
                </c:pt>
                <c:pt idx="75">
                  <c:v>382.71433663318339</c:v>
                </c:pt>
                <c:pt idx="76">
                  <c:v>330.27130820262437</c:v>
                </c:pt>
                <c:pt idx="77">
                  <c:v>341.64494578691387</c:v>
                </c:pt>
                <c:pt idx="78">
                  <c:v>353.01026009798289</c:v>
                </c:pt>
                <c:pt idx="79">
                  <c:v>364.3675569618012</c:v>
                </c:pt>
                <c:pt idx="80">
                  <c:v>375.71712157723732</c:v>
                </c:pt>
                <c:pt idx="81">
                  <c:v>387.05922050168732</c:v>
                </c:pt>
                <c:pt idx="82">
                  <c:v>398.39410339175623</c:v>
                </c:pt>
                <c:pt idx="83">
                  <c:v>409.72200453546321</c:v>
                </c:pt>
                <c:pt idx="84">
                  <c:v>421.0431442061294</c:v>
                </c:pt>
                <c:pt idx="85">
                  <c:v>359.6201405577101</c:v>
                </c:pt>
                <c:pt idx="86">
                  <c:v>370.47065395285722</c:v>
                </c:pt>
                <c:pt idx="87">
                  <c:v>381.31423737076875</c:v>
                </c:pt>
                <c:pt idx="88">
                  <c:v>392.15111572316761</c:v>
                </c:pt>
                <c:pt idx="89">
                  <c:v>402.98150047310645</c:v>
                </c:pt>
                <c:pt idx="90">
                  <c:v>413.80559078670422</c:v>
                </c:pt>
                <c:pt idx="91">
                  <c:v>424.62357455806983</c:v>
                </c:pt>
                <c:pt idx="92">
                  <c:v>435.43562932431655</c:v>
                </c:pt>
                <c:pt idx="93">
                  <c:v>446.24192308494509</c:v>
                </c:pt>
                <c:pt idx="94">
                  <c:v>395.19544417615924</c:v>
                </c:pt>
                <c:pt idx="95">
                  <c:v>406.01920365917562</c:v>
                </c:pt>
                <c:pt idx="96">
                  <c:v>416.83672809851947</c:v>
                </c:pt>
                <c:pt idx="97">
                  <c:v>427.64820214882644</c:v>
                </c:pt>
                <c:pt idx="98">
                  <c:v>438.45380036444539</c:v>
                </c:pt>
                <c:pt idx="99">
                  <c:v>449.25368799253255</c:v>
                </c:pt>
                <c:pt idx="100">
                  <c:v>460.04802168589998</c:v>
                </c:pt>
                <c:pt idx="101">
                  <c:v>470.83695014547044</c:v>
                </c:pt>
                <c:pt idx="102">
                  <c:v>481.62061470077691</c:v>
                </c:pt>
                <c:pt idx="103">
                  <c:v>492.39914983576364</c:v>
                </c:pt>
                <c:pt idx="104">
                  <c:v>421.75488914200605</c:v>
                </c:pt>
                <c:pt idx="105">
                  <c:v>432.23038867220362</c:v>
                </c:pt>
                <c:pt idx="106">
                  <c:v>442.70043610565153</c:v>
                </c:pt>
                <c:pt idx="107">
                  <c:v>453.16517859068671</c:v>
                </c:pt>
                <c:pt idx="108">
                  <c:v>463.6247559239294</c:v>
                </c:pt>
                <c:pt idx="109">
                  <c:v>474.07930107870487</c:v>
                </c:pt>
                <c:pt idx="110">
                  <c:v>484.52894068442293</c:v>
                </c:pt>
                <c:pt idx="111">
                  <c:v>494.97379546244878</c:v>
                </c:pt>
                <c:pt idx="112">
                  <c:v>505.41398062326749</c:v>
                </c:pt>
                <c:pt idx="113">
                  <c:v>515.84960622912308</c:v>
                </c:pt>
                <c:pt idx="114">
                  <c:v>461.95200357411198</c:v>
                </c:pt>
                <c:pt idx="115">
                  <c:v>472.83904164349178</c:v>
                </c:pt>
                <c:pt idx="116">
                  <c:v>483.72074460631808</c:v>
                </c:pt>
                <c:pt idx="117">
                  <c:v>494.59724940555299</c:v>
                </c:pt>
                <c:pt idx="118">
                  <c:v>505.4686864697278</c:v>
                </c:pt>
                <c:pt idx="119">
                  <c:v>516.33518015926472</c:v>
                </c:pt>
                <c:pt idx="120">
                  <c:v>527.19684917327379</c:v>
                </c:pt>
                <c:pt idx="121">
                  <c:v>538.0538069210852</c:v>
                </c:pt>
                <c:pt idx="122">
                  <c:v>548.90616186223372</c:v>
                </c:pt>
                <c:pt idx="123">
                  <c:v>559.75401781816606</c:v>
                </c:pt>
                <c:pt idx="124">
                  <c:v>570.59747425852868</c:v>
                </c:pt>
                <c:pt idx="125">
                  <c:v>581.43662656456797</c:v>
                </c:pt>
                <c:pt idx="126">
                  <c:v>493.6492896849968</c:v>
                </c:pt>
                <c:pt idx="127">
                  <c:v>504.39424070485211</c:v>
                </c:pt>
                <c:pt idx="128">
                  <c:v>515.13435137963563</c:v>
                </c:pt>
                <c:pt idx="129">
                  <c:v>525.86973685240321</c:v>
                </c:pt>
                <c:pt idx="130">
                  <c:v>536.60050718168884</c:v>
                </c:pt>
                <c:pt idx="131">
                  <c:v>547.32676766538123</c:v>
                </c:pt>
                <c:pt idx="132">
                  <c:v>558.0486191378925</c:v>
                </c:pt>
                <c:pt idx="133">
                  <c:v>568.76615824330497</c:v>
                </c:pt>
                <c:pt idx="134">
                  <c:v>579.47947768686356</c:v>
                </c:pt>
                <c:pt idx="135">
                  <c:v>590.18866646690458</c:v>
                </c:pt>
                <c:pt idx="136">
                  <c:v>600.89381008908106</c:v>
                </c:pt>
                <c:pt idx="137">
                  <c:v>611.59499076453187</c:v>
                </c:pt>
                <c:pt idx="138">
                  <c:v>517.4845521341457</c:v>
                </c:pt>
                <c:pt idx="139">
                  <c:v>527.93580377962724</c:v>
                </c:pt>
                <c:pt idx="140">
                  <c:v>538.38270014185616</c:v>
                </c:pt>
                <c:pt idx="141">
                  <c:v>548.82533764336756</c:v>
                </c:pt>
                <c:pt idx="142">
                  <c:v>559.26380873828998</c:v>
                </c:pt>
                <c:pt idx="143">
                  <c:v>569.69820214826711</c:v>
                </c:pt>
                <c:pt idx="144">
                  <c:v>580.12860308019992</c:v>
                </c:pt>
                <c:pt idx="145">
                  <c:v>590.55509342751941</c:v>
                </c:pt>
                <c:pt idx="146">
                  <c:v>600.97775195650604</c:v>
                </c:pt>
                <c:pt idx="147">
                  <c:v>611.39665447901677</c:v>
                </c:pt>
                <c:pt idx="148">
                  <c:v>621.81187401282932</c:v>
                </c:pt>
                <c:pt idx="149">
                  <c:v>632.22348093068604</c:v>
                </c:pt>
                <c:pt idx="150">
                  <c:v>391.75618234016855</c:v>
                </c:pt>
                <c:pt idx="151">
                  <c:v>398.12797300026745</c:v>
                </c:pt>
                <c:pt idx="152">
                  <c:v>404.49755544422732</c:v>
                </c:pt>
                <c:pt idx="153">
                  <c:v>410.86496937947453</c:v>
                </c:pt>
                <c:pt idx="154">
                  <c:v>269.86768046055812</c:v>
                </c:pt>
                <c:pt idx="155">
                  <c:v>273.75370835861008</c:v>
                </c:pt>
                <c:pt idx="156">
                  <c:v>277.63849636932508</c:v>
                </c:pt>
                <c:pt idx="157">
                  <c:v>281.5220643228285</c:v>
                </c:pt>
                <c:pt idx="158">
                  <c:v>188.71318847193186</c:v>
                </c:pt>
                <c:pt idx="159">
                  <c:v>191.14520426585958</c:v>
                </c:pt>
                <c:pt idx="160">
                  <c:v>193.57649941136523</c:v>
                </c:pt>
                <c:pt idx="161">
                  <c:v>196.00708426396639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553.28361587129086</c:v>
                </c:pt>
                <c:pt idx="71">
                  <c:v>553.28361587129086</c:v>
                </c:pt>
                <c:pt idx="72">
                  <c:v>553.28361587129086</c:v>
                </c:pt>
                <c:pt idx="73">
                  <c:v>553.28361587129086</c:v>
                </c:pt>
                <c:pt idx="74">
                  <c:v>553.28361587129086</c:v>
                </c:pt>
                <c:pt idx="75">
                  <c:v>553.28361587129086</c:v>
                </c:pt>
                <c:pt idx="76">
                  <c:v>553.28361587129086</c:v>
                </c:pt>
                <c:pt idx="77">
                  <c:v>553.28361587129086</c:v>
                </c:pt>
                <c:pt idx="78">
                  <c:v>553.28361587129086</c:v>
                </c:pt>
                <c:pt idx="79">
                  <c:v>553.28361587129086</c:v>
                </c:pt>
                <c:pt idx="80">
                  <c:v>553.28361587129086</c:v>
                </c:pt>
                <c:pt idx="81">
                  <c:v>553.28361587129086</c:v>
                </c:pt>
                <c:pt idx="82">
                  <c:v>553.28361587129086</c:v>
                </c:pt>
                <c:pt idx="83">
                  <c:v>553.28361587129086</c:v>
                </c:pt>
                <c:pt idx="84">
                  <c:v>553.28361587129086</c:v>
                </c:pt>
                <c:pt idx="85">
                  <c:v>553.28361587129086</c:v>
                </c:pt>
                <c:pt idx="86">
                  <c:v>553.28361587129086</c:v>
                </c:pt>
                <c:pt idx="87">
                  <c:v>553.28361587129086</c:v>
                </c:pt>
                <c:pt idx="88">
                  <c:v>553.28361587129086</c:v>
                </c:pt>
                <c:pt idx="89">
                  <c:v>553.28361587129086</c:v>
                </c:pt>
                <c:pt idx="90">
                  <c:v>553.28361587129086</c:v>
                </c:pt>
                <c:pt idx="91">
                  <c:v>553.28361587129086</c:v>
                </c:pt>
                <c:pt idx="92">
                  <c:v>553.28361587129086</c:v>
                </c:pt>
                <c:pt idx="93">
                  <c:v>553.28361587129086</c:v>
                </c:pt>
                <c:pt idx="94">
                  <c:v>553.28361587129086</c:v>
                </c:pt>
                <c:pt idx="95">
                  <c:v>553.28361587129086</c:v>
                </c:pt>
                <c:pt idx="96">
                  <c:v>553.28361587129086</c:v>
                </c:pt>
                <c:pt idx="97">
                  <c:v>553.28361587129086</c:v>
                </c:pt>
                <c:pt idx="98">
                  <c:v>553.28361587129086</c:v>
                </c:pt>
                <c:pt idx="99">
                  <c:v>553.28361587129086</c:v>
                </c:pt>
                <c:pt idx="100">
                  <c:v>553.28361587129086</c:v>
                </c:pt>
                <c:pt idx="101">
                  <c:v>553.28361587129086</c:v>
                </c:pt>
                <c:pt idx="102">
                  <c:v>553.28361587129086</c:v>
                </c:pt>
                <c:pt idx="103">
                  <c:v>553.28361587129086</c:v>
                </c:pt>
                <c:pt idx="104">
                  <c:v>553.28361587129086</c:v>
                </c:pt>
                <c:pt idx="105">
                  <c:v>553.28361587129086</c:v>
                </c:pt>
                <c:pt idx="106">
                  <c:v>553.28361587129086</c:v>
                </c:pt>
                <c:pt idx="107">
                  <c:v>553.28361587129086</c:v>
                </c:pt>
                <c:pt idx="108">
                  <c:v>553.28361587129086</c:v>
                </c:pt>
                <c:pt idx="109">
                  <c:v>553.28361587129086</c:v>
                </c:pt>
                <c:pt idx="110">
                  <c:v>553.28361587129086</c:v>
                </c:pt>
                <c:pt idx="111">
                  <c:v>553.28361587129086</c:v>
                </c:pt>
                <c:pt idx="112">
                  <c:v>553.28361587129086</c:v>
                </c:pt>
                <c:pt idx="113">
                  <c:v>553.28361587129086</c:v>
                </c:pt>
                <c:pt idx="114">
                  <c:v>553.28361587129086</c:v>
                </c:pt>
                <c:pt idx="115">
                  <c:v>553.28361587129086</c:v>
                </c:pt>
                <c:pt idx="116">
                  <c:v>553.28361587129086</c:v>
                </c:pt>
                <c:pt idx="117">
                  <c:v>553.28361587129086</c:v>
                </c:pt>
                <c:pt idx="118">
                  <c:v>553.28361587129086</c:v>
                </c:pt>
                <c:pt idx="119">
                  <c:v>553.28361587129086</c:v>
                </c:pt>
                <c:pt idx="120">
                  <c:v>553.28361587129086</c:v>
                </c:pt>
                <c:pt idx="121">
                  <c:v>553.28361587129086</c:v>
                </c:pt>
                <c:pt idx="122">
                  <c:v>553.28361587129086</c:v>
                </c:pt>
                <c:pt idx="123">
                  <c:v>553.28361587129086</c:v>
                </c:pt>
                <c:pt idx="124">
                  <c:v>553.28361587129086</c:v>
                </c:pt>
                <c:pt idx="125">
                  <c:v>553.28361587129086</c:v>
                </c:pt>
                <c:pt idx="126">
                  <c:v>553.28361587129086</c:v>
                </c:pt>
                <c:pt idx="127">
                  <c:v>553.28361587129086</c:v>
                </c:pt>
                <c:pt idx="128">
                  <c:v>553.28361587129086</c:v>
                </c:pt>
                <c:pt idx="129">
                  <c:v>553.28361587129086</c:v>
                </c:pt>
                <c:pt idx="130">
                  <c:v>553.28361587129086</c:v>
                </c:pt>
                <c:pt idx="131">
                  <c:v>553.28361587129086</c:v>
                </c:pt>
                <c:pt idx="132">
                  <c:v>553.28361587129086</c:v>
                </c:pt>
                <c:pt idx="133">
                  <c:v>553.28361587129086</c:v>
                </c:pt>
                <c:pt idx="134">
                  <c:v>553.28361587129086</c:v>
                </c:pt>
                <c:pt idx="135">
                  <c:v>553.28361587129086</c:v>
                </c:pt>
                <c:pt idx="136">
                  <c:v>553.28361587129086</c:v>
                </c:pt>
                <c:pt idx="137">
                  <c:v>553.28361587129086</c:v>
                </c:pt>
                <c:pt idx="138">
                  <c:v>553.28361587129086</c:v>
                </c:pt>
                <c:pt idx="139">
                  <c:v>553.28361587129086</c:v>
                </c:pt>
                <c:pt idx="140">
                  <c:v>553.28361587129086</c:v>
                </c:pt>
                <c:pt idx="141">
                  <c:v>553.28361587129086</c:v>
                </c:pt>
                <c:pt idx="142">
                  <c:v>553.28361587129086</c:v>
                </c:pt>
                <c:pt idx="143">
                  <c:v>553.28361587129086</c:v>
                </c:pt>
                <c:pt idx="144">
                  <c:v>553.28361587129086</c:v>
                </c:pt>
                <c:pt idx="145">
                  <c:v>553.28361587129086</c:v>
                </c:pt>
                <c:pt idx="146">
                  <c:v>553.28361587129086</c:v>
                </c:pt>
                <c:pt idx="147">
                  <c:v>553.28361587129086</c:v>
                </c:pt>
                <c:pt idx="148">
                  <c:v>553.28361587129086</c:v>
                </c:pt>
                <c:pt idx="149">
                  <c:v>553.28361587129086</c:v>
                </c:pt>
                <c:pt idx="150">
                  <c:v>553.28361587129086</c:v>
                </c:pt>
                <c:pt idx="151">
                  <c:v>553.28361587129086</c:v>
                </c:pt>
                <c:pt idx="152">
                  <c:v>553.28361587129086</c:v>
                </c:pt>
                <c:pt idx="153">
                  <c:v>553.28361587129086</c:v>
                </c:pt>
                <c:pt idx="154">
                  <c:v>553.28361587129086</c:v>
                </c:pt>
                <c:pt idx="155">
                  <c:v>553.28361587129086</c:v>
                </c:pt>
                <c:pt idx="156">
                  <c:v>553.28361587129086</c:v>
                </c:pt>
                <c:pt idx="157">
                  <c:v>553.28361587129086</c:v>
                </c:pt>
                <c:pt idx="158">
                  <c:v>553.28361587129086</c:v>
                </c:pt>
                <c:pt idx="159">
                  <c:v>553.28361587129086</c:v>
                </c:pt>
                <c:pt idx="160">
                  <c:v>553.28361587129086</c:v>
                </c:pt>
                <c:pt idx="161">
                  <c:v>553.28361587129086</c:v>
                </c:pt>
                <c:pt idx="162">
                  <c:v>553.28361587129086</c:v>
                </c:pt>
                <c:pt idx="163">
                  <c:v>553.28361587129086</c:v>
                </c:pt>
                <c:pt idx="164">
                  <c:v>553.28361587129086</c:v>
                </c:pt>
                <c:pt idx="165">
                  <c:v>553.28361587129086</c:v>
                </c:pt>
                <c:pt idx="166">
                  <c:v>553.28361587129086</c:v>
                </c:pt>
                <c:pt idx="167">
                  <c:v>553.28361587129086</c:v>
                </c:pt>
                <c:pt idx="168">
                  <c:v>553.28361587129086</c:v>
                </c:pt>
                <c:pt idx="169">
                  <c:v>553.28361587129086</c:v>
                </c:pt>
                <c:pt idx="170">
                  <c:v>553.28361587129086</c:v>
                </c:pt>
                <c:pt idx="171">
                  <c:v>553.28361587129086</c:v>
                </c:pt>
                <c:pt idx="172">
                  <c:v>553.28361587129086</c:v>
                </c:pt>
                <c:pt idx="173">
                  <c:v>553.28361587129086</c:v>
                </c:pt>
                <c:pt idx="174">
                  <c:v>553.28361587129086</c:v>
                </c:pt>
                <c:pt idx="175">
                  <c:v>553.28361587129086</c:v>
                </c:pt>
                <c:pt idx="176">
                  <c:v>553.28361587129086</c:v>
                </c:pt>
                <c:pt idx="177">
                  <c:v>553.28361587129086</c:v>
                </c:pt>
                <c:pt idx="178">
                  <c:v>553.28361587129086</c:v>
                </c:pt>
                <c:pt idx="179">
                  <c:v>553.28361587129086</c:v>
                </c:pt>
                <c:pt idx="180">
                  <c:v>553.28361587129086</c:v>
                </c:pt>
                <c:pt idx="181">
                  <c:v>553.28361587129086</c:v>
                </c:pt>
                <c:pt idx="182">
                  <c:v>553.28361587129086</c:v>
                </c:pt>
                <c:pt idx="183">
                  <c:v>553.28361587129086</c:v>
                </c:pt>
                <c:pt idx="184">
                  <c:v>553.28361587129086</c:v>
                </c:pt>
                <c:pt idx="185">
                  <c:v>553.28361587129086</c:v>
                </c:pt>
                <c:pt idx="186">
                  <c:v>553.28361587129086</c:v>
                </c:pt>
                <c:pt idx="187">
                  <c:v>553.28361587129086</c:v>
                </c:pt>
                <c:pt idx="188">
                  <c:v>553.28361587129086</c:v>
                </c:pt>
                <c:pt idx="189">
                  <c:v>553.28361587129086</c:v>
                </c:pt>
                <c:pt idx="190">
                  <c:v>553.28361587129086</c:v>
                </c:pt>
                <c:pt idx="191">
                  <c:v>553.28361587129086</c:v>
                </c:pt>
                <c:pt idx="192">
                  <c:v>553.28361587129086</c:v>
                </c:pt>
                <c:pt idx="193">
                  <c:v>553.28361587129086</c:v>
                </c:pt>
                <c:pt idx="194">
                  <c:v>553.28361587129086</c:v>
                </c:pt>
                <c:pt idx="195">
                  <c:v>553.28361587129086</c:v>
                </c:pt>
                <c:pt idx="196">
                  <c:v>553.28361587129086</c:v>
                </c:pt>
                <c:pt idx="197">
                  <c:v>553.28361587129086</c:v>
                </c:pt>
                <c:pt idx="198">
                  <c:v>553.28361587129086</c:v>
                </c:pt>
                <c:pt idx="199">
                  <c:v>553.28361587129086</c:v>
                </c:pt>
                <c:pt idx="200">
                  <c:v>553.28361587129086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85.717976445344206</c:v>
                </c:pt>
                <c:pt idx="17">
                  <c:v>102.8595313521908</c:v>
                </c:pt>
                <c:pt idx="18">
                  <c:v>119.9302774112839</c:v>
                </c:pt>
                <c:pt idx="19">
                  <c:v>136.94173921341994</c:v>
                </c:pt>
                <c:pt idx="20">
                  <c:v>153.90233005028915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235.21435428998385</c:v>
                </c:pt>
                <c:pt idx="33">
                  <c:v>254.99477397913537</c:v>
                </c:pt>
                <c:pt idx="34">
                  <c:v>274.74047191396772</c:v>
                </c:pt>
                <c:pt idx="35">
                  <c:v>294.45429395414675</c:v>
                </c:pt>
                <c:pt idx="36">
                  <c:v>314.13867371561679</c:v>
                </c:pt>
                <c:pt idx="37">
                  <c:v>333.79571492319093</c:v>
                </c:pt>
                <c:pt idx="38">
                  <c:v>290.64642518676175</c:v>
                </c:pt>
                <c:pt idx="39">
                  <c:v>310.00563425237812</c:v>
                </c:pt>
                <c:pt idx="40">
                  <c:v>329.33801275966874</c:v>
                </c:pt>
                <c:pt idx="41">
                  <c:v>348.64535664092631</c:v>
                </c:pt>
                <c:pt idx="42">
                  <c:v>367.92924671972099</c:v>
                </c:pt>
                <c:pt idx="43">
                  <c:v>387.1910846335881</c:v>
                </c:pt>
                <c:pt idx="44">
                  <c:v>406.43212123270087</c:v>
                </c:pt>
                <c:pt idx="45">
                  <c:v>350.03678877744466</c:v>
                </c:pt>
                <c:pt idx="46">
                  <c:v>367.99101790074377</c:v>
                </c:pt>
                <c:pt idx="47">
                  <c:v>385.92613449835784</c:v>
                </c:pt>
                <c:pt idx="48">
                  <c:v>403.84315144097854</c:v>
                </c:pt>
                <c:pt idx="49">
                  <c:v>421.74298442163996</c:v>
                </c:pt>
                <c:pt idx="50">
                  <c:v>439.62646509306978</c:v>
                </c:pt>
                <c:pt idx="51">
                  <c:v>457.49435195604133</c:v>
                </c:pt>
                <c:pt idx="52">
                  <c:v>475.34733945827878</c:v>
                </c:pt>
                <c:pt idx="53">
                  <c:v>407.29503182673903</c:v>
                </c:pt>
                <c:pt idx="54">
                  <c:v>423.68293333202695</c:v>
                </c:pt>
                <c:pt idx="55">
                  <c:v>440.05719702613652</c:v>
                </c:pt>
                <c:pt idx="56">
                  <c:v>456.41840163001302</c:v>
                </c:pt>
                <c:pt idx="57">
                  <c:v>472.76708100439265</c:v>
                </c:pt>
                <c:pt idx="58">
                  <c:v>489.10372909031236</c:v>
                </c:pt>
                <c:pt idx="59">
                  <c:v>505.42880415532341</c:v>
                </c:pt>
                <c:pt idx="60">
                  <c:v>521.74273246270207</c:v>
                </c:pt>
                <c:pt idx="61">
                  <c:v>455.84453930443124</c:v>
                </c:pt>
                <c:pt idx="62">
                  <c:v>470.76000609173275</c:v>
                </c:pt>
                <c:pt idx="63">
                  <c:v>485.66541136738397</c:v>
                </c:pt>
                <c:pt idx="64">
                  <c:v>500.56110732175648</c:v>
                </c:pt>
                <c:pt idx="65">
                  <c:v>515.44742348183297</c:v>
                </c:pt>
                <c:pt idx="66">
                  <c:v>530.32466879559718</c:v>
                </c:pt>
                <c:pt idx="67">
                  <c:v>545.19313347042998</c:v>
                </c:pt>
                <c:pt idx="68">
                  <c:v>560.05309060059778</c:v>
                </c:pt>
                <c:pt idx="69">
                  <c:v>574.90479761309132</c:v>
                </c:pt>
                <c:pt idx="70">
                  <c:v>574.90479761309132</c:v>
                </c:pt>
                <c:pt idx="71">
                  <c:v>574.90479761309132</c:v>
                </c:pt>
                <c:pt idx="72">
                  <c:v>574.90479761309132</c:v>
                </c:pt>
                <c:pt idx="73">
                  <c:v>574.90479761309132</c:v>
                </c:pt>
                <c:pt idx="74">
                  <c:v>574.90479761309132</c:v>
                </c:pt>
                <c:pt idx="75">
                  <c:v>574.90479761309132</c:v>
                </c:pt>
                <c:pt idx="76">
                  <c:v>574.90479761309132</c:v>
                </c:pt>
                <c:pt idx="77">
                  <c:v>574.90479761309132</c:v>
                </c:pt>
                <c:pt idx="78">
                  <c:v>574.90479761309132</c:v>
                </c:pt>
                <c:pt idx="79">
                  <c:v>574.90479761309132</c:v>
                </c:pt>
                <c:pt idx="80">
                  <c:v>574.90479761309132</c:v>
                </c:pt>
                <c:pt idx="81">
                  <c:v>574.90479761309132</c:v>
                </c:pt>
                <c:pt idx="82">
                  <c:v>574.90479761309132</c:v>
                </c:pt>
                <c:pt idx="83">
                  <c:v>574.90479761309132</c:v>
                </c:pt>
                <c:pt idx="84">
                  <c:v>574.90479761309132</c:v>
                </c:pt>
                <c:pt idx="85">
                  <c:v>574.90479761309132</c:v>
                </c:pt>
                <c:pt idx="86">
                  <c:v>574.90479761309132</c:v>
                </c:pt>
                <c:pt idx="87">
                  <c:v>574.90479761309132</c:v>
                </c:pt>
                <c:pt idx="88">
                  <c:v>574.90479761309132</c:v>
                </c:pt>
                <c:pt idx="89">
                  <c:v>574.90479761309132</c:v>
                </c:pt>
                <c:pt idx="90">
                  <c:v>574.90479761309132</c:v>
                </c:pt>
                <c:pt idx="91">
                  <c:v>574.90479761309132</c:v>
                </c:pt>
                <c:pt idx="92">
                  <c:v>574.90479761309132</c:v>
                </c:pt>
                <c:pt idx="93">
                  <c:v>574.90479761309132</c:v>
                </c:pt>
                <c:pt idx="94">
                  <c:v>574.90479761309132</c:v>
                </c:pt>
                <c:pt idx="95">
                  <c:v>574.90479761309132</c:v>
                </c:pt>
                <c:pt idx="96">
                  <c:v>574.90479761309132</c:v>
                </c:pt>
                <c:pt idx="97">
                  <c:v>574.90479761309132</c:v>
                </c:pt>
                <c:pt idx="98">
                  <c:v>574.90479761309132</c:v>
                </c:pt>
                <c:pt idx="99">
                  <c:v>574.90479761309132</c:v>
                </c:pt>
                <c:pt idx="100">
                  <c:v>574.90479761309132</c:v>
                </c:pt>
                <c:pt idx="101">
                  <c:v>574.90479761309132</c:v>
                </c:pt>
                <c:pt idx="102">
                  <c:v>574.90479761309132</c:v>
                </c:pt>
                <c:pt idx="103">
                  <c:v>574.90479761309132</c:v>
                </c:pt>
                <c:pt idx="104">
                  <c:v>574.90479761309132</c:v>
                </c:pt>
                <c:pt idx="105">
                  <c:v>574.90479761309132</c:v>
                </c:pt>
                <c:pt idx="106">
                  <c:v>574.90479761309132</c:v>
                </c:pt>
                <c:pt idx="107">
                  <c:v>574.90479761309132</c:v>
                </c:pt>
                <c:pt idx="108">
                  <c:v>574.90479761309132</c:v>
                </c:pt>
                <c:pt idx="109">
                  <c:v>574.90479761309132</c:v>
                </c:pt>
                <c:pt idx="110">
                  <c:v>574.90479761309132</c:v>
                </c:pt>
                <c:pt idx="111">
                  <c:v>574.90479761309132</c:v>
                </c:pt>
                <c:pt idx="112">
                  <c:v>574.90479761309132</c:v>
                </c:pt>
                <c:pt idx="113">
                  <c:v>574.90479761309132</c:v>
                </c:pt>
                <c:pt idx="114">
                  <c:v>574.90479761309132</c:v>
                </c:pt>
                <c:pt idx="115">
                  <c:v>574.90479761309132</c:v>
                </c:pt>
                <c:pt idx="116">
                  <c:v>574.90479761309132</c:v>
                </c:pt>
                <c:pt idx="117">
                  <c:v>574.90479761309132</c:v>
                </c:pt>
                <c:pt idx="118">
                  <c:v>574.90479761309132</c:v>
                </c:pt>
                <c:pt idx="119">
                  <c:v>574.90479761309132</c:v>
                </c:pt>
                <c:pt idx="120">
                  <c:v>574.90479761309132</c:v>
                </c:pt>
                <c:pt idx="121">
                  <c:v>574.90479761309132</c:v>
                </c:pt>
                <c:pt idx="122">
                  <c:v>574.90479761309132</c:v>
                </c:pt>
                <c:pt idx="123">
                  <c:v>574.90479761309132</c:v>
                </c:pt>
                <c:pt idx="124">
                  <c:v>574.90479761309132</c:v>
                </c:pt>
                <c:pt idx="125">
                  <c:v>574.90479761309132</c:v>
                </c:pt>
                <c:pt idx="126">
                  <c:v>574.90479761309132</c:v>
                </c:pt>
                <c:pt idx="127">
                  <c:v>574.90479761309132</c:v>
                </c:pt>
                <c:pt idx="128">
                  <c:v>574.90479761309132</c:v>
                </c:pt>
                <c:pt idx="129">
                  <c:v>574.90479761309132</c:v>
                </c:pt>
                <c:pt idx="130">
                  <c:v>574.90479761309132</c:v>
                </c:pt>
                <c:pt idx="131">
                  <c:v>574.90479761309132</c:v>
                </c:pt>
                <c:pt idx="132">
                  <c:v>574.90479761309132</c:v>
                </c:pt>
                <c:pt idx="133">
                  <c:v>574.90479761309132</c:v>
                </c:pt>
                <c:pt idx="134">
                  <c:v>574.90479761309132</c:v>
                </c:pt>
                <c:pt idx="135">
                  <c:v>574.90479761309132</c:v>
                </c:pt>
                <c:pt idx="136">
                  <c:v>574.90479761309132</c:v>
                </c:pt>
                <c:pt idx="137">
                  <c:v>574.90479761309132</c:v>
                </c:pt>
                <c:pt idx="138">
                  <c:v>574.90479761309132</c:v>
                </c:pt>
                <c:pt idx="139">
                  <c:v>574.90479761309132</c:v>
                </c:pt>
                <c:pt idx="140">
                  <c:v>574.90479761309132</c:v>
                </c:pt>
                <c:pt idx="141">
                  <c:v>574.90479761309132</c:v>
                </c:pt>
                <c:pt idx="142">
                  <c:v>574.90479761309132</c:v>
                </c:pt>
                <c:pt idx="143">
                  <c:v>574.90479761309132</c:v>
                </c:pt>
                <c:pt idx="144">
                  <c:v>574.90479761309132</c:v>
                </c:pt>
                <c:pt idx="145">
                  <c:v>574.90479761309132</c:v>
                </c:pt>
                <c:pt idx="146">
                  <c:v>574.90479761309132</c:v>
                </c:pt>
                <c:pt idx="147">
                  <c:v>574.90479761309132</c:v>
                </c:pt>
                <c:pt idx="148">
                  <c:v>574.90479761309132</c:v>
                </c:pt>
                <c:pt idx="149">
                  <c:v>574.90479761309132</c:v>
                </c:pt>
                <c:pt idx="150">
                  <c:v>574.90479761309132</c:v>
                </c:pt>
                <c:pt idx="151">
                  <c:v>574.90479761309132</c:v>
                </c:pt>
                <c:pt idx="152">
                  <c:v>574.90479761309132</c:v>
                </c:pt>
                <c:pt idx="153">
                  <c:v>574.90479761309132</c:v>
                </c:pt>
                <c:pt idx="154">
                  <c:v>574.90479761309132</c:v>
                </c:pt>
                <c:pt idx="155">
                  <c:v>574.90479761309132</c:v>
                </c:pt>
                <c:pt idx="156">
                  <c:v>574.90479761309132</c:v>
                </c:pt>
                <c:pt idx="157">
                  <c:v>574.90479761309132</c:v>
                </c:pt>
                <c:pt idx="158">
                  <c:v>574.90479761309132</c:v>
                </c:pt>
                <c:pt idx="159">
                  <c:v>574.90479761309132</c:v>
                </c:pt>
                <c:pt idx="160">
                  <c:v>574.90479761309132</c:v>
                </c:pt>
                <c:pt idx="161">
                  <c:v>574.90479761309132</c:v>
                </c:pt>
                <c:pt idx="162">
                  <c:v>574.90479761309132</c:v>
                </c:pt>
                <c:pt idx="163">
                  <c:v>574.90479761309132</c:v>
                </c:pt>
                <c:pt idx="164">
                  <c:v>574.90479761309132</c:v>
                </c:pt>
                <c:pt idx="165">
                  <c:v>574.90479761309132</c:v>
                </c:pt>
                <c:pt idx="166">
                  <c:v>574.90479761309132</c:v>
                </c:pt>
                <c:pt idx="167">
                  <c:v>574.90479761309132</c:v>
                </c:pt>
                <c:pt idx="168">
                  <c:v>574.90479761309132</c:v>
                </c:pt>
                <c:pt idx="169">
                  <c:v>574.90479761309132</c:v>
                </c:pt>
                <c:pt idx="170">
                  <c:v>574.90479761309132</c:v>
                </c:pt>
                <c:pt idx="171">
                  <c:v>574.90479761309132</c:v>
                </c:pt>
                <c:pt idx="172">
                  <c:v>574.90479761309132</c:v>
                </c:pt>
                <c:pt idx="173">
                  <c:v>574.90479761309132</c:v>
                </c:pt>
                <c:pt idx="174">
                  <c:v>574.90479761309132</c:v>
                </c:pt>
                <c:pt idx="175">
                  <c:v>574.90479761309132</c:v>
                </c:pt>
                <c:pt idx="176">
                  <c:v>574.90479761309132</c:v>
                </c:pt>
                <c:pt idx="177">
                  <c:v>574.90479761309132</c:v>
                </c:pt>
                <c:pt idx="178">
                  <c:v>574.90479761309132</c:v>
                </c:pt>
                <c:pt idx="179">
                  <c:v>574.90479761309132</c:v>
                </c:pt>
                <c:pt idx="180">
                  <c:v>574.90479761309132</c:v>
                </c:pt>
                <c:pt idx="181">
                  <c:v>574.90479761309132</c:v>
                </c:pt>
                <c:pt idx="182">
                  <c:v>574.90479761309132</c:v>
                </c:pt>
                <c:pt idx="183">
                  <c:v>574.90479761309132</c:v>
                </c:pt>
                <c:pt idx="184">
                  <c:v>574.90479761309132</c:v>
                </c:pt>
                <c:pt idx="185">
                  <c:v>574.90479761309132</c:v>
                </c:pt>
                <c:pt idx="186">
                  <c:v>574.90479761309132</c:v>
                </c:pt>
                <c:pt idx="187">
                  <c:v>574.90479761309132</c:v>
                </c:pt>
                <c:pt idx="188">
                  <c:v>574.90479761309132</c:v>
                </c:pt>
                <c:pt idx="189">
                  <c:v>574.90479761309132</c:v>
                </c:pt>
                <c:pt idx="190">
                  <c:v>574.90479761309132</c:v>
                </c:pt>
                <c:pt idx="191">
                  <c:v>574.90479761309132</c:v>
                </c:pt>
                <c:pt idx="192">
                  <c:v>574.90479761309132</c:v>
                </c:pt>
                <c:pt idx="193">
                  <c:v>574.90479761309132</c:v>
                </c:pt>
                <c:pt idx="194">
                  <c:v>574.90479761309132</c:v>
                </c:pt>
                <c:pt idx="195">
                  <c:v>574.90479761309132</c:v>
                </c:pt>
                <c:pt idx="196">
                  <c:v>574.90479761309132</c:v>
                </c:pt>
                <c:pt idx="197">
                  <c:v>574.90479761309132</c:v>
                </c:pt>
                <c:pt idx="198">
                  <c:v>574.90479761309132</c:v>
                </c:pt>
                <c:pt idx="199">
                  <c:v>574.90479761309132</c:v>
                </c:pt>
                <c:pt idx="200">
                  <c:v>574.90479761309132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4" zoomScale="80" zoomScaleNormal="80" workbookViewId="0">
      <selection activeCell="D22" sqref="D2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6.41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0.38</v>
      </c>
      <c r="D9" s="33">
        <f t="shared" ref="D9:D18" si="0">C9*$C$5</f>
        <v>2.4358</v>
      </c>
      <c r="E9" s="34">
        <f>MAX(A36:A55)</f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12</v>
      </c>
      <c r="C10" s="32">
        <v>0.08</v>
      </c>
      <c r="D10" s="33">
        <f t="shared" si="0"/>
        <v>0.51280000000000003</v>
      </c>
      <c r="E10" s="34">
        <f>MAX(A62:A81)</f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13</v>
      </c>
      <c r="C11" s="32">
        <v>0.08</v>
      </c>
      <c r="D11" s="33">
        <f t="shared" si="0"/>
        <v>0.51280000000000003</v>
      </c>
      <c r="E11" s="34">
        <f>MAX(A88:A107)</f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6</v>
      </c>
      <c r="C12" s="32">
        <v>0.05</v>
      </c>
      <c r="D12" s="33">
        <f t="shared" si="0"/>
        <v>0.32050000000000001</v>
      </c>
      <c r="E12" s="34">
        <f>MAX(A114:A133)</f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44</v>
      </c>
      <c r="C13" s="32">
        <v>0.03</v>
      </c>
      <c r="D13" s="33">
        <f t="shared" si="0"/>
        <v>0.1923</v>
      </c>
      <c r="E13" s="34">
        <f>MAX(A140:A159)</f>
        <v>45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</v>
      </c>
      <c r="C14" s="32">
        <v>0.1</v>
      </c>
      <c r="D14" s="33">
        <f t="shared" si="0"/>
        <v>0.64100000000000001</v>
      </c>
      <c r="E14" s="34">
        <f>MAX(A166:A185)</f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29</v>
      </c>
      <c r="C15" s="32">
        <v>0.02</v>
      </c>
      <c r="D15" s="33">
        <f t="shared" si="0"/>
        <v>0.12820000000000001</v>
      </c>
      <c r="E15" s="34">
        <f>MAX(A192:A211)</f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36</v>
      </c>
      <c r="C16" s="32">
        <v>0.12</v>
      </c>
      <c r="D16" s="33">
        <f t="shared" si="0"/>
        <v>0.76919999999999999</v>
      </c>
      <c r="E16" s="34">
        <f>MAX(A218:A237)</f>
        <v>56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30</v>
      </c>
      <c r="C17" s="32">
        <v>0.03</v>
      </c>
      <c r="D17" s="33">
        <f t="shared" si="0"/>
        <v>0.1923</v>
      </c>
      <c r="E17" s="34">
        <f>MAX(A244:A263)</f>
        <v>69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 t="s">
        <v>41</v>
      </c>
      <c r="C18" s="32">
        <v>0.1</v>
      </c>
      <c r="D18" s="33">
        <f t="shared" si="0"/>
        <v>0.64100000000000001</v>
      </c>
      <c r="E18" s="34">
        <f>MAX(A270:A289)</f>
        <v>91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0.9900000000000001</v>
      </c>
      <c r="D19" s="38">
        <f>SUM(D9:D18)</f>
        <v>6.3458999999999994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121.88461538461537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35</v>
      </c>
      <c r="B63" s="60">
        <v>162.16666666666669</v>
      </c>
      <c r="C63" s="60">
        <v>1</v>
      </c>
      <c r="D63" s="60">
        <v>60.602564102564102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41</v>
      </c>
      <c r="B64" s="60">
        <v>157.44871794871796</v>
      </c>
      <c r="C64" s="60">
        <v>2</v>
      </c>
      <c r="D64" s="60">
        <v>38.512820512820511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48</v>
      </c>
      <c r="B65" s="60">
        <v>184.35256410256409</v>
      </c>
      <c r="C65" s="60">
        <v>3</v>
      </c>
      <c r="D65" s="60">
        <v>48.025641025641022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55</v>
      </c>
      <c r="B66" s="60">
        <v>198.44230769230768</v>
      </c>
      <c r="C66" s="60">
        <v>4</v>
      </c>
      <c r="D66" s="60">
        <v>45.147435897435898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63</v>
      </c>
      <c r="B67" s="60">
        <v>220.28846153846152</v>
      </c>
      <c r="C67" s="60">
        <v>5</v>
      </c>
      <c r="D67" s="60">
        <v>41.724358974358978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71</v>
      </c>
      <c r="B68" s="60">
        <v>243.36538461538464</v>
      </c>
      <c r="C68" s="60">
        <v>6</v>
      </c>
      <c r="D68" s="60">
        <v>39.935897435897431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274.01282051282055</v>
      </c>
      <c r="C69" s="50">
        <v>7</v>
      </c>
      <c r="D69" s="50">
        <v>45.608974358974358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89</v>
      </c>
      <c r="B70" s="50">
        <v>295.85897435897436</v>
      </c>
      <c r="C70" s="50">
        <v>8</v>
      </c>
      <c r="D70" s="50">
        <v>49.391025641025635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18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47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87</v>
      </c>
      <c r="C90" s="60">
        <v>1</v>
      </c>
      <c r="D90" s="60" t="s">
        <v>325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98</v>
      </c>
      <c r="C91" s="60">
        <v>2</v>
      </c>
      <c r="D91" s="60" t="s">
        <v>326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119</v>
      </c>
      <c r="C92" s="60">
        <v>3</v>
      </c>
      <c r="D92" s="60" t="s">
        <v>327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135</v>
      </c>
      <c r="C93" s="60">
        <v>4</v>
      </c>
      <c r="D93" s="60" t="s">
        <v>327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7.2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150</v>
      </c>
      <c r="C94" s="60">
        <v>5</v>
      </c>
      <c r="D94" s="60" t="s">
        <v>327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162</v>
      </c>
      <c r="C95" s="60">
        <v>6</v>
      </c>
      <c r="D95" s="60" t="s">
        <v>326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6.4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173</v>
      </c>
      <c r="C96" s="60">
        <v>7</v>
      </c>
      <c r="D96" s="60" t="s">
        <v>328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181</v>
      </c>
      <c r="C97" s="60">
        <v>8</v>
      </c>
      <c r="D97" s="60" t="s">
        <v>329</v>
      </c>
      <c r="E97" s="87">
        <v>0.4</v>
      </c>
      <c r="F97" s="87">
        <v>0.4</v>
      </c>
      <c r="G97" s="87">
        <v>0</v>
      </c>
      <c r="H97" s="87">
        <v>0.2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189</v>
      </c>
      <c r="C98" s="60">
        <v>9</v>
      </c>
      <c r="D98" s="60" t="s">
        <v>330</v>
      </c>
      <c r="E98" s="87">
        <v>0.4</v>
      </c>
      <c r="F98" s="87">
        <v>0.4</v>
      </c>
      <c r="G98" s="87">
        <v>0</v>
      </c>
      <c r="H98" s="87">
        <v>0.2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195</v>
      </c>
      <c r="C99" s="60">
        <v>10</v>
      </c>
      <c r="D99" s="60" t="s">
        <v>331</v>
      </c>
      <c r="E99" s="87">
        <v>0.4</v>
      </c>
      <c r="F99" s="87">
        <v>0.4</v>
      </c>
      <c r="G99" s="87">
        <v>0</v>
      </c>
      <c r="H99" s="87">
        <v>0.2</v>
      </c>
      <c r="I99" s="53">
        <f t="shared" si="3"/>
        <v>4.4000000000000004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201</v>
      </c>
      <c r="C100" s="60">
        <v>11</v>
      </c>
      <c r="D100" s="60" t="s">
        <v>332</v>
      </c>
      <c r="E100" s="65">
        <v>0.4</v>
      </c>
      <c r="F100" s="65">
        <v>0.4</v>
      </c>
      <c r="G100" s="65">
        <v>0</v>
      </c>
      <c r="H100" s="65">
        <v>0.2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204</v>
      </c>
      <c r="C101" s="60">
        <v>12</v>
      </c>
      <c r="D101" s="60" t="s">
        <v>333</v>
      </c>
      <c r="E101" s="65">
        <v>0.4</v>
      </c>
      <c r="F101" s="65">
        <v>0.4</v>
      </c>
      <c r="G101" s="65">
        <v>0</v>
      </c>
      <c r="H101" s="65">
        <v>0.2</v>
      </c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208</v>
      </c>
      <c r="C102" s="60">
        <v>13</v>
      </c>
      <c r="D102" s="50" t="s">
        <v>334</v>
      </c>
      <c r="E102" s="54">
        <v>0.4</v>
      </c>
      <c r="F102" s="54">
        <v>0.4</v>
      </c>
      <c r="G102" s="54">
        <v>0</v>
      </c>
      <c r="H102" s="54">
        <v>0.2</v>
      </c>
      <c r="I102" s="53">
        <f t="shared" si="3"/>
        <v>3.2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211</v>
      </c>
      <c r="C103" s="60">
        <v>14</v>
      </c>
      <c r="D103" s="50" t="s">
        <v>335</v>
      </c>
      <c r="E103" s="54">
        <v>0.5</v>
      </c>
      <c r="F103" s="54">
        <v>0.4</v>
      </c>
      <c r="G103" s="54">
        <v>0</v>
      </c>
      <c r="H103" s="54">
        <v>0.1</v>
      </c>
      <c r="I103" s="53">
        <f t="shared" si="3"/>
        <v>2.8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215</v>
      </c>
      <c r="C104" s="60">
        <v>15</v>
      </c>
      <c r="D104" s="50" t="s">
        <v>335</v>
      </c>
      <c r="E104" s="54">
        <v>0.5</v>
      </c>
      <c r="F104" s="54">
        <v>0.4</v>
      </c>
      <c r="G104" s="54">
        <v>0</v>
      </c>
      <c r="H104" s="54">
        <v>0.1</v>
      </c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95</v>
      </c>
      <c r="B105" s="50">
        <v>219</v>
      </c>
      <c r="C105" s="50">
        <v>16</v>
      </c>
      <c r="D105" s="50" t="s">
        <v>334</v>
      </c>
      <c r="E105" s="54">
        <v>0.5</v>
      </c>
      <c r="F105" s="54">
        <v>0.4</v>
      </c>
      <c r="G105" s="54">
        <v>0</v>
      </c>
      <c r="H105" s="54">
        <v>0.1</v>
      </c>
      <c r="I105" s="53">
        <f t="shared" si="3"/>
        <v>2.8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100</v>
      </c>
      <c r="B106" s="50">
        <v>223</v>
      </c>
      <c r="C106" s="50">
        <v>17</v>
      </c>
      <c r="D106" s="50" t="s">
        <v>334</v>
      </c>
      <c r="E106" s="54">
        <v>0.5</v>
      </c>
      <c r="F106" s="54">
        <v>0.4</v>
      </c>
      <c r="G106" s="54">
        <v>0</v>
      </c>
      <c r="H106" s="54">
        <v>0.1</v>
      </c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87.705128205128204</v>
      </c>
      <c r="C114" s="50" t="s">
        <v>324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44</v>
      </c>
      <c r="B115" s="60">
        <v>162.42307692307691</v>
      </c>
      <c r="C115" s="50">
        <v>1</v>
      </c>
      <c r="D115" s="60">
        <v>64.416666666666657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5.3369963369963358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51</v>
      </c>
      <c r="B116" s="60">
        <v>145.78846153846152</v>
      </c>
      <c r="C116" s="50">
        <v>2</v>
      </c>
      <c r="D116" s="60">
        <v>37.685897435897431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6.826007326007324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59</v>
      </c>
      <c r="B117" s="60">
        <v>159.25641025641025</v>
      </c>
      <c r="C117" s="50">
        <v>3</v>
      </c>
      <c r="D117" s="60">
        <v>38.942307692307693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6.3942307692307701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67</v>
      </c>
      <c r="B118" s="60">
        <v>167.85897435897436</v>
      </c>
      <c r="C118" s="50">
        <v>4</v>
      </c>
      <c r="D118" s="60">
        <v>31.993589743589741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5.9431089743589762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75</v>
      </c>
      <c r="B119" s="60">
        <v>181.38461538461536</v>
      </c>
      <c r="C119" s="50">
        <v>5</v>
      </c>
      <c r="D119" s="60">
        <v>30.916666666666664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5.6899038461538431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200.00641025641025</v>
      </c>
      <c r="C120" s="60">
        <v>6</v>
      </c>
      <c r="D120" s="60">
        <v>35.083333333333329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5.5042735042735051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93</v>
      </c>
      <c r="B121" s="60">
        <v>212.26923076923075</v>
      </c>
      <c r="C121" s="60">
        <v>7</v>
      </c>
      <c r="D121" s="60">
        <v>30.083333333333332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5.2606837606837598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103</v>
      </c>
      <c r="B122" s="60">
        <v>234.76923076923077</v>
      </c>
      <c r="C122" s="60">
        <v>8</v>
      </c>
      <c r="D122" s="60">
        <v>39.512820512820511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5.2583333333333373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113</v>
      </c>
      <c r="B123" s="60">
        <v>246.21794871794873</v>
      </c>
      <c r="C123" s="60">
        <v>9</v>
      </c>
      <c r="D123" s="60">
        <v>31.602564102564099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5.0961538461538449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125</v>
      </c>
      <c r="B124" s="60">
        <v>278.29487179487177</v>
      </c>
      <c r="C124" s="60">
        <v>10</v>
      </c>
      <c r="D124" s="60">
        <v>48.160256410256409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5.3066239316239274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137</v>
      </c>
      <c r="B125" s="60">
        <v>293.07051282051282</v>
      </c>
      <c r="C125" s="60">
        <v>11</v>
      </c>
      <c r="D125" s="60">
        <v>51.160256410256409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5.2446581196581219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149</v>
      </c>
      <c r="B126" s="60">
        <v>303.18589743589746</v>
      </c>
      <c r="C126" s="60">
        <v>12</v>
      </c>
      <c r="D126" s="60">
        <v>120.50641025641026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5.1063034188034209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153</v>
      </c>
      <c r="B127" s="60">
        <v>195.05769230769226</v>
      </c>
      <c r="C127" s="60">
        <v>13</v>
      </c>
      <c r="D127" s="60">
        <v>70.115384615384613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3.0945512820512704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157</v>
      </c>
      <c r="B128" s="50">
        <v>132.42948717948718</v>
      </c>
      <c r="C128" s="50">
        <v>14</v>
      </c>
      <c r="D128" s="50">
        <v>45.71153846153846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1.8717948717948829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161</v>
      </c>
      <c r="B129" s="50">
        <v>91.365384615384613</v>
      </c>
      <c r="C129" s="50">
        <v>15</v>
      </c>
      <c r="D129" s="50">
        <v>91.365384615384613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1.1618589743589709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Robinier faux-acacia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5</v>
      </c>
      <c r="B140" s="60">
        <v>28</v>
      </c>
      <c r="C140" s="50">
        <v>1</v>
      </c>
      <c r="D140" s="60">
        <v>4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5.6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10</v>
      </c>
      <c r="B141" s="60">
        <v>79</v>
      </c>
      <c r="C141" s="50">
        <v>2</v>
      </c>
      <c r="D141" s="60">
        <v>21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15</v>
      </c>
      <c r="B142" s="60">
        <v>113</v>
      </c>
      <c r="C142" s="50">
        <v>3</v>
      </c>
      <c r="D142" s="60">
        <v>18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20</v>
      </c>
      <c r="B143" s="60">
        <v>145</v>
      </c>
      <c r="C143" s="50">
        <v>4</v>
      </c>
      <c r="D143" s="60">
        <v>14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10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25</v>
      </c>
      <c r="B144" s="60">
        <v>173</v>
      </c>
      <c r="C144" s="50">
        <v>5</v>
      </c>
      <c r="D144" s="60">
        <v>11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30</v>
      </c>
      <c r="B145" s="60">
        <v>196</v>
      </c>
      <c r="C145" s="50">
        <v>6</v>
      </c>
      <c r="D145" s="60">
        <v>8</v>
      </c>
      <c r="E145" s="51">
        <v>0</v>
      </c>
      <c r="F145" s="51">
        <v>0.5</v>
      </c>
      <c r="G145" s="51">
        <v>0</v>
      </c>
      <c r="H145" s="51">
        <v>0.5</v>
      </c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35</v>
      </c>
      <c r="B146" s="60">
        <v>216</v>
      </c>
      <c r="C146" s="50">
        <v>7</v>
      </c>
      <c r="D146" s="60">
        <v>7</v>
      </c>
      <c r="E146" s="51">
        <v>0</v>
      </c>
      <c r="F146" s="51">
        <v>0.5</v>
      </c>
      <c r="G146" s="51">
        <v>0</v>
      </c>
      <c r="H146" s="51">
        <v>0.5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40</v>
      </c>
      <c r="B147" s="60">
        <v>233</v>
      </c>
      <c r="C147" s="50">
        <v>8</v>
      </c>
      <c r="D147" s="60">
        <v>5</v>
      </c>
      <c r="E147" s="51">
        <v>0</v>
      </c>
      <c r="F147" s="51">
        <v>0.5</v>
      </c>
      <c r="G147" s="51">
        <v>0</v>
      </c>
      <c r="H147" s="51">
        <v>0.5</v>
      </c>
      <c r="I147" s="57">
        <f>IF(A147&lt;&gt;0,(B147-(B146-D146))/(A147-A146),"")</f>
        <v>4.8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45</v>
      </c>
      <c r="B148" s="60">
        <v>252</v>
      </c>
      <c r="C148" s="50">
        <v>9</v>
      </c>
      <c r="D148" s="60">
        <v>5</v>
      </c>
      <c r="E148" s="51">
        <v>0.3</v>
      </c>
      <c r="F148" s="51">
        <v>0.4</v>
      </c>
      <c r="G148" s="51">
        <v>0</v>
      </c>
      <c r="H148" s="51">
        <v>0.3</v>
      </c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87.705128205128204</v>
      </c>
      <c r="C166" s="60" t="s">
        <v>324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44</v>
      </c>
      <c r="B167" s="60">
        <v>162.42307692307691</v>
      </c>
      <c r="C167" s="60">
        <v>1</v>
      </c>
      <c r="D167" s="60">
        <v>64.416666666666657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51</v>
      </c>
      <c r="B168" s="60">
        <v>145.78846153846152</v>
      </c>
      <c r="C168" s="60">
        <v>2</v>
      </c>
      <c r="D168" s="60">
        <v>37.685897435897431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6.826007326007324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59</v>
      </c>
      <c r="B169" s="60">
        <v>159.25641025641025</v>
      </c>
      <c r="C169" s="60">
        <v>3</v>
      </c>
      <c r="D169" s="60">
        <v>38.942307692307693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6.3942307692307701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67</v>
      </c>
      <c r="B170" s="60">
        <v>167.85897435897436</v>
      </c>
      <c r="C170" s="60">
        <v>4</v>
      </c>
      <c r="D170" s="60">
        <v>31.993589743589741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75</v>
      </c>
      <c r="B171" s="60">
        <v>181.38461538461536</v>
      </c>
      <c r="C171" s="60">
        <v>5</v>
      </c>
      <c r="D171" s="60">
        <v>30.916666666666664</v>
      </c>
      <c r="E171" s="51">
        <v>0.7</v>
      </c>
      <c r="F171" s="51">
        <v>0</v>
      </c>
      <c r="G171" s="51">
        <v>0</v>
      </c>
      <c r="H171" s="51">
        <v>0.3</v>
      </c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200.00641025641025</v>
      </c>
      <c r="C172" s="60">
        <v>6</v>
      </c>
      <c r="D172" s="60">
        <v>35.083333333333329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93</v>
      </c>
      <c r="B173" s="50">
        <v>212.26923076923075</v>
      </c>
      <c r="C173" s="50">
        <v>7</v>
      </c>
      <c r="D173" s="50">
        <v>30.083333333333332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103</v>
      </c>
      <c r="B174" s="50">
        <v>234.76923076923077</v>
      </c>
      <c r="C174" s="50">
        <v>8</v>
      </c>
      <c r="D174" s="50">
        <v>39.512820512820511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113</v>
      </c>
      <c r="B175" s="50">
        <v>246.21794871794873</v>
      </c>
      <c r="C175" s="50">
        <v>9</v>
      </c>
      <c r="D175" s="50">
        <v>31.602564102564099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125</v>
      </c>
      <c r="B176" s="50">
        <v>278.29487179487177</v>
      </c>
      <c r="C176" s="50">
        <v>10</v>
      </c>
      <c r="D176" s="50">
        <v>48.160256410256409</v>
      </c>
      <c r="E176" s="51">
        <v>0.7</v>
      </c>
      <c r="F176" s="51">
        <v>0</v>
      </c>
      <c r="G176" s="51">
        <v>0</v>
      </c>
      <c r="H176" s="51">
        <v>0.3</v>
      </c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137</v>
      </c>
      <c r="B177" s="50">
        <v>293.07051282051282</v>
      </c>
      <c r="C177" s="50">
        <v>11</v>
      </c>
      <c r="D177" s="50">
        <v>51.160256410256409</v>
      </c>
      <c r="E177" s="51">
        <v>0.7</v>
      </c>
      <c r="F177" s="51">
        <v>0</v>
      </c>
      <c r="G177" s="51">
        <v>0</v>
      </c>
      <c r="H177" s="51">
        <v>0.3</v>
      </c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149</v>
      </c>
      <c r="B178" s="50">
        <v>303.18589743589746</v>
      </c>
      <c r="C178" s="50">
        <v>12</v>
      </c>
      <c r="D178" s="50">
        <v>120.50641025641026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153</v>
      </c>
      <c r="B179" s="50">
        <v>195.05769230769226</v>
      </c>
      <c r="C179" s="50">
        <v>13</v>
      </c>
      <c r="D179" s="50">
        <v>70.115384615384613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3.0945512820512704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157</v>
      </c>
      <c r="B180" s="50">
        <v>132.42948717948718</v>
      </c>
      <c r="C180" s="50">
        <v>14</v>
      </c>
      <c r="D180" s="50">
        <v>45.71153846153846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1.8717948717948829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161</v>
      </c>
      <c r="B181" s="50">
        <v>91.365384615384613</v>
      </c>
      <c r="C181" s="50">
        <v>15</v>
      </c>
      <c r="D181" s="50">
        <v>91.365384615384613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v>85</v>
      </c>
      <c r="C193" s="60">
        <v>2</v>
      </c>
      <c r="D193" s="60">
        <v>25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v>113</v>
      </c>
      <c r="C194" s="60">
        <v>3</v>
      </c>
      <c r="D194" s="60">
        <v>27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31</v>
      </c>
      <c r="B195" s="60">
        <v>155</v>
      </c>
      <c r="C195" s="60">
        <v>4</v>
      </c>
      <c r="D195" s="60">
        <v>35</v>
      </c>
      <c r="E195" s="51">
        <v>0.3</v>
      </c>
      <c r="F195" s="51">
        <v>0.4</v>
      </c>
      <c r="G195" s="51">
        <v>0</v>
      </c>
      <c r="H195" s="51">
        <v>0.3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37</v>
      </c>
      <c r="B196" s="60">
        <v>188</v>
      </c>
      <c r="C196" s="60">
        <v>5</v>
      </c>
      <c r="D196" s="60">
        <v>36</v>
      </c>
      <c r="E196" s="51">
        <v>0.3</v>
      </c>
      <c r="F196" s="51">
        <v>0.4</v>
      </c>
      <c r="G196" s="51">
        <v>0</v>
      </c>
      <c r="H196" s="51">
        <v>0.3</v>
      </c>
      <c r="I196" s="49">
        <f t="shared" si="7"/>
        <v>11.333333333333334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44</v>
      </c>
      <c r="B197" s="60">
        <v>230</v>
      </c>
      <c r="C197" s="60">
        <v>6</v>
      </c>
      <c r="D197" s="60">
        <v>43</v>
      </c>
      <c r="E197" s="51">
        <v>0.4</v>
      </c>
      <c r="F197" s="51">
        <v>0.4</v>
      </c>
      <c r="G197" s="51">
        <v>0</v>
      </c>
      <c r="H197" s="51">
        <v>0.2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52</v>
      </c>
      <c r="B198" s="60">
        <v>270</v>
      </c>
      <c r="C198" s="60">
        <v>7</v>
      </c>
      <c r="D198" s="60">
        <v>49</v>
      </c>
      <c r="E198" s="51">
        <v>0.4</v>
      </c>
      <c r="F198" s="51">
        <v>0.4</v>
      </c>
      <c r="G198" s="51">
        <v>0</v>
      </c>
      <c r="H198" s="51">
        <v>0.2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60</v>
      </c>
      <c r="B199" s="50">
        <v>297</v>
      </c>
      <c r="C199" s="50">
        <v>8</v>
      </c>
      <c r="D199" s="50">
        <v>47</v>
      </c>
      <c r="E199" s="51">
        <v>0.5</v>
      </c>
      <c r="F199" s="51">
        <v>0.4</v>
      </c>
      <c r="G199" s="51">
        <v>0</v>
      </c>
      <c r="H199" s="51">
        <v>0.1</v>
      </c>
      <c r="I199" s="49">
        <f t="shared" si="7"/>
        <v>9.5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69</v>
      </c>
      <c r="B200" s="50">
        <v>328</v>
      </c>
      <c r="C200" s="50">
        <v>0</v>
      </c>
      <c r="D200" s="50">
        <v>0</v>
      </c>
      <c r="E200" s="51">
        <v>0</v>
      </c>
      <c r="F200" s="51">
        <v>0</v>
      </c>
      <c r="G200" s="51">
        <v>0</v>
      </c>
      <c r="H200" s="51">
        <v>0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Pin maritime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15</v>
      </c>
      <c r="B218" s="60">
        <v>141.17692307692306</v>
      </c>
      <c r="C218" s="50">
        <v>1</v>
      </c>
      <c r="D218" s="60">
        <v>49.784615384615385</v>
      </c>
      <c r="E218" s="63">
        <v>0</v>
      </c>
      <c r="F218" s="63">
        <v>0.56000000000000005</v>
      </c>
      <c r="G218" s="63">
        <v>0.44</v>
      </c>
      <c r="H218" s="63">
        <v>0</v>
      </c>
      <c r="I218" s="53">
        <f>IFERROR(B218/A218,"")</f>
        <v>9.4117948717948714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20</v>
      </c>
      <c r="B219" s="60">
        <v>183.7076923076923</v>
      </c>
      <c r="C219" s="50">
        <v>2</v>
      </c>
      <c r="D219" s="60">
        <v>48.723076923076924</v>
      </c>
      <c r="E219" s="63">
        <v>0</v>
      </c>
      <c r="F219" s="63">
        <v>0.56000000000000005</v>
      </c>
      <c r="G219" s="63">
        <v>0.44</v>
      </c>
      <c r="H219" s="63">
        <v>0</v>
      </c>
      <c r="I219" s="53">
        <f t="shared" ref="I219:I237" si="8">IF(A219&lt;&gt;0,(B219-(B218-D218))/(A219-A218),"")</f>
        <v>18.463076923076926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26</v>
      </c>
      <c r="B220" s="60">
        <v>249.41538461538462</v>
      </c>
      <c r="C220" s="50">
        <v>3</v>
      </c>
      <c r="D220" s="60">
        <v>46.984615384615381</v>
      </c>
      <c r="E220" s="63">
        <v>0.7</v>
      </c>
      <c r="F220" s="63">
        <v>0.16800000000000001</v>
      </c>
      <c r="G220" s="63">
        <v>0.13200000000000001</v>
      </c>
      <c r="H220" s="63">
        <v>0</v>
      </c>
      <c r="I220" s="53">
        <f t="shared" si="8"/>
        <v>19.071794871794875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32</v>
      </c>
      <c r="B221" s="55">
        <v>318.7923076923077</v>
      </c>
      <c r="C221" s="55">
        <v>4</v>
      </c>
      <c r="D221" s="55">
        <v>64.523076923076914</v>
      </c>
      <c r="E221" s="63">
        <v>0.7</v>
      </c>
      <c r="F221" s="63">
        <v>0.16800000000000001</v>
      </c>
      <c r="G221" s="63">
        <v>0.13200000000000001</v>
      </c>
      <c r="H221" s="63">
        <v>0</v>
      </c>
      <c r="I221" s="53">
        <f t="shared" si="8"/>
        <v>19.393589743589743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40</v>
      </c>
      <c r="B222" s="55">
        <v>398.71538461538461</v>
      </c>
      <c r="C222" s="55">
        <v>5</v>
      </c>
      <c r="D222" s="55">
        <v>92.661538461538456</v>
      </c>
      <c r="E222" s="63">
        <v>0.7</v>
      </c>
      <c r="F222" s="63">
        <v>0.16800000000000001</v>
      </c>
      <c r="G222" s="63">
        <v>0.13200000000000001</v>
      </c>
      <c r="H222" s="63">
        <v>0</v>
      </c>
      <c r="I222" s="53">
        <f t="shared" si="8"/>
        <v>18.055769230769229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48</v>
      </c>
      <c r="B223" s="55">
        <v>427.74615384615385</v>
      </c>
      <c r="C223" s="55">
        <v>6</v>
      </c>
      <c r="D223" s="55">
        <v>83.969230769230762</v>
      </c>
      <c r="E223" s="63">
        <v>0.7</v>
      </c>
      <c r="F223" s="63">
        <v>0.16800000000000001</v>
      </c>
      <c r="G223" s="63">
        <v>0.13200000000000001</v>
      </c>
      <c r="H223" s="63">
        <v>0</v>
      </c>
      <c r="I223" s="53">
        <f t="shared" si="8"/>
        <v>15.21153846153846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56</v>
      </c>
      <c r="B224" s="55">
        <v>446.47692307692301</v>
      </c>
      <c r="C224" s="55">
        <v>7</v>
      </c>
      <c r="D224" s="55">
        <v>446.47692307692301</v>
      </c>
      <c r="E224" s="63">
        <v>0.7</v>
      </c>
      <c r="F224" s="63">
        <v>0.16800000000000001</v>
      </c>
      <c r="G224" s="63">
        <v>0.13200000000000001</v>
      </c>
      <c r="H224" s="63">
        <v>0</v>
      </c>
      <c r="I224" s="53">
        <f t="shared" si="8"/>
        <v>12.837499999999991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Noyer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15</v>
      </c>
      <c r="B244" s="60">
        <v>40</v>
      </c>
      <c r="C244" s="60">
        <v>1</v>
      </c>
      <c r="D244" s="60">
        <v>3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2.6666666666666665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20</v>
      </c>
      <c r="B245" s="60">
        <v>85</v>
      </c>
      <c r="C245" s="60">
        <v>2</v>
      </c>
      <c r="D245" s="60">
        <v>25</v>
      </c>
      <c r="E245" s="63">
        <v>0</v>
      </c>
      <c r="F245" s="63">
        <v>0.5</v>
      </c>
      <c r="G245" s="63">
        <v>0</v>
      </c>
      <c r="H245" s="63">
        <v>0.5</v>
      </c>
      <c r="I245" s="53">
        <f>IF(A245&lt;&gt;0,(B245-(B244-D244))/(A245-A244),"")</f>
        <v>9.6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25</v>
      </c>
      <c r="B246" s="60">
        <v>113</v>
      </c>
      <c r="C246" s="60">
        <v>3</v>
      </c>
      <c r="D246" s="60">
        <v>27</v>
      </c>
      <c r="E246" s="63">
        <v>0</v>
      </c>
      <c r="F246" s="63">
        <v>0.5</v>
      </c>
      <c r="G246" s="63">
        <v>0</v>
      </c>
      <c r="H246" s="63">
        <v>0.5</v>
      </c>
      <c r="I246" s="53">
        <f>IF(A246&lt;&gt;0,(B246-(B245-D245))/(A246-A245),"")</f>
        <v>10.6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31</v>
      </c>
      <c r="B247" s="60">
        <v>155</v>
      </c>
      <c r="C247" s="60">
        <v>4</v>
      </c>
      <c r="D247" s="60">
        <v>35</v>
      </c>
      <c r="E247" s="63">
        <v>0.3</v>
      </c>
      <c r="F247" s="63">
        <v>0.4</v>
      </c>
      <c r="G247" s="63">
        <v>0</v>
      </c>
      <c r="H247" s="63">
        <v>0.3</v>
      </c>
      <c r="I247" s="53">
        <f t="shared" ref="I247:I263" si="9">IF(A247&lt;&gt;0,(B247-(B246-D246))/(A247-A246),"")</f>
        <v>11.5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37</v>
      </c>
      <c r="B248" s="60">
        <v>188</v>
      </c>
      <c r="C248" s="60">
        <v>5</v>
      </c>
      <c r="D248" s="60">
        <v>36</v>
      </c>
      <c r="E248" s="63">
        <v>0.3</v>
      </c>
      <c r="F248" s="63">
        <v>0.4</v>
      </c>
      <c r="G248" s="63">
        <v>0</v>
      </c>
      <c r="H248" s="63">
        <v>0.3</v>
      </c>
      <c r="I248" s="53">
        <f t="shared" si="9"/>
        <v>11.333333333333334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44</v>
      </c>
      <c r="B249" s="60">
        <v>230</v>
      </c>
      <c r="C249" s="60">
        <v>6</v>
      </c>
      <c r="D249" s="60">
        <v>43</v>
      </c>
      <c r="E249" s="63">
        <v>0.4</v>
      </c>
      <c r="F249" s="63">
        <v>0.4</v>
      </c>
      <c r="G249" s="63">
        <v>0</v>
      </c>
      <c r="H249" s="63">
        <v>0.2</v>
      </c>
      <c r="I249" s="53">
        <f t="shared" si="9"/>
        <v>11.142857142857142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52</v>
      </c>
      <c r="B250" s="60">
        <v>270</v>
      </c>
      <c r="C250" s="60">
        <v>7</v>
      </c>
      <c r="D250" s="60">
        <v>49</v>
      </c>
      <c r="E250" s="63">
        <v>0.4</v>
      </c>
      <c r="F250" s="63">
        <v>0.4</v>
      </c>
      <c r="G250" s="63">
        <v>0</v>
      </c>
      <c r="H250" s="63">
        <v>0.2</v>
      </c>
      <c r="I250" s="53">
        <f t="shared" si="9"/>
        <v>10.375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60</v>
      </c>
      <c r="B251" s="55">
        <v>297</v>
      </c>
      <c r="C251" s="55">
        <v>8</v>
      </c>
      <c r="D251" s="55">
        <v>47</v>
      </c>
      <c r="E251" s="63">
        <v>0.5</v>
      </c>
      <c r="F251" s="63">
        <v>0.4</v>
      </c>
      <c r="G251" s="63">
        <v>0</v>
      </c>
      <c r="H251" s="63">
        <v>0.1</v>
      </c>
      <c r="I251" s="53">
        <f t="shared" si="9"/>
        <v>9.5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69</v>
      </c>
      <c r="B252" s="55">
        <v>328</v>
      </c>
      <c r="C252" s="55">
        <v>0</v>
      </c>
      <c r="D252" s="55">
        <v>0</v>
      </c>
      <c r="E252" s="63">
        <v>0</v>
      </c>
      <c r="F252" s="63">
        <v>0</v>
      </c>
      <c r="G252" s="63">
        <v>0</v>
      </c>
      <c r="H252" s="63">
        <v>0</v>
      </c>
      <c r="I252" s="53">
        <f t="shared" si="9"/>
        <v>8.6666666666666661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>Pin sylvestre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>
        <v>18</v>
      </c>
      <c r="B270" s="60">
        <v>137.86923076923077</v>
      </c>
      <c r="C270" s="50">
        <v>1</v>
      </c>
      <c r="D270" s="60">
        <v>52.746153846153838</v>
      </c>
      <c r="E270" s="51">
        <v>0</v>
      </c>
      <c r="F270" s="51">
        <v>0.56000000000000005</v>
      </c>
      <c r="G270" s="51">
        <v>0.44</v>
      </c>
      <c r="H270" s="51">
        <v>0</v>
      </c>
      <c r="I270" s="53">
        <f>IFERROR(B270/A270,"")</f>
        <v>7.6594017094017097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>
        <v>24</v>
      </c>
      <c r="B271" s="60">
        <v>162.57692307692309</v>
      </c>
      <c r="C271" s="50">
        <v>2</v>
      </c>
      <c r="D271" s="60">
        <v>36.723076923076924</v>
      </c>
      <c r="E271" s="51">
        <v>0</v>
      </c>
      <c r="F271" s="51">
        <v>0.56000000000000005</v>
      </c>
      <c r="G271" s="51">
        <v>0.44</v>
      </c>
      <c r="H271" s="51">
        <v>0</v>
      </c>
      <c r="I271" s="53">
        <f>IF(A271&lt;&gt;0,(B271-(B270-D270))/(A271-A270),"")</f>
        <v>12.908974358974362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>
        <v>30</v>
      </c>
      <c r="B272" s="60">
        <v>201.3923076923077</v>
      </c>
      <c r="C272" s="50">
        <v>3</v>
      </c>
      <c r="D272" s="60">
        <v>35.430769230769229</v>
      </c>
      <c r="E272" s="51">
        <v>0.7</v>
      </c>
      <c r="F272" s="51">
        <v>0.17</v>
      </c>
      <c r="G272" s="51">
        <v>0.13</v>
      </c>
      <c r="H272" s="51">
        <v>0</v>
      </c>
      <c r="I272" s="53">
        <f t="shared" ref="I272:I289" si="10">IF(A272&lt;&gt;0,(B272-(B271-D271))/(A272-A271),"")</f>
        <v>12.589743589743586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>
        <v>36</v>
      </c>
      <c r="B273" s="60">
        <v>238.76923076923077</v>
      </c>
      <c r="C273" s="50">
        <v>4</v>
      </c>
      <c r="D273" s="60">
        <v>35.084615384615383</v>
      </c>
      <c r="E273" s="51">
        <v>0.7</v>
      </c>
      <c r="F273" s="51">
        <v>0.17</v>
      </c>
      <c r="G273" s="51">
        <v>0.13</v>
      </c>
      <c r="H273" s="51">
        <v>0</v>
      </c>
      <c r="I273" s="53">
        <f t="shared" si="10"/>
        <v>12.134615384615387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>
        <v>43</v>
      </c>
      <c r="B274" s="60">
        <v>283.34615384615387</v>
      </c>
      <c r="C274" s="50">
        <v>5</v>
      </c>
      <c r="D274" s="60">
        <v>43.499999999999993</v>
      </c>
      <c r="E274" s="51">
        <v>0.7</v>
      </c>
      <c r="F274" s="51">
        <v>0.17</v>
      </c>
      <c r="G274" s="51">
        <v>0.13</v>
      </c>
      <c r="H274" s="51">
        <v>0</v>
      </c>
      <c r="I274" s="53">
        <f t="shared" si="10"/>
        <v>11.380219780219781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>
        <v>50</v>
      </c>
      <c r="B275" s="60">
        <v>312.55384615384617</v>
      </c>
      <c r="C275" s="50">
        <v>6</v>
      </c>
      <c r="D275" s="60">
        <v>43.4</v>
      </c>
      <c r="E275" s="63">
        <v>0.7</v>
      </c>
      <c r="F275" s="63">
        <v>0.17</v>
      </c>
      <c r="G275" s="63">
        <v>0.13</v>
      </c>
      <c r="H275" s="63">
        <v>0</v>
      </c>
      <c r="I275" s="53">
        <f t="shared" si="10"/>
        <v>10.386813186813185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>
        <v>58</v>
      </c>
      <c r="B276" s="60">
        <v>342.81538461538463</v>
      </c>
      <c r="C276" s="50">
        <v>7</v>
      </c>
      <c r="D276" s="60">
        <v>45.669230769230765</v>
      </c>
      <c r="E276" s="63">
        <v>0.7</v>
      </c>
      <c r="F276" s="63">
        <v>0.17</v>
      </c>
      <c r="G276" s="63">
        <v>0.13</v>
      </c>
      <c r="H276" s="63">
        <v>0</v>
      </c>
      <c r="I276" s="53">
        <f t="shared" si="10"/>
        <v>9.2076923076923052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>
        <v>68</v>
      </c>
      <c r="B277" s="55">
        <v>377.65384615384613</v>
      </c>
      <c r="C277" s="55">
        <v>8</v>
      </c>
      <c r="D277" s="55">
        <v>46.069230769230771</v>
      </c>
      <c r="E277" s="63">
        <v>0.7</v>
      </c>
      <c r="F277" s="63">
        <v>0.17</v>
      </c>
      <c r="G277" s="63">
        <v>0.13</v>
      </c>
      <c r="H277" s="63">
        <v>0</v>
      </c>
      <c r="I277" s="53">
        <f t="shared" si="10"/>
        <v>8.0507692307692249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>
        <v>78</v>
      </c>
      <c r="B278" s="55">
        <v>400.44615384615389</v>
      </c>
      <c r="C278" s="55">
        <v>9</v>
      </c>
      <c r="D278" s="55">
        <v>42.9</v>
      </c>
      <c r="E278" s="63">
        <v>0.7</v>
      </c>
      <c r="F278" s="63">
        <v>0.17</v>
      </c>
      <c r="G278" s="63">
        <v>0.13</v>
      </c>
      <c r="H278" s="63">
        <v>0</v>
      </c>
      <c r="I278" s="53">
        <f t="shared" si="10"/>
        <v>6.8861538461538547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>
        <v>88</v>
      </c>
      <c r="B279" s="55">
        <v>417.15384615384613</v>
      </c>
      <c r="C279" s="55">
        <v>10</v>
      </c>
      <c r="D279" s="55">
        <v>247.54615384615383</v>
      </c>
      <c r="E279" s="63">
        <v>0.7</v>
      </c>
      <c r="F279" s="63">
        <v>0.17</v>
      </c>
      <c r="G279" s="63">
        <v>0.13</v>
      </c>
      <c r="H279" s="63">
        <v>0</v>
      </c>
      <c r="I279" s="53">
        <f t="shared" si="10"/>
        <v>5.9607692307692215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>
        <v>91</v>
      </c>
      <c r="B280" s="55">
        <v>179.25384615384615</v>
      </c>
      <c r="C280" s="55">
        <v>11</v>
      </c>
      <c r="D280" s="55">
        <v>179.25384615384615</v>
      </c>
      <c r="E280" s="63">
        <v>0.7</v>
      </c>
      <c r="F280" s="63">
        <v>0.17</v>
      </c>
      <c r="G280" s="63">
        <v>0.13</v>
      </c>
      <c r="H280" s="63">
        <v>0</v>
      </c>
      <c r="I280" s="53">
        <f t="shared" si="10"/>
        <v>3.2153846153846168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Robinier faux-acacia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Merisier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maritime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Noyer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sylvestre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425.47148407510412</v>
      </c>
      <c r="AO3" s="59">
        <f>IF('Données projet'!E10&gt;30,$AM$33-$H$33,LOOKUP('Données projet'!$E$10,$A$3:$A$203,AM3:AM203)-LOOKUP('Données projet'!$E$10,$A$3:$A$203,$H$3:$H$203))</f>
        <v>308.54448799922471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300.63505444445104</v>
      </c>
      <c r="BJ3" s="59">
        <f>IF('Données projet'!E11&gt;30,$BH$33-$H$33,LOOKUP('Données projet'!$E$11,$A$3:$A$203,BH3:BH203)-LOOKUP('Données projet'!$E$11,$A$3:$A$203,$H$3:$H$203))</f>
        <v>266.32508105927997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361.26385625423757</v>
      </c>
      <c r="CE3" s="59">
        <f>IF('Données projet'!E12&gt;30,$CC$33-$H$33,LOOKUP('Données projet'!$E$12,$A$3:$A$203,CC3:CC203)-LOOKUP('Données projet'!$E$12,$A$3:$A$203,$H$3:$H$203))</f>
        <v>222.05197404028576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302.6937347295995</v>
      </c>
      <c r="CZ3" s="59">
        <f>IF('Données projet'!E13&gt;30,$CX$33-$H$33,LOOKUP('Données projet'!$E$13,$A$3:$A$203,CX3:CX203)-LOOKUP('Données projet'!$E$13,$A$3:$A$203,$H$3:$H$203))</f>
        <v>423.44006663873375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366.51581861366333</v>
      </c>
      <c r="DU3" s="59">
        <f>IF('Données projet'!E14&gt;30,$DS$33-$H$33,LOOKUP('Données projet'!$E$14,$A$3:$A$203,DS3:DS203)-LOOKUP('Données projet'!$E$14,$A$3:$A$203,$H$3:$H$203))</f>
        <v>225.01415116995503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288.80569134263209</v>
      </c>
      <c r="EP3" s="59">
        <f>IF('Données projet'!E15&gt;30,$EN$33-$H$33,LOOKUP('Données projet'!$E$15,$A$3:$A$203,EN3:EN203)-LOOKUP('Données projet'!$E$15,$A$3:$A$203,$H$3:$H$203))</f>
        <v>283.48738729114024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323.17232038705157</v>
      </c>
      <c r="FK3" s="59">
        <f>IF('Données projet'!E16&gt;30,$FI$33-$H$33,LOOKUP('Données projet'!$E$16,$A$3:$A$203,FI3:FI203)-LOOKUP('Données projet'!$E$16,$A$3:$A$203,$H$3:$H$203))</f>
        <v>402.34685738619197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298.96480270023716</v>
      </c>
      <c r="GF3" s="59">
        <f>IF('Données projet'!E17&gt;30,$GD$33-$H$33,LOOKUP('Données projet'!$E$17,$A$3:$A$203,GD3:GD203)-LOOKUP('Données projet'!$E$17,$A$3:$A$203,$H$3:$H$203))</f>
        <v>293.11447542333889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320.76883487964511</v>
      </c>
      <c r="HA3" s="59">
        <f>IF('Données projet'!E18&gt;30,$GY$33-$H$33,LOOKUP('Données projet'!$E$18,$A$3:$A$203,GY3:GY203)-LOOKUP('Données projet'!$E$18,$A$3:$A$203,$H$3:$H$203))</f>
        <v>290.51177680335746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1.1900619912150421</v>
      </c>
      <c r="AK4" s="13">
        <f>EXP(-1.0587+0.8836*LN(AJ4)+0.284)</f>
        <v>0.53743426225295832</v>
      </c>
      <c r="AL4" s="20">
        <f t="shared" ref="AL4:AL67" si="4">(AJ4+AK4)*0.475*44/12</f>
        <v>3.0087226414567669</v>
      </c>
      <c r="AM4" s="59">
        <f t="shared" ref="AM4:AM67" si="5">AL4+(AD4+AE4)*44/12</f>
        <v>260.89761153034561</v>
      </c>
      <c r="AN4" s="59">
        <f ca="1">AVERAGE(OFFSET($AM$3,0,0,'Données projet'!$E$10+1,1))-AVERAGE(OFFSET($H$3,0,0,'Données projet'!$E$10+1,1))</f>
        <v>425.47148407510412</v>
      </c>
      <c r="AO4" s="59">
        <f>$AO$3</f>
        <v>308.54448799922471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1.335141362540313</v>
      </c>
      <c r="BE4" s="13">
        <f>BD4*VLOOKUP('Données projet'!$B$11,Paramètres!$A$1:$I$89,3,0)*VLOOKUP('Données projet'!$B$11,Paramètres!$A$1:$I$89,5,0)</f>
        <v>1.1663794943152175</v>
      </c>
      <c r="BF4" s="13">
        <f>EXP(-1.0587+0.8836*LN(BE4)+0.284)</f>
        <v>0.52797307958445927</v>
      </c>
      <c r="BG4" s="20">
        <f t="shared" ref="BG4:BG67" si="7">(BE4+BF4)*0.475*44/12</f>
        <v>2.9509973995419365</v>
      </c>
      <c r="BH4" s="59">
        <f t="shared" ref="BH4:BH67" si="8">BG4+(AY4+AZ4)*44/12</f>
        <v>260.83988628843082</v>
      </c>
      <c r="BI4" s="59">
        <f ca="1">AVERAGE(OFFSET($BH$3,0,0,'Données projet'!$E$11+1,1))-AVERAGE(OFFSET($H$3,0,0,'Données projet'!$E$11+1,1))</f>
        <v>300.63505444445104</v>
      </c>
      <c r="BJ4" s="59">
        <f>$BJ$3</f>
        <v>266.32508105927997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1.1046429698097382</v>
      </c>
      <c r="CA4" s="13">
        <f>EXP(-1.0587+0.8836*LN(BZ4)+0.284)</f>
        <v>0.50320270245915544</v>
      </c>
      <c r="CB4" s="20">
        <f t="shared" ref="CB4:CB67" si="10">(BZ4+CA4)*0.475*44/12</f>
        <v>2.80033121253499</v>
      </c>
      <c r="CC4" s="59">
        <f t="shared" ref="CC4:CC67" si="11">CB4+(BT4+BU4)*44/12</f>
        <v>260.68922010142387</v>
      </c>
      <c r="CD4" s="59">
        <f ca="1">AVERAGE(OFFSET($CC$3,0,0,'Données projet'!$E$12+1,1))-AVERAGE(OFFSET($H$3,0,0,'Données projet'!$E$12+1,1))</f>
        <v>361.26385625423757</v>
      </c>
      <c r="CE4" s="59">
        <f>$CE$3</f>
        <v>222.05197404028576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5.6</v>
      </c>
      <c r="CT4" s="12">
        <f>IF('Données projet'!$A$140&gt;35,CT3+CS4-DB3,IF(A4&lt;'Données projet'!$A$140,$CQ$205^A4,IF(A4='Données projet'!$A$140,'Données projet'!$B$140,CT3+CS4-DB3)))</f>
        <v>1.9472943612303364</v>
      </c>
      <c r="CU4" s="17">
        <f>CT4*VLOOKUP('Données projet'!$B$13,Paramètres!$A$1:$I$89,3,0)*VLOOKUP('Données projet'!$B$13,Paramètres!$A$1:$I$89,5,0)</f>
        <v>1.7619119380412083</v>
      </c>
      <c r="CV4" s="13">
        <f>EXP(-1.0587+0.8836*LN(CU4)+0.284)</f>
        <v>0.76015770586189668</v>
      </c>
      <c r="CW4" s="20">
        <f t="shared" ref="CW4:CW67" si="13">(CU4+CV4)*0.475*44/12</f>
        <v>4.3926046297979076</v>
      </c>
      <c r="CX4" s="59">
        <f t="shared" ref="CX4:CX67" si="14">CW4+(CO4+CP4)*44/12</f>
        <v>262.28149351868677</v>
      </c>
      <c r="CY4" s="59">
        <f ca="1">AVERAGE(OFFSET($CX$3,0,0,'Données projet'!$E$13+1,1))-AVERAGE(OFFSET($H$3,0,0,'Données projet'!$E$13+1,1))</f>
        <v>302.6937347295995</v>
      </c>
      <c r="CZ4" s="59">
        <f>$CZ$3</f>
        <v>423.44006663873375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1.1227518709541602</v>
      </c>
      <c r="DQ4" s="13">
        <f>EXP(-1.0587+0.8836*LN(DP4)+0.284)</f>
        <v>0.51048480496708748</v>
      </c>
      <c r="DR4" s="20">
        <f t="shared" ref="DR4:DR67" si="16">(DP4+DQ4)*0.475*44/12</f>
        <v>2.8445538772295063</v>
      </c>
      <c r="DS4" s="59">
        <f t="shared" ref="DS4:DS67" si="17">DR4+(DJ4+DK4)*44/12</f>
        <v>260.73344276611834</v>
      </c>
      <c r="DT4" s="59">
        <f ca="1">AVERAGE(OFFSET($DS$3,0,0,'Données projet'!$E$14+1,1))-AVERAGE(OFFSET($H$3,0,0,'Données projet'!$E$14+1,1))</f>
        <v>366.51581861366333</v>
      </c>
      <c r="DU4" s="59">
        <f>$DU$3</f>
        <v>225.01415116995503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260.42698077017764</v>
      </c>
      <c r="EO4" s="59">
        <f ca="1">AVERAGE(OFFSET($EN$3,0,0,'Données projet'!$E$15+1,1))-AVERAGE(OFFSET($H$3,0,0,'Données projet'!$E$15+1,1))</f>
        <v>288.80569134263209</v>
      </c>
      <c r="EP4" s="59">
        <f>$EP$3</f>
        <v>283.48738729114024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9.4117948717948714</v>
      </c>
      <c r="FE4" s="12">
        <f>IF('Données projet'!$A$218&gt;35,FE3+FD4-FM3,IF(A4&lt;'Données projet'!$A$218,$FB$205^A4,IF(A4='Données projet'!$A$218,'Données projet'!$B$218,FE3+FD4-FM3)))</f>
        <v>1.3909694153327172</v>
      </c>
      <c r="FF4" s="17">
        <f>FE4*VLOOKUP('Données projet'!$B$16,Paramètres!$A$1:$I$89,3,0)*VLOOKUP('Données projet'!$B$16,Paramètres!$A$1:$I$89,5,0)</f>
        <v>0.83179971036896505</v>
      </c>
      <c r="FG4" s="13">
        <f>EXP(-1.0587+0.8836*LN(FF4)+0.284)</f>
        <v>0.39163423183147406</v>
      </c>
      <c r="FH4" s="20">
        <f t="shared" ref="FH4:FH67" si="22">(FF4+FG4)*0.475*44/12</f>
        <v>2.1308141159990979</v>
      </c>
      <c r="FI4" s="59">
        <f t="shared" ref="FI4:FI67" si="23">FH4+(EZ4+FA4)*44/12</f>
        <v>260.01970300488796</v>
      </c>
      <c r="FJ4" s="59">
        <f ca="1">AVERAGE(OFFSET($FI$3,0,0,'Données projet'!$E$16+1,1))-AVERAGE(OFFSET($H$3,0,0,'Données projet'!$E$16+1,1))</f>
        <v>323.17232038705157</v>
      </c>
      <c r="FK4" s="59">
        <f>$FK$3</f>
        <v>402.34685738619197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2.6666666666666665</v>
      </c>
      <c r="FZ4" s="12">
        <f>IF('Données projet'!$A$244&gt;35,FZ3+FY4-GH3,IF(A4&lt;'Données projet'!$A$244,$FW$205^A4,IF(A4='Données projet'!$A$244,'Données projet'!$B$244,FZ3+FY4-GH3)))</f>
        <v>1.2788040393997409</v>
      </c>
      <c r="GA4" s="17">
        <f>FZ4*VLOOKUP('Données projet'!$B$17,Paramètres!$A$1:$I$89,3,0)*VLOOKUP('Données projet'!$B$17,Paramètres!$A$1:$I$89,5,0)</f>
        <v>1.0373658367610699</v>
      </c>
      <c r="GB4" s="13">
        <f>EXP(-1.0587+0.8836*LN(GA4)+0.284)</f>
        <v>0.47602474416737472</v>
      </c>
      <c r="GC4" s="20">
        <f t="shared" ref="GC4:GC67" si="25">(GA4+GB4)*0.475*44/12</f>
        <v>2.6358219284503748</v>
      </c>
      <c r="GD4" s="59">
        <f t="shared" ref="GD4:GD67" si="26">GC4+(FU4+FV4)*44/12</f>
        <v>260.52471081733921</v>
      </c>
      <c r="GE4" s="59">
        <f ca="1">AVERAGE(OFFSET($GD$3,0,0,'Données projet'!$E$17+1,1))-AVERAGE(OFFSET($H$3,0,0,'Données projet'!$E$17+1,1))</f>
        <v>298.96480270023716</v>
      </c>
      <c r="GF4" s="59">
        <f>$GF$3</f>
        <v>293.11447542333889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7.6594017094017097</v>
      </c>
      <c r="GU4" s="12">
        <f>IF('Données projet'!$A$270&gt;35,GU3+GT4-HC3,IF(A4&lt;'Données projet'!$A$270,$GR$205^A4,IF(A4='Données projet'!$A$270,'Données projet'!$B$270,GU3+GT4-HC3)))</f>
        <v>1.3147987949303508</v>
      </c>
      <c r="GV4" s="17">
        <f>GU4*VLOOKUP('Données projet'!$B$18,Paramètres!$A$1:$I$89,3,0)*VLOOKUP('Données projet'!$B$18,Paramètres!$A$1:$I$89,5,0)</f>
        <v>0.75206491070016057</v>
      </c>
      <c r="GW4" s="13">
        <f>EXP(-1.0587+0.8836*LN(GV4)+0.284)</f>
        <v>0.35827068250867117</v>
      </c>
      <c r="GX4" s="20">
        <f t="shared" ref="GX4:GX67" si="28">(GV4+GW4)*0.475*44/12</f>
        <v>1.9338344915053816</v>
      </c>
      <c r="GY4" s="59">
        <f t="shared" ref="GY4:GY67" si="29">GX4+(GP4+GQ4)*44/12</f>
        <v>259.82272338039422</v>
      </c>
      <c r="GZ4" s="59">
        <f ca="1">AVERAGE(OFFSET($GY$3,0,0,'Données projet'!$E$18+1,1))-AVERAGE(OFFSET($H$3,0,0,'Données projet'!$E$18+1,1))</f>
        <v>320.76883487964511</v>
      </c>
      <c r="HA4" s="59">
        <f>$HA$3</f>
        <v>290.51177680335746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1.3966938293241722</v>
      </c>
      <c r="AK5" s="13">
        <f t="shared" ref="AK5:AK68" si="35">EXP(-1.0587+0.8836*LN(AJ5)+0.284)</f>
        <v>0.61910384026408283</v>
      </c>
      <c r="AL5" s="20">
        <f t="shared" si="4"/>
        <v>3.5108476078662108</v>
      </c>
      <c r="AM5" s="59">
        <f t="shared" si="5"/>
        <v>262.62195871897734</v>
      </c>
      <c r="AN5" s="59">
        <f ca="1">AVERAGE(OFFSET($AM$3,0,0,'Données projet'!$E$10+1,1))-AVERAGE(OFFSET($H$3,0,0,'Données projet'!$E$10+1,1))</f>
        <v>425.47148407510412</v>
      </c>
      <c r="AO5" s="59">
        <f t="shared" ref="AO5:AO68" si="36">$AO$3</f>
        <v>308.54448799922471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1.7826024579660036</v>
      </c>
      <c r="BE5" s="13">
        <f>BD5*VLOOKUP('Données projet'!$B$11,Paramètres!$A$1:$I$89,3,0)*VLOOKUP('Données projet'!$B$11,Paramètres!$A$1:$I$89,5,0)</f>
        <v>1.5572815072791011</v>
      </c>
      <c r="BF5" s="13">
        <f t="shared" ref="BF5:BF68" si="37">EXP(-1.0587+0.8836*LN(BE5)+0.284)</f>
        <v>0.68159698037116012</v>
      </c>
      <c r="BG5" s="20">
        <f t="shared" si="7"/>
        <v>3.8993800326575379</v>
      </c>
      <c r="BH5" s="59">
        <f t="shared" si="8"/>
        <v>263.01049114376866</v>
      </c>
      <c r="BI5" s="59">
        <f ca="1">AVERAGE(OFFSET($BH$3,0,0,'Données projet'!$E$11+1,1))-AVERAGE(OFFSET($H$3,0,0,'Données projet'!$E$11+1,1))</f>
        <v>300.63505444445104</v>
      </c>
      <c r="BJ5" s="59">
        <f t="shared" ref="BJ5:BJ68" si="38">$BJ$3</f>
        <v>266.32508105927997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1.2822993807798215</v>
      </c>
      <c r="CA5" s="13">
        <f t="shared" ref="CA5:CA68" si="39">EXP(-1.0587+0.8836*LN(BZ5)+0.284)</f>
        <v>0.57407882412097866</v>
      </c>
      <c r="CB5" s="20">
        <f t="shared" si="10"/>
        <v>3.2331920402022267</v>
      </c>
      <c r="CC5" s="59">
        <f t="shared" si="11"/>
        <v>262.3443031513134</v>
      </c>
      <c r="CD5" s="59">
        <f ca="1">AVERAGE(OFFSET($CC$3,0,0,'Données projet'!$E$12+1,1))-AVERAGE(OFFSET($H$3,0,0,'Données projet'!$E$12+1,1))</f>
        <v>361.26385625423757</v>
      </c>
      <c r="CE5" s="59">
        <f t="shared" ref="CE5:CE68" si="40">$CE$3</f>
        <v>222.05197404028576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5.6</v>
      </c>
      <c r="CT5" s="12">
        <f>IF('Données projet'!$A$140&gt;35,CT4+CS5-DB4,IF(A5&lt;'Données projet'!$A$140,$CQ$205^A5,IF(A5='Données projet'!$A$140,'Données projet'!$B$140,CT4+CS5-DB4)))</f>
        <v>3.7919553292794639</v>
      </c>
      <c r="CU5" s="17">
        <f>CT5*VLOOKUP('Données projet'!$B$13,Paramètres!$A$1:$I$89,3,0)*VLOOKUP('Données projet'!$B$13,Paramètres!$A$1:$I$89,5,0)</f>
        <v>3.4309611819320587</v>
      </c>
      <c r="CV5" s="13">
        <f t="shared" ref="CV5:CV68" si="41">EXP(-1.0587+0.8836*LN(CU5)+0.284)</f>
        <v>1.3697631223860498</v>
      </c>
      <c r="CW5" s="20">
        <f t="shared" si="13"/>
        <v>8.3612614966873711</v>
      </c>
      <c r="CX5" s="59">
        <f t="shared" si="14"/>
        <v>267.47237260779849</v>
      </c>
      <c r="CY5" s="59">
        <f ca="1">AVERAGE(OFFSET($CX$3,0,0,'Données projet'!$E$13+1,1))-AVERAGE(OFFSET($H$3,0,0,'Données projet'!$E$13+1,1))</f>
        <v>302.6937347295995</v>
      </c>
      <c r="CZ5" s="59">
        <f t="shared" ref="CZ5:CZ68" si="42">$CZ$3</f>
        <v>423.44006663873375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1.303320682104081</v>
      </c>
      <c r="DQ5" s="13">
        <f t="shared" ref="DQ5:DQ68" si="43">EXP(-1.0587+0.8836*LN(DP5)+0.284)</f>
        <v>0.5823866110713507</v>
      </c>
      <c r="DR5" s="20">
        <f t="shared" si="16"/>
        <v>3.284273535613877</v>
      </c>
      <c r="DS5" s="59">
        <f t="shared" si="17"/>
        <v>262.39538464672501</v>
      </c>
      <c r="DT5" s="59">
        <f ca="1">AVERAGE(OFFSET($DS$3,0,0,'Données projet'!$E$14+1,1))-AVERAGE(OFFSET($H$3,0,0,'Données projet'!$E$14+1,1))</f>
        <v>366.51581861366333</v>
      </c>
      <c r="DU5" s="59">
        <f t="shared" ref="DU5:DU68" si="44">$DU$3</f>
        <v>225.01415116995503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262.32793292279484</v>
      </c>
      <c r="EO5" s="59">
        <f ca="1">AVERAGE(OFFSET($EN$3,0,0,'Données projet'!$E$15+1,1))-AVERAGE(OFFSET($H$3,0,0,'Données projet'!$E$15+1,1))</f>
        <v>288.80569134263209</v>
      </c>
      <c r="EP5" s="59">
        <f t="shared" ref="EP5:EP68" si="46">$EP$3</f>
        <v>283.48738729114024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9.4117948717948714</v>
      </c>
      <c r="FE5" s="12">
        <f>IF('Données projet'!$A$218&gt;35,FE4+FD5-FM4,IF(A5&lt;'Données projet'!$A$218,$FB$205^A5,IF(A5='Données projet'!$A$218,'Données projet'!$B$218,FE4+FD5-FM4)))</f>
        <v>1.9347959143910411</v>
      </c>
      <c r="FF5" s="17">
        <f>FE5*VLOOKUP('Données projet'!$B$16,Paramètres!$A$1:$I$89,3,0)*VLOOKUP('Données projet'!$B$16,Paramètres!$A$1:$I$89,5,0)</f>
        <v>1.1570079568058427</v>
      </c>
      <c r="FG5" s="13">
        <f t="shared" ref="FG5:FG68" si="47">EXP(-1.0587+0.8836*LN(FF5)+0.284)</f>
        <v>0.52422298600197004</v>
      </c>
      <c r="FH5" s="20">
        <f t="shared" si="22"/>
        <v>2.9281438920569403</v>
      </c>
      <c r="FI5" s="59">
        <f t="shared" si="23"/>
        <v>262.03925500316808</v>
      </c>
      <c r="FJ5" s="59">
        <f ca="1">AVERAGE(OFFSET($FI$3,0,0,'Données projet'!$E$16+1,1))-AVERAGE(OFFSET($H$3,0,0,'Données projet'!$E$16+1,1))</f>
        <v>323.17232038705157</v>
      </c>
      <c r="FK5" s="59">
        <f t="shared" ref="FK5:FK68" si="48">$FK$3</f>
        <v>402.34685738619197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2.6666666666666665</v>
      </c>
      <c r="FZ5" s="12">
        <f>IF('Données projet'!$A$244&gt;35,FZ4+FY5-GH4,IF(A5&lt;'Données projet'!$A$244,$FW$205^A5,IF(A5='Données projet'!$A$244,'Données projet'!$B$244,FZ4+FY5-GH4)))</f>
        <v>1.6353397711850939</v>
      </c>
      <c r="GA5" s="17">
        <f>FZ5*VLOOKUP('Données projet'!$B$17,Paramètres!$A$1:$I$89,3,0)*VLOOKUP('Données projet'!$B$17,Paramètres!$A$1:$I$89,5,0)</f>
        <v>1.3265876223853483</v>
      </c>
      <c r="GB5" s="13">
        <f t="shared" ref="GB5:GB68" si="49">EXP(-1.0587+0.8836*LN(GA5)+0.284)</f>
        <v>0.59156373482801727</v>
      </c>
      <c r="GC5" s="20">
        <f t="shared" si="25"/>
        <v>3.3407802804799442</v>
      </c>
      <c r="GD5" s="59">
        <f t="shared" si="26"/>
        <v>262.45189139159106</v>
      </c>
      <c r="GE5" s="59">
        <f ca="1">AVERAGE(OFFSET($GD$3,0,0,'Données projet'!$E$17+1,1))-AVERAGE(OFFSET($H$3,0,0,'Données projet'!$E$17+1,1))</f>
        <v>298.96480270023716</v>
      </c>
      <c r="GF5" s="59">
        <f t="shared" ref="GF5:GF68" si="50">$GF$3</f>
        <v>293.11447542333889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7.6594017094017097</v>
      </c>
      <c r="GU5" s="12">
        <f>IF('Données projet'!$A$270&gt;35,GU4+GT5-HC4,IF(A5&lt;'Données projet'!$A$270,$GR$205^A5,IF(A5='Données projet'!$A$270,'Données projet'!$B$270,GU4+GT5-HC4)))</f>
        <v>1.7286958711503027</v>
      </c>
      <c r="GV5" s="17">
        <f>GU5*VLOOKUP('Données projet'!$B$18,Paramètres!$A$1:$I$89,3,0)*VLOOKUP('Données projet'!$B$18,Paramètres!$A$1:$I$89,5,0)</f>
        <v>0.98881403829797321</v>
      </c>
      <c r="GW5" s="13">
        <f t="shared" ref="GW5:GW68" si="51">EXP(-1.0587+0.8836*LN(GV5)+0.284)</f>
        <v>0.4562841114559042</v>
      </c>
      <c r="GX5" s="20">
        <f t="shared" si="28"/>
        <v>2.5168792774880031</v>
      </c>
      <c r="GY5" s="59">
        <f t="shared" si="29"/>
        <v>261.62799038859913</v>
      </c>
      <c r="GZ5" s="59">
        <f ca="1">AVERAGE(OFFSET($GY$3,0,0,'Données projet'!$E$18+1,1))-AVERAGE(OFFSET($H$3,0,0,'Données projet'!$E$18+1,1))</f>
        <v>320.76883487964511</v>
      </c>
      <c r="HA5" s="59">
        <f t="shared" ref="HA5:HA68" si="52">$HA$3</f>
        <v>290.51177680335746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1.6392033921531424</v>
      </c>
      <c r="AK6" s="13">
        <f t="shared" si="35"/>
        <v>0.71318408957211055</v>
      </c>
      <c r="AL6" s="20">
        <f t="shared" si="4"/>
        <v>4.0970748640048145</v>
      </c>
      <c r="AM6" s="59">
        <f t="shared" si="5"/>
        <v>264.43040819733812</v>
      </c>
      <c r="AN6" s="59">
        <f ca="1">AVERAGE(OFFSET($AM$3,0,0,'Données projet'!$E$10+1,1))-AVERAGE(OFFSET($H$3,0,0,'Données projet'!$E$10+1,1))</f>
        <v>425.47148407510412</v>
      </c>
      <c r="AO6" s="59">
        <f t="shared" si="36"/>
        <v>308.54448799922471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2.3800262745964411</v>
      </c>
      <c r="BE6" s="13">
        <f>BD6*VLOOKUP('Données projet'!$B$11,Paramètres!$A$1:$I$89,3,0)*VLOOKUP('Données projet'!$B$11,Paramètres!$A$1:$I$89,5,0)</f>
        <v>2.0791909534874513</v>
      </c>
      <c r="BF6" s="13">
        <f t="shared" si="37"/>
        <v>0.87992070356451979</v>
      </c>
      <c r="BG6" s="20">
        <f t="shared" si="7"/>
        <v>5.1537861360321822</v>
      </c>
      <c r="BH6" s="59">
        <f t="shared" si="8"/>
        <v>265.4871194693655</v>
      </c>
      <c r="BI6" s="59">
        <f ca="1">AVERAGE(OFFSET($BH$3,0,0,'Données projet'!$E$11+1,1))-AVERAGE(OFFSET($H$3,0,0,'Données projet'!$E$11+1,1))</f>
        <v>300.63505444445104</v>
      </c>
      <c r="BJ6" s="59">
        <f t="shared" si="38"/>
        <v>266.32508105927997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1.4885277387240547</v>
      </c>
      <c r="CA6" s="13">
        <f t="shared" si="39"/>
        <v>0.6549378504796014</v>
      </c>
      <c r="CB6" s="20">
        <f t="shared" si="10"/>
        <v>3.7332025678630338</v>
      </c>
      <c r="CC6" s="59">
        <f t="shared" si="11"/>
        <v>264.06653590119635</v>
      </c>
      <c r="CD6" s="59">
        <f ca="1">AVERAGE(OFFSET($CC$3,0,0,'Données projet'!$E$12+1,1))-AVERAGE(OFFSET($H$3,0,0,'Données projet'!$E$12+1,1))</f>
        <v>361.26385625423757</v>
      </c>
      <c r="CE6" s="59">
        <f t="shared" si="40"/>
        <v>222.05197404028576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5.6</v>
      </c>
      <c r="CT6" s="12">
        <f>IF('Données projet'!$A$140&gt;35,CT5+CS6-DB5,IF(A6&lt;'Données projet'!$A$140,$CQ$205^A6,IF(A6='Données projet'!$A$140,'Données projet'!$B$140,CT5+CS6-DB5)))</f>
        <v>7.3840532307432234</v>
      </c>
      <c r="CU6" s="17">
        <f>CT6*VLOOKUP('Données projet'!$B$13,Paramètres!$A$1:$I$89,3,0)*VLOOKUP('Données projet'!$B$13,Paramètres!$A$1:$I$89,5,0)</f>
        <v>6.6810913631764679</v>
      </c>
      <c r="CV6" s="13">
        <f t="shared" si="41"/>
        <v>2.4682391521919964</v>
      </c>
      <c r="CW6" s="20">
        <f t="shared" si="13"/>
        <v>15.935083980933408</v>
      </c>
      <c r="CX6" s="59">
        <f t="shared" si="14"/>
        <v>276.26841731426674</v>
      </c>
      <c r="CY6" s="59">
        <f ca="1">AVERAGE(OFFSET($CX$3,0,0,'Données projet'!$E$13+1,1))-AVERAGE(OFFSET($H$3,0,0,'Données projet'!$E$13+1,1))</f>
        <v>302.6937347295995</v>
      </c>
      <c r="CZ6" s="59">
        <f t="shared" si="42"/>
        <v>423.44006663873375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1.5129298328014982</v>
      </c>
      <c r="DQ6" s="13">
        <f t="shared" si="43"/>
        <v>0.66441578956897707</v>
      </c>
      <c r="DR6" s="20">
        <f t="shared" si="16"/>
        <v>3.7922102922952434</v>
      </c>
      <c r="DS6" s="59">
        <f t="shared" si="17"/>
        <v>264.12554362562855</v>
      </c>
      <c r="DT6" s="59">
        <f ca="1">AVERAGE(OFFSET($DS$3,0,0,'Données projet'!$E$14+1,1))-AVERAGE(OFFSET($H$3,0,0,'Données projet'!$E$14+1,1))</f>
        <v>366.51581861366333</v>
      </c>
      <c r="DU6" s="59">
        <f t="shared" si="44"/>
        <v>225.01415116995503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264.41110313686249</v>
      </c>
      <c r="EO6" s="59">
        <f ca="1">AVERAGE(OFFSET($EN$3,0,0,'Données projet'!$E$15+1,1))-AVERAGE(OFFSET($H$3,0,0,'Données projet'!$E$15+1,1))</f>
        <v>288.80569134263209</v>
      </c>
      <c r="EP6" s="59">
        <f t="shared" si="46"/>
        <v>283.48738729114024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9.4117948717948714</v>
      </c>
      <c r="FE6" s="12">
        <f>IF('Données projet'!$A$218&gt;35,FE5+FD6-FM5,IF(A6&lt;'Données projet'!$A$218,$FB$205^A6,IF(A6='Données projet'!$A$218,'Données projet'!$B$218,FE5+FD6-FM5)))</f>
        <v>2.6912419418286366</v>
      </c>
      <c r="FF6" s="17">
        <f>FE6*VLOOKUP('Données projet'!$B$16,Paramètres!$A$1:$I$89,3,0)*VLOOKUP('Données projet'!$B$16,Paramètres!$A$1:$I$89,5,0)</f>
        <v>1.6093626812135247</v>
      </c>
      <c r="FG6" s="13">
        <f t="shared" si="47"/>
        <v>0.70169999636568137</v>
      </c>
      <c r="FH6" s="20">
        <f t="shared" si="22"/>
        <v>4.0251008301171156</v>
      </c>
      <c r="FI6" s="59">
        <f t="shared" si="23"/>
        <v>264.35843416345045</v>
      </c>
      <c r="FJ6" s="59">
        <f ca="1">AVERAGE(OFFSET($FI$3,0,0,'Données projet'!$E$16+1,1))-AVERAGE(OFFSET($H$3,0,0,'Données projet'!$E$16+1,1))</f>
        <v>323.17232038705157</v>
      </c>
      <c r="FK6" s="59">
        <f t="shared" si="48"/>
        <v>402.34685738619197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2.6666666666666665</v>
      </c>
      <c r="FZ6" s="12">
        <f>IF('Données projet'!$A$244&gt;35,FZ5+FY6-GH5,IF(A6&lt;'Données projet'!$A$244,$FW$205^A6,IF(A6='Données projet'!$A$244,'Données projet'!$B$244,FZ5+FY6-GH5)))</f>
        <v>2.0912791051825459</v>
      </c>
      <c r="GA6" s="17">
        <f>FZ6*VLOOKUP('Données projet'!$B$17,Paramètres!$A$1:$I$89,3,0)*VLOOKUP('Données projet'!$B$17,Paramètres!$A$1:$I$89,5,0)</f>
        <v>1.6964456101240815</v>
      </c>
      <c r="GB6" s="13">
        <f t="shared" si="49"/>
        <v>0.73514592812979451</v>
      </c>
      <c r="GC6" s="20">
        <f t="shared" si="25"/>
        <v>4.2350219291255007</v>
      </c>
      <c r="GD6" s="59">
        <f t="shared" si="26"/>
        <v>264.56835526245879</v>
      </c>
      <c r="GE6" s="59">
        <f ca="1">AVERAGE(OFFSET($GD$3,0,0,'Données projet'!$E$17+1,1))-AVERAGE(OFFSET($H$3,0,0,'Données projet'!$E$17+1,1))</f>
        <v>298.96480270023716</v>
      </c>
      <c r="GF6" s="59">
        <f t="shared" si="50"/>
        <v>293.11447542333889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7.6594017094017097</v>
      </c>
      <c r="GU6" s="12">
        <f>IF('Données projet'!$A$270&gt;35,GU5+GT6-HC5,IF(A6&lt;'Données projet'!$A$270,$GR$205^A6,IF(A6='Données projet'!$A$270,'Données projet'!$B$270,GU5+GT6-HC5)))</f>
        <v>2.2728872481894911</v>
      </c>
      <c r="GV6" s="17">
        <f>GU6*VLOOKUP('Données projet'!$B$18,Paramètres!$A$1:$I$89,3,0)*VLOOKUP('Données projet'!$B$18,Paramètres!$A$1:$I$89,5,0)</f>
        <v>1.3000915059643887</v>
      </c>
      <c r="GW6" s="13">
        <f t="shared" si="51"/>
        <v>0.58111143482153338</v>
      </c>
      <c r="GX6" s="20">
        <f t="shared" si="28"/>
        <v>3.2764284552021476</v>
      </c>
      <c r="GY6" s="59">
        <f t="shared" si="29"/>
        <v>263.60976178853548</v>
      </c>
      <c r="GZ6" s="59">
        <f ca="1">AVERAGE(OFFSET($GY$3,0,0,'Données projet'!$E$18+1,1))-AVERAGE(OFFSET($H$3,0,0,'Données projet'!$E$18+1,1))</f>
        <v>320.76883487964511</v>
      </c>
      <c r="HA6" s="59">
        <f t="shared" si="52"/>
        <v>290.51177680335746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1.9238201704854236</v>
      </c>
      <c r="AK7" s="13">
        <f t="shared" si="35"/>
        <v>0.82156096043894689</v>
      </c>
      <c r="AL7" s="20">
        <f t="shared" si="4"/>
        <v>4.7815388030266117</v>
      </c>
      <c r="AM7" s="59">
        <f t="shared" si="5"/>
        <v>266.33709435858214</v>
      </c>
      <c r="AN7" s="59">
        <f ca="1">AVERAGE(OFFSET($AM$3,0,0,'Données projet'!$E$10+1,1))-AVERAGE(OFFSET($H$3,0,0,'Données projet'!$E$10+1,1))</f>
        <v>425.47148407510412</v>
      </c>
      <c r="AO7" s="59">
        <f t="shared" si="36"/>
        <v>308.54448799922471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3.1776715231464374</v>
      </c>
      <c r="BE7" s="13">
        <f>BD7*VLOOKUP('Données projet'!$B$11,Paramètres!$A$1:$I$89,3,0)*VLOOKUP('Données projet'!$B$11,Paramètres!$A$1:$I$89,5,0)</f>
        <v>2.7760138426207281</v>
      </c>
      <c r="BF7" s="13">
        <f t="shared" si="37"/>
        <v>1.135950520408497</v>
      </c>
      <c r="BG7" s="20">
        <f t="shared" si="7"/>
        <v>6.8133379322758998</v>
      </c>
      <c r="BH7" s="59">
        <f t="shared" si="8"/>
        <v>268.36889348783143</v>
      </c>
      <c r="BI7" s="59">
        <f ca="1">AVERAGE(OFFSET($BH$3,0,0,'Données projet'!$E$11+1,1))-AVERAGE(OFFSET($H$3,0,0,'Données projet'!$E$11+1,1))</f>
        <v>300.63505444445104</v>
      </c>
      <c r="BJ7" s="59">
        <f t="shared" si="38"/>
        <v>266.32508105927997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1.727923184056656</v>
      </c>
      <c r="CA7" s="13">
        <f t="shared" si="39"/>
        <v>0.7471858740785865</v>
      </c>
      <c r="CB7" s="20">
        <f t="shared" si="10"/>
        <v>4.3108149429188805</v>
      </c>
      <c r="CC7" s="59">
        <f t="shared" si="11"/>
        <v>265.8663704984744</v>
      </c>
      <c r="CD7" s="59">
        <f ca="1">AVERAGE(OFFSET($CC$3,0,0,'Données projet'!$E$12+1,1))-AVERAGE(OFFSET($H$3,0,0,'Données projet'!$E$12+1,1))</f>
        <v>361.26385625423757</v>
      </c>
      <c r="CE7" s="59">
        <f t="shared" si="40"/>
        <v>222.05197404028576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5.6</v>
      </c>
      <c r="CT7" s="12">
        <f>IF('Données projet'!$A$140&gt;35,CT6+CS7-DB6,IF(A7&lt;'Données projet'!$A$140,$CQ$205^A7,IF(A7='Données projet'!$A$140,'Données projet'!$B$140,CT6+CS7-DB6)))</f>
        <v>14.378925219250927</v>
      </c>
      <c r="CU7" s="17">
        <f>CT7*VLOOKUP('Données projet'!$B$13,Paramètres!$A$1:$I$89,3,0)*VLOOKUP('Données projet'!$B$13,Paramètres!$A$1:$I$89,5,0)</f>
        <v>13.010051538378239</v>
      </c>
      <c r="CV7" s="13">
        <f t="shared" si="41"/>
        <v>4.4476336184326453</v>
      </c>
      <c r="CW7" s="20">
        <f t="shared" si="13"/>
        <v>30.405468314778947</v>
      </c>
      <c r="CX7" s="59">
        <f t="shared" si="14"/>
        <v>291.96102387033449</v>
      </c>
      <c r="CY7" s="59">
        <f ca="1">AVERAGE(OFFSET($CX$3,0,0,'Données projet'!$E$13+1,1))-AVERAGE(OFFSET($H$3,0,0,'Données projet'!$E$13+1,1))</f>
        <v>302.6937347295995</v>
      </c>
      <c r="CZ7" s="59">
        <f t="shared" si="42"/>
        <v>423.44006663873375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1.7562497936313552</v>
      </c>
      <c r="DQ7" s="13">
        <f t="shared" si="43"/>
        <v>0.75799878128462583</v>
      </c>
      <c r="DR7" s="20">
        <f t="shared" si="16"/>
        <v>4.3789829346453333</v>
      </c>
      <c r="DS7" s="59">
        <f t="shared" si="17"/>
        <v>265.93453849020085</v>
      </c>
      <c r="DT7" s="59">
        <f ca="1">AVERAGE(OFFSET($DS$3,0,0,'Données projet'!$E$14+1,1))-AVERAGE(OFFSET($H$3,0,0,'Données projet'!$E$14+1,1))</f>
        <v>366.51581861366333</v>
      </c>
      <c r="DU7" s="59">
        <f t="shared" si="44"/>
        <v>225.01415116995503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266.72559198951097</v>
      </c>
      <c r="EO7" s="59">
        <f ca="1">AVERAGE(OFFSET($EN$3,0,0,'Données projet'!$E$15+1,1))-AVERAGE(OFFSET($H$3,0,0,'Données projet'!$E$15+1,1))</f>
        <v>288.80569134263209</v>
      </c>
      <c r="EP7" s="59">
        <f t="shared" si="46"/>
        <v>283.48738729114024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9.4117948717948714</v>
      </c>
      <c r="FE7" s="12">
        <f>IF('Données projet'!$A$218&gt;35,FE6+FD7-FM6,IF(A7&lt;'Données projet'!$A$218,$FB$205^A7,IF(A7='Données projet'!$A$218,'Données projet'!$B$218,FE6+FD7-FM6)))</f>
        <v>3.7434352303442648</v>
      </c>
      <c r="FF7" s="17">
        <f>FE7*VLOOKUP('Données projet'!$B$16,Paramètres!$A$1:$I$89,3,0)*VLOOKUP('Données projet'!$B$16,Paramètres!$A$1:$I$89,5,0)</f>
        <v>2.2385742677458706</v>
      </c>
      <c r="FG7" s="13">
        <f t="shared" si="47"/>
        <v>0.93926229495351976</v>
      </c>
      <c r="FH7" s="20">
        <f t="shared" si="22"/>
        <v>5.5347320133681039</v>
      </c>
      <c r="FI7" s="59">
        <f t="shared" si="23"/>
        <v>267.09028756892366</v>
      </c>
      <c r="FJ7" s="59">
        <f ca="1">AVERAGE(OFFSET($FI$3,0,0,'Données projet'!$E$16+1,1))-AVERAGE(OFFSET($H$3,0,0,'Données projet'!$E$16+1,1))</f>
        <v>323.17232038705157</v>
      </c>
      <c r="FK7" s="59">
        <f t="shared" si="48"/>
        <v>402.34685738619197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2.6666666666666665</v>
      </c>
      <c r="FZ7" s="12">
        <f>IF('Données projet'!$A$244&gt;35,FZ6+FY7-GH6,IF(A7&lt;'Données projet'!$A$244,$FW$205^A7,IF(A7='Données projet'!$A$244,'Données projet'!$B$244,FZ6+FY7-GH6)))</f>
        <v>2.6743361672197152</v>
      </c>
      <c r="GA7" s="17">
        <f>FZ7*VLOOKUP('Données projet'!$B$17,Paramètres!$A$1:$I$89,3,0)*VLOOKUP('Données projet'!$B$17,Paramètres!$A$1:$I$89,5,0)</f>
        <v>2.1694214988486329</v>
      </c>
      <c r="GB7" s="13">
        <f t="shared" si="49"/>
        <v>0.91357786799242624</v>
      </c>
      <c r="GC7" s="20">
        <f t="shared" si="25"/>
        <v>5.3695572305815107</v>
      </c>
      <c r="GD7" s="59">
        <f t="shared" si="26"/>
        <v>266.92511278613705</v>
      </c>
      <c r="GE7" s="59">
        <f ca="1">AVERAGE(OFFSET($GD$3,0,0,'Données projet'!$E$17+1,1))-AVERAGE(OFFSET($H$3,0,0,'Données projet'!$E$17+1,1))</f>
        <v>298.96480270023716</v>
      </c>
      <c r="GF7" s="59">
        <f t="shared" si="50"/>
        <v>293.11447542333889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7.6594017094017097</v>
      </c>
      <c r="GU7" s="12">
        <f>IF('Données projet'!$A$270&gt;35,GU6+GT7-HC6,IF(A7&lt;'Données projet'!$A$270,$GR$205^A7,IF(A7='Données projet'!$A$270,'Données projet'!$B$270,GU6+GT7-HC6)))</f>
        <v>2.988389414932104</v>
      </c>
      <c r="GV7" s="17">
        <f>GU7*VLOOKUP('Données projet'!$B$18,Paramètres!$A$1:$I$89,3,0)*VLOOKUP('Données projet'!$B$18,Paramètres!$A$1:$I$89,5,0)</f>
        <v>1.7093587453411636</v>
      </c>
      <c r="GW7" s="13">
        <f t="shared" si="51"/>
        <v>0.74008822836903909</v>
      </c>
      <c r="GX7" s="20">
        <f t="shared" si="28"/>
        <v>4.2661201458786024</v>
      </c>
      <c r="GY7" s="59">
        <f t="shared" si="29"/>
        <v>265.82167570143417</v>
      </c>
      <c r="GZ7" s="59">
        <f ca="1">AVERAGE(OFFSET($GY$3,0,0,'Données projet'!$E$18+1,1))-AVERAGE(OFFSET($H$3,0,0,'Données projet'!$E$18+1,1))</f>
        <v>320.76883487964511</v>
      </c>
      <c r="HA7" s="59">
        <f t="shared" si="52"/>
        <v>290.51177680335746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2.2578552887845609</v>
      </c>
      <c r="AK8" s="13">
        <f t="shared" si="35"/>
        <v>0.94640699587440658</v>
      </c>
      <c r="AL8" s="20">
        <f t="shared" si="4"/>
        <v>5.5807568124477021</v>
      </c>
      <c r="AM8" s="59">
        <f t="shared" si="5"/>
        <v>268.35853459022547</v>
      </c>
      <c r="AN8" s="59">
        <f ca="1">AVERAGE(OFFSET($AM$3,0,0,'Données projet'!$E$10+1,1))-AVERAGE(OFFSET($H$3,0,0,'Données projet'!$E$10+1,1))</f>
        <v>425.47148407510412</v>
      </c>
      <c r="AO8" s="59">
        <f t="shared" si="36"/>
        <v>308.54448799922471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4.2426406871192865</v>
      </c>
      <c r="BE8" s="13">
        <f>BD8*VLOOKUP('Données projet'!$B$11,Paramètres!$A$1:$I$89,3,0)*VLOOKUP('Données projet'!$B$11,Paramètres!$A$1:$I$89,5,0)</f>
        <v>3.7063709042674091</v>
      </c>
      <c r="BF8" s="13">
        <f t="shared" si="37"/>
        <v>1.4664771263922398</v>
      </c>
      <c r="BG8" s="20">
        <f t="shared" si="7"/>
        <v>9.0093769867322209</v>
      </c>
      <c r="BH8" s="59">
        <f t="shared" si="8"/>
        <v>271.78715476450998</v>
      </c>
      <c r="BI8" s="59">
        <f ca="1">AVERAGE(OFFSET($BH$3,0,0,'Données projet'!$E$11+1,1))-AVERAGE(OFFSET($H$3,0,0,'Données projet'!$E$11+1,1))</f>
        <v>300.63505444445104</v>
      </c>
      <c r="BJ8" s="59">
        <f t="shared" si="38"/>
        <v>266.32508105927997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2.0058198798228699</v>
      </c>
      <c r="CA8" s="13">
        <f t="shared" si="39"/>
        <v>0.85242703565499545</v>
      </c>
      <c r="CB8" s="20">
        <f t="shared" si="10"/>
        <v>4.9781133777906152</v>
      </c>
      <c r="CC8" s="59">
        <f t="shared" si="11"/>
        <v>267.75589115556841</v>
      </c>
      <c r="CD8" s="59">
        <f ca="1">AVERAGE(OFFSET($CC$3,0,0,'Données projet'!$E$12+1,1))-AVERAGE(OFFSET($H$3,0,0,'Données projet'!$E$12+1,1))</f>
        <v>361.26385625423757</v>
      </c>
      <c r="CE8" s="59">
        <f t="shared" si="40"/>
        <v>222.05197404028576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>
        <f>VLOOKUP(A8,'Données projet'!$A$139:$I$159,2,0)</f>
        <v>28</v>
      </c>
      <c r="CR8" s="12">
        <f>VLOOKUP(A8,'Données projet'!$A$139:$I$159,9,0)</f>
        <v>5.6</v>
      </c>
      <c r="CS8" s="12">
        <f t="array" ref="CS8">INDEX(CR:CR,MIN(IF(ISNUMBER(CR8:CR204),ROW(CR8:CR204),"")))</f>
        <v>5.6</v>
      </c>
      <c r="CT8" s="12">
        <f>IF('Données projet'!$A$140&gt;35,CT7+CS8-DB7,IF(A8&lt;'Données projet'!$A$140,$CQ$205^A8,IF(A8='Données projet'!$A$140,'Données projet'!$B$140,CT7+CS8-DB7)))</f>
        <v>28</v>
      </c>
      <c r="CU8" s="17">
        <f>CT8*VLOOKUP('Données projet'!$B$13,Paramètres!$A$1:$I$89,3,0)*VLOOKUP('Données projet'!$B$13,Paramètres!$A$1:$I$89,5,0)</f>
        <v>25.334399999999999</v>
      </c>
      <c r="CV8" s="13">
        <f t="shared" si="41"/>
        <v>8.0143955200794572</v>
      </c>
      <c r="CW8" s="20">
        <f t="shared" si="13"/>
        <v>58.082485530805052</v>
      </c>
      <c r="CX8" s="59">
        <f t="shared" si="14"/>
        <v>320.86026330858283</v>
      </c>
      <c r="CY8" s="59">
        <f ca="1">AVERAGE(OFFSET($CX$3,0,0,'Données projet'!$E$13+1,1))-AVERAGE(OFFSET($H$3,0,0,'Données projet'!$E$13+1,1))</f>
        <v>302.6937347295995</v>
      </c>
      <c r="CZ8" s="59">
        <f t="shared" si="42"/>
        <v>423.44006663873375</v>
      </c>
      <c r="DA8" s="15">
        <f>IF(ISNA(VLOOKUP(A8,'Données projet'!$A$139:$I$159,3,0)),0,VLOOKUP(A8,'Données projet'!$A$139:$I$159,3,0))</f>
        <v>1</v>
      </c>
      <c r="DB8" s="15">
        <f>IF(ISNA(VLOOKUP(A8,'Données projet'!$A$139:$I$159,4,0)),0,VLOOKUP(A8,'Données projet'!$A$139:$I$159,4,0))</f>
        <v>4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2.0387021729347206</v>
      </c>
      <c r="DQ8" s="13">
        <f t="shared" si="43"/>
        <v>0.86476294129269682</v>
      </c>
      <c r="DR8" s="20">
        <f t="shared" si="16"/>
        <v>5.0568684072794188</v>
      </c>
      <c r="DS8" s="59">
        <f t="shared" si="17"/>
        <v>267.83464618505718</v>
      </c>
      <c r="DT8" s="59">
        <f ca="1">AVERAGE(OFFSET($DS$3,0,0,'Données projet'!$E$14+1,1))-AVERAGE(OFFSET($H$3,0,0,'Données projet'!$E$14+1,1))</f>
        <v>366.51581861366333</v>
      </c>
      <c r="DU8" s="59">
        <f t="shared" si="44"/>
        <v>225.01415116995503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269.33377625930052</v>
      </c>
      <c r="EO8" s="59">
        <f ca="1">AVERAGE(OFFSET($EN$3,0,0,'Données projet'!$E$15+1,1))-AVERAGE(OFFSET($H$3,0,0,'Données projet'!$E$15+1,1))</f>
        <v>288.80569134263209</v>
      </c>
      <c r="EP8" s="59">
        <f t="shared" si="46"/>
        <v>283.48738729114024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9.4117948717948714</v>
      </c>
      <c r="FE8" s="12">
        <f>IF('Données projet'!$A$218&gt;35,FE7+FD8-FM7,IF(A8&lt;'Données projet'!$A$218,$FB$205^A8,IF(A8='Données projet'!$A$218,'Données projet'!$B$218,FE7+FD8-FM7)))</f>
        <v>5.2070039136878581</v>
      </c>
      <c r="FF8" s="17">
        <f>FE8*VLOOKUP('Données projet'!$B$16,Paramètres!$A$1:$I$89,3,0)*VLOOKUP('Données projet'!$B$16,Paramètres!$A$1:$I$89,5,0)</f>
        <v>3.1137883403853395</v>
      </c>
      <c r="FG8" s="13">
        <f t="shared" si="47"/>
        <v>1.2572519072119237</v>
      </c>
      <c r="FH8" s="20">
        <f t="shared" si="22"/>
        <v>7.6128950978985666</v>
      </c>
      <c r="FI8" s="59">
        <f t="shared" si="23"/>
        <v>270.39067287567633</v>
      </c>
      <c r="FJ8" s="59">
        <f ca="1">AVERAGE(OFFSET($FI$3,0,0,'Données projet'!$E$16+1,1))-AVERAGE(OFFSET($H$3,0,0,'Données projet'!$E$16+1,1))</f>
        <v>323.17232038705157</v>
      </c>
      <c r="FK8" s="59">
        <f t="shared" si="48"/>
        <v>402.34685738619197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2.6666666666666665</v>
      </c>
      <c r="FZ8" s="12">
        <f>IF('Données projet'!$A$244&gt;35,FZ7+FY8-GH7,IF(A8&lt;'Données projet'!$A$244,$FW$205^A8,IF(A8='Données projet'!$A$244,'Données projet'!$B$244,FZ7+FY8-GH7)))</f>
        <v>3.4199518933533928</v>
      </c>
      <c r="GA8" s="17">
        <f>FZ8*VLOOKUP('Données projet'!$B$17,Paramètres!$A$1:$I$89,3,0)*VLOOKUP('Données projet'!$B$17,Paramètres!$A$1:$I$89,5,0)</f>
        <v>2.7742649758882725</v>
      </c>
      <c r="GB8" s="13">
        <f t="shared" si="49"/>
        <v>1.1353181578640659</v>
      </c>
      <c r="GC8" s="20">
        <f t="shared" si="25"/>
        <v>6.8091906246186555</v>
      </c>
      <c r="GD8" s="59">
        <f t="shared" si="26"/>
        <v>269.58696840239645</v>
      </c>
      <c r="GE8" s="59">
        <f ca="1">AVERAGE(OFFSET($GD$3,0,0,'Données projet'!$E$17+1,1))-AVERAGE(OFFSET($H$3,0,0,'Données projet'!$E$17+1,1))</f>
        <v>298.96480270023716</v>
      </c>
      <c r="GF8" s="59">
        <f t="shared" si="50"/>
        <v>293.11447542333889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7.6594017094017097</v>
      </c>
      <c r="GU8" s="12">
        <f>IF('Données projet'!$A$270&gt;35,GU7+GT8-HC7,IF(A8&lt;'Données projet'!$A$270,$GR$205^A8,IF(A8='Données projet'!$A$270,'Données projet'!$B$270,GU7+GT8-HC7)))</f>
        <v>3.9291308015353463</v>
      </c>
      <c r="GV8" s="17">
        <f>GU8*VLOOKUP('Données projet'!$B$18,Paramètres!$A$1:$I$89,3,0)*VLOOKUP('Données projet'!$B$18,Paramètres!$A$1:$I$89,5,0)</f>
        <v>2.2474628184782182</v>
      </c>
      <c r="GW8" s="13">
        <f t="shared" si="51"/>
        <v>0.94255688831633089</v>
      </c>
      <c r="GX8" s="20">
        <f t="shared" si="28"/>
        <v>5.5559509893338399</v>
      </c>
      <c r="GY8" s="59">
        <f t="shared" si="29"/>
        <v>268.33372876711161</v>
      </c>
      <c r="GZ8" s="59">
        <f ca="1">AVERAGE(OFFSET($GY$3,0,0,'Données projet'!$E$18+1,1))-AVERAGE(OFFSET($H$3,0,0,'Données projet'!$E$18+1,1))</f>
        <v>320.76883487964511</v>
      </c>
      <c r="HA8" s="59">
        <f t="shared" si="52"/>
        <v>290.51177680335746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2.6498893104993768</v>
      </c>
      <c r="AK9" s="13">
        <f t="shared" si="35"/>
        <v>1.0902248828394525</v>
      </c>
      <c r="AL9" s="20">
        <f t="shared" si="4"/>
        <v>6.5140322200651282</v>
      </c>
      <c r="AM9" s="59">
        <f t="shared" si="5"/>
        <v>270.51403222006513</v>
      </c>
      <c r="AN9" s="59">
        <f ca="1">AVERAGE(OFFSET($AM$3,0,0,'Données projet'!$E$10+1,1))-AVERAGE(OFFSET($H$3,0,0,'Données projet'!$E$10+1,1))</f>
        <v>425.47148407510412</v>
      </c>
      <c r="AO9" s="59">
        <f t="shared" si="36"/>
        <v>308.54448799922471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5.6645250677694134</v>
      </c>
      <c r="BE9" s="13">
        <f>BD9*VLOOKUP('Données projet'!$B$11,Paramètres!$A$1:$I$89,3,0)*VLOOKUP('Données projet'!$B$11,Paramètres!$A$1:$I$89,5,0)</f>
        <v>4.9485290992033608</v>
      </c>
      <c r="BF9" s="13">
        <f t="shared" si="37"/>
        <v>1.8931767921179217</v>
      </c>
      <c r="BG9" s="20">
        <f t="shared" si="7"/>
        <v>11.915971094051232</v>
      </c>
      <c r="BH9" s="59">
        <f t="shared" si="8"/>
        <v>275.91597109405126</v>
      </c>
      <c r="BI9" s="59">
        <f ca="1">AVERAGE(OFFSET($BH$3,0,0,'Données projet'!$E$11+1,1))-AVERAGE(OFFSET($H$3,0,0,'Données projet'!$E$11+1,1))</f>
        <v>300.63505444445104</v>
      </c>
      <c r="BJ9" s="59">
        <f t="shared" si="38"/>
        <v>266.32508105927997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2.3284098664890163</v>
      </c>
      <c r="CA9" s="13">
        <f t="shared" si="39"/>
        <v>0.97249141923571569</v>
      </c>
      <c r="CB9" s="20">
        <f t="shared" si="10"/>
        <v>5.7490697393039083</v>
      </c>
      <c r="CC9" s="59">
        <f t="shared" si="11"/>
        <v>269.74906973930393</v>
      </c>
      <c r="CD9" s="59">
        <f ca="1">AVERAGE(OFFSET($CC$3,0,0,'Données projet'!$E$12+1,1))-AVERAGE(OFFSET($H$3,0,0,'Données projet'!$E$12+1,1))</f>
        <v>361.26385625423757</v>
      </c>
      <c r="CE9" s="59">
        <f t="shared" si="40"/>
        <v>222.05197404028576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11</v>
      </c>
      <c r="CT9" s="12">
        <f>IF('Données projet'!$A$140&gt;35,CT8+CS9-DB8,IF(A9&lt;'Données projet'!$A$140,$CQ$205^A9,IF(A9='Données projet'!$A$140,'Données projet'!$B$140,CT8+CS9-DB8)))</f>
        <v>35</v>
      </c>
      <c r="CU9" s="17">
        <f>CT9*VLOOKUP('Données projet'!$B$13,Paramètres!$A$1:$I$89,3,0)*VLOOKUP('Données projet'!$B$13,Paramètres!$A$1:$I$89,5,0)</f>
        <v>31.667999999999996</v>
      </c>
      <c r="CV9" s="13">
        <f t="shared" si="41"/>
        <v>9.7611381424130652</v>
      </c>
      <c r="CW9" s="20">
        <f t="shared" si="13"/>
        <v>72.155748931369416</v>
      </c>
      <c r="CX9" s="59">
        <f t="shared" si="14"/>
        <v>336.15574893136943</v>
      </c>
      <c r="CY9" s="59">
        <f ca="1">AVERAGE(OFFSET($CX$3,0,0,'Données projet'!$E$13+1,1))-AVERAGE(OFFSET($H$3,0,0,'Données projet'!$E$13+1,1))</f>
        <v>302.6937347295995</v>
      </c>
      <c r="CZ9" s="59">
        <f t="shared" si="42"/>
        <v>423.44006663873375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2.3665805200380166</v>
      </c>
      <c r="DQ9" s="13">
        <f t="shared" si="43"/>
        <v>0.9865648376977989</v>
      </c>
      <c r="DR9" s="20">
        <f t="shared" si="16"/>
        <v>5.8400614980565448</v>
      </c>
      <c r="DS9" s="59">
        <f t="shared" si="17"/>
        <v>269.84006149805657</v>
      </c>
      <c r="DT9" s="59">
        <f ca="1">AVERAGE(OFFSET($DS$3,0,0,'Données projet'!$E$14+1,1))-AVERAGE(OFFSET($H$3,0,0,'Données projet'!$E$14+1,1))</f>
        <v>366.51581861366333</v>
      </c>
      <c r="DU9" s="59">
        <f t="shared" si="44"/>
        <v>225.01415116995503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272.31491008523295</v>
      </c>
      <c r="EO9" s="59">
        <f ca="1">AVERAGE(OFFSET($EN$3,0,0,'Données projet'!$E$15+1,1))-AVERAGE(OFFSET($H$3,0,0,'Données projet'!$E$15+1,1))</f>
        <v>288.80569134263209</v>
      </c>
      <c r="EP9" s="59">
        <f t="shared" si="46"/>
        <v>283.48738729114024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9.4117948717948714</v>
      </c>
      <c r="FE9" s="12">
        <f>IF('Données projet'!$A$218&gt;35,FE8+FD9-FM8,IF(A9&lt;'Données projet'!$A$218,$FB$205^A9,IF(A9='Données projet'!$A$218,'Données projet'!$B$218,FE8+FD9-FM8)))</f>
        <v>7.2427831894575698</v>
      </c>
      <c r="FF9" s="17">
        <f>FE9*VLOOKUP('Données projet'!$B$16,Paramètres!$A$1:$I$89,3,0)*VLOOKUP('Données projet'!$B$16,Paramètres!$A$1:$I$89,5,0)</f>
        <v>4.3311843472956273</v>
      </c>
      <c r="FG9" s="13">
        <f t="shared" si="47"/>
        <v>1.6828977024636564</v>
      </c>
      <c r="FH9" s="20">
        <f t="shared" si="22"/>
        <v>10.474526236664085</v>
      </c>
      <c r="FI9" s="59">
        <f t="shared" si="23"/>
        <v>274.47452623666408</v>
      </c>
      <c r="FJ9" s="59">
        <f ca="1">AVERAGE(OFFSET($FI$3,0,0,'Données projet'!$E$16+1,1))-AVERAGE(OFFSET($H$3,0,0,'Données projet'!$E$16+1,1))</f>
        <v>323.17232038705157</v>
      </c>
      <c r="FK9" s="59">
        <f t="shared" si="48"/>
        <v>402.34685738619197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2.6666666666666665</v>
      </c>
      <c r="FZ9" s="12">
        <f>IF('Données projet'!$A$244&gt;35,FZ8+FY9-GH8,IF(A9&lt;'Données projet'!$A$244,$FW$205^A9,IF(A9='Données projet'!$A$244,'Données projet'!$B$244,FZ8+FY9-GH8)))</f>
        <v>4.3734482957731098</v>
      </c>
      <c r="GA9" s="17">
        <f>FZ9*VLOOKUP('Données projet'!$B$17,Paramètres!$A$1:$I$89,3,0)*VLOOKUP('Données projet'!$B$17,Paramètres!$A$1:$I$89,5,0)</f>
        <v>3.5477412575311469</v>
      </c>
      <c r="GB9" s="13">
        <f t="shared" si="49"/>
        <v>1.4108784425878202</v>
      </c>
      <c r="GC9" s="20">
        <f t="shared" si="25"/>
        <v>8.6362626443738666</v>
      </c>
      <c r="GD9" s="59">
        <f t="shared" si="26"/>
        <v>272.63626264437386</v>
      </c>
      <c r="GE9" s="59">
        <f ca="1">AVERAGE(OFFSET($GD$3,0,0,'Données projet'!$E$17+1,1))-AVERAGE(OFFSET($H$3,0,0,'Données projet'!$E$17+1,1))</f>
        <v>298.96480270023716</v>
      </c>
      <c r="GF9" s="59">
        <f t="shared" si="50"/>
        <v>293.11447542333889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7.6594017094017097</v>
      </c>
      <c r="GU9" s="12">
        <f>IF('Données projet'!$A$270&gt;35,GU8+GT9-HC8,IF(A9&lt;'Données projet'!$A$270,$GR$205^A9,IF(A9='Données projet'!$A$270,'Données projet'!$B$270,GU8+GT9-HC8)))</f>
        <v>5.1660164429823965</v>
      </c>
      <c r="GV9" s="17">
        <f>GU9*VLOOKUP('Données projet'!$B$18,Paramètres!$A$1:$I$89,3,0)*VLOOKUP('Données projet'!$B$18,Paramètres!$A$1:$I$89,5,0)</f>
        <v>2.954961405385931</v>
      </c>
      <c r="GW9" s="13">
        <f t="shared" si="51"/>
        <v>1.2004156445919905</v>
      </c>
      <c r="GX9" s="20">
        <f t="shared" si="28"/>
        <v>7.237281695378214</v>
      </c>
      <c r="GY9" s="59">
        <f t="shared" si="29"/>
        <v>271.23728169537821</v>
      </c>
      <c r="GZ9" s="59">
        <f ca="1">AVERAGE(OFFSET($GY$3,0,0,'Données projet'!$E$18+1,1))-AVERAGE(OFFSET($H$3,0,0,'Données projet'!$E$18+1,1))</f>
        <v>320.76883487964511</v>
      </c>
      <c r="HA9" s="59">
        <f t="shared" si="52"/>
        <v>290.51177680335746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3.1099926522212455</v>
      </c>
      <c r="AK10" s="13">
        <f t="shared" si="35"/>
        <v>1.2558976215767859</v>
      </c>
      <c r="AL10" s="20">
        <f t="shared" si="4"/>
        <v>7.6039255601982383</v>
      </c>
      <c r="AM10" s="59">
        <f t="shared" si="5"/>
        <v>272.82614778242049</v>
      </c>
      <c r="AN10" s="59">
        <f ca="1">AVERAGE(OFFSET($AM$3,0,0,'Données projet'!$E$10+1,1))-AVERAGE(OFFSET($H$3,0,0,'Données projet'!$E$10+1,1))</f>
        <v>425.47148407510412</v>
      </c>
      <c r="AO10" s="59">
        <f t="shared" si="36"/>
        <v>308.54448799922471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7.5629417171254145</v>
      </c>
      <c r="BE10" s="13">
        <f>BD10*VLOOKUP('Données projet'!$B$11,Paramètres!$A$1:$I$89,3,0)*VLOOKUP('Données projet'!$B$11,Paramètres!$A$1:$I$89,5,0)</f>
        <v>6.6069858840807631</v>
      </c>
      <c r="BF10" s="13">
        <f t="shared" si="37"/>
        <v>2.4440329151477385</v>
      </c>
      <c r="BG10" s="20">
        <f t="shared" si="7"/>
        <v>15.763857741989639</v>
      </c>
      <c r="BH10" s="59">
        <f t="shared" si="8"/>
        <v>280.98607996421185</v>
      </c>
      <c r="BI10" s="59">
        <f ca="1">AVERAGE(OFFSET($BH$3,0,0,'Données projet'!$E$11+1,1))-AVERAGE(OFFSET($H$3,0,0,'Données projet'!$E$11+1,1))</f>
        <v>300.63505444445104</v>
      </c>
      <c r="BJ10" s="59">
        <f t="shared" si="38"/>
        <v>266.32508105927997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2.7028810317914278</v>
      </c>
      <c r="CA10" s="13">
        <f t="shared" si="39"/>
        <v>1.1094668762592685</v>
      </c>
      <c r="CB10" s="20">
        <f t="shared" si="10"/>
        <v>6.6398392731882963</v>
      </c>
      <c r="CC10" s="59">
        <f t="shared" si="11"/>
        <v>271.8620614954105</v>
      </c>
      <c r="CD10" s="59">
        <f ca="1">AVERAGE(OFFSET($CC$3,0,0,'Données projet'!$E$12+1,1))-AVERAGE(OFFSET($H$3,0,0,'Données projet'!$E$12+1,1))</f>
        <v>361.26385625423757</v>
      </c>
      <c r="CE10" s="59">
        <f t="shared" si="40"/>
        <v>222.05197404028576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11</v>
      </c>
      <c r="CT10" s="12">
        <f>IF('Données projet'!$A$140&gt;35,CT9+CS10-DB9,IF(A10&lt;'Données projet'!$A$140,$CQ$205^A10,IF(A10='Données projet'!$A$140,'Données projet'!$B$140,CT9+CS10-DB9)))</f>
        <v>46</v>
      </c>
      <c r="CU10" s="17">
        <f>CT10*VLOOKUP('Données projet'!$B$13,Paramètres!$A$1:$I$89,3,0)*VLOOKUP('Données projet'!$B$13,Paramètres!$A$1:$I$89,5,0)</f>
        <v>41.620800000000003</v>
      </c>
      <c r="CV10" s="13">
        <f t="shared" si="41"/>
        <v>12.427241987862391</v>
      </c>
      <c r="CW10" s="20">
        <f t="shared" si="13"/>
        <v>94.133673128860323</v>
      </c>
      <c r="CX10" s="59">
        <f t="shared" si="14"/>
        <v>359.35589535108255</v>
      </c>
      <c r="CY10" s="59">
        <f ca="1">AVERAGE(OFFSET($CX$3,0,0,'Données projet'!$E$13+1,1))-AVERAGE(OFFSET($H$3,0,0,'Données projet'!$E$13+1,1))</f>
        <v>302.6937347295995</v>
      </c>
      <c r="CZ10" s="59">
        <f t="shared" si="42"/>
        <v>423.44006663873375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2.7471905569027628</v>
      </c>
      <c r="DQ10" s="13">
        <f t="shared" si="43"/>
        <v>1.1255225362996297</v>
      </c>
      <c r="DR10" s="20">
        <f t="shared" si="16"/>
        <v>6.7449753039941669</v>
      </c>
      <c r="DS10" s="59">
        <f t="shared" si="17"/>
        <v>271.96719752621641</v>
      </c>
      <c r="DT10" s="59">
        <f ca="1">AVERAGE(OFFSET($DS$3,0,0,'Données projet'!$E$14+1,1))-AVERAGE(OFFSET($H$3,0,0,'Données projet'!$E$14+1,1))</f>
        <v>366.51581861366333</v>
      </c>
      <c r="DU10" s="59">
        <f t="shared" si="44"/>
        <v>225.01415116995503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275.76970579909499</v>
      </c>
      <c r="EO10" s="59">
        <f ca="1">AVERAGE(OFFSET($EN$3,0,0,'Données projet'!$E$15+1,1))-AVERAGE(OFFSET($H$3,0,0,'Données projet'!$E$15+1,1))</f>
        <v>288.80569134263209</v>
      </c>
      <c r="EP10" s="59">
        <f t="shared" si="46"/>
        <v>283.48738729114024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9.4117948717948714</v>
      </c>
      <c r="FE10" s="12">
        <f>IF('Données projet'!$A$218&gt;35,FE9+FD10-FM9,IF(A10&lt;'Données projet'!$A$218,$FB$205^A10,IF(A10='Données projet'!$A$218,'Données projet'!$B$218,FE9+FD10-FM9)))</f>
        <v>10.07448989842143</v>
      </c>
      <c r="FF10" s="17">
        <f>FE10*VLOOKUP('Données projet'!$B$16,Paramètres!$A$1:$I$89,3,0)*VLOOKUP('Données projet'!$B$16,Paramètres!$A$1:$I$89,5,0)</f>
        <v>6.0245449592560147</v>
      </c>
      <c r="FG10" s="13">
        <f t="shared" si="47"/>
        <v>2.2526469522229675</v>
      </c>
      <c r="FH10" s="20">
        <f t="shared" si="22"/>
        <v>14.416109245825893</v>
      </c>
      <c r="FI10" s="59">
        <f t="shared" si="23"/>
        <v>279.63833146804814</v>
      </c>
      <c r="FJ10" s="59">
        <f ca="1">AVERAGE(OFFSET($FI$3,0,0,'Données projet'!$E$16+1,1))-AVERAGE(OFFSET($H$3,0,0,'Données projet'!$E$16+1,1))</f>
        <v>323.17232038705157</v>
      </c>
      <c r="FK10" s="59">
        <f t="shared" si="48"/>
        <v>402.34685738619197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2.6666666666666665</v>
      </c>
      <c r="FZ10" s="12">
        <f>IF('Données projet'!$A$244&gt;35,FZ9+FY10-GH9,IF(A10&lt;'Données projet'!$A$244,$FW$205^A10,IF(A10='Données projet'!$A$244,'Données projet'!$B$244,FZ9+FY10-GH9)))</f>
        <v>5.5927833467405659</v>
      </c>
      <c r="GA10" s="17">
        <f>FZ10*VLOOKUP('Données projet'!$B$17,Paramètres!$A$1:$I$89,3,0)*VLOOKUP('Données projet'!$B$17,Paramètres!$A$1:$I$89,5,0)</f>
        <v>4.5368658508759481</v>
      </c>
      <c r="GB10" s="13">
        <f t="shared" si="49"/>
        <v>1.7533217151252238</v>
      </c>
      <c r="GC10" s="20">
        <f t="shared" si="25"/>
        <v>10.955410010785373</v>
      </c>
      <c r="GD10" s="59">
        <f t="shared" si="26"/>
        <v>276.17763223300761</v>
      </c>
      <c r="GE10" s="59">
        <f ca="1">AVERAGE(OFFSET($GD$3,0,0,'Données projet'!$E$17+1,1))-AVERAGE(OFFSET($H$3,0,0,'Données projet'!$E$17+1,1))</f>
        <v>298.96480270023716</v>
      </c>
      <c r="GF10" s="59">
        <f t="shared" si="50"/>
        <v>293.11447542333889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7.6594017094017097</v>
      </c>
      <c r="GU10" s="12">
        <f>IF('Données projet'!$A$270&gt;35,GU9+GT10-HC9,IF(A10&lt;'Données projet'!$A$270,$GR$205^A10,IF(A10='Données projet'!$A$270,'Données projet'!$B$270,GU9+GT10-HC9)))</f>
        <v>6.7922721938236332</v>
      </c>
      <c r="GV10" s="17">
        <f>GU10*VLOOKUP('Données projet'!$B$18,Paramètres!$A$1:$I$89,3,0)*VLOOKUP('Données projet'!$B$18,Paramètres!$A$1:$I$89,5,0)</f>
        <v>3.8851796948671184</v>
      </c>
      <c r="GW10" s="13">
        <f t="shared" si="51"/>
        <v>1.5288177696682343</v>
      </c>
      <c r="GX10" s="20">
        <f t="shared" si="28"/>
        <v>9.4293789173990721</v>
      </c>
      <c r="GY10" s="59">
        <f t="shared" si="29"/>
        <v>274.65160113962128</v>
      </c>
      <c r="GZ10" s="59">
        <f ca="1">AVERAGE(OFFSET($GY$3,0,0,'Données projet'!$E$18+1,1))-AVERAGE(OFFSET($H$3,0,0,'Données projet'!$E$18+1,1))</f>
        <v>320.76883487964511</v>
      </c>
      <c r="HA10" s="59">
        <f t="shared" si="52"/>
        <v>290.51177680335746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3.6499842686060791</v>
      </c>
      <c r="AK11" s="13">
        <f t="shared" si="35"/>
        <v>1.4467463187725633</v>
      </c>
      <c r="AL11" s="20">
        <f t="shared" si="4"/>
        <v>8.8768057730178018</v>
      </c>
      <c r="AM11" s="59">
        <f t="shared" si="5"/>
        <v>275.32125021746225</v>
      </c>
      <c r="AN11" s="59">
        <f ca="1">AVERAGE(OFFSET($AM$3,0,0,'Données projet'!$E$10+1,1))-AVERAGE(OFFSET($H$3,0,0,'Données projet'!$E$10+1,1))</f>
        <v>425.47148407510412</v>
      </c>
      <c r="AO11" s="59">
        <f t="shared" si="36"/>
        <v>308.54448799922471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10.097596309015799</v>
      </c>
      <c r="BE11" s="13">
        <f>BD11*VLOOKUP('Données projet'!$B$11,Paramètres!$A$1:$I$89,3,0)*VLOOKUP('Données projet'!$B$11,Paramètres!$A$1:$I$89,5,0)</f>
        <v>8.8212601355562033</v>
      </c>
      <c r="BF11" s="13">
        <f t="shared" si="37"/>
        <v>3.1551711996443523</v>
      </c>
      <c r="BG11" s="20">
        <f t="shared" si="7"/>
        <v>20.858951242140964</v>
      </c>
      <c r="BH11" s="59">
        <f t="shared" si="8"/>
        <v>287.30339568658542</v>
      </c>
      <c r="BI11" s="59">
        <f ca="1">AVERAGE(OFFSET($BH$3,0,0,'Données projet'!$E$11+1,1))-AVERAGE(OFFSET($H$3,0,0,'Données projet'!$E$11+1,1))</f>
        <v>300.63505444445104</v>
      </c>
      <c r="BJ11" s="59">
        <f t="shared" si="38"/>
        <v>266.32508105927997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3.1375772698618039</v>
      </c>
      <c r="CA11" s="13">
        <f t="shared" si="39"/>
        <v>1.2657353321265099</v>
      </c>
      <c r="CB11" s="20">
        <f t="shared" si="10"/>
        <v>7.6691027817963127</v>
      </c>
      <c r="CC11" s="59">
        <f t="shared" si="11"/>
        <v>274.11354722624077</v>
      </c>
      <c r="CD11" s="59">
        <f ca="1">AVERAGE(OFFSET($CC$3,0,0,'Données projet'!$E$12+1,1))-AVERAGE(OFFSET($H$3,0,0,'Données projet'!$E$12+1,1))</f>
        <v>361.26385625423757</v>
      </c>
      <c r="CE11" s="59">
        <f t="shared" si="40"/>
        <v>222.05197404028576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11</v>
      </c>
      <c r="CT11" s="12">
        <f>IF('Données projet'!$A$140&gt;35,CT10+CS11-DB10,IF(A11&lt;'Données projet'!$A$140,$CQ$205^A11,IF(A11='Données projet'!$A$140,'Données projet'!$B$140,CT10+CS11-DB10)))</f>
        <v>57</v>
      </c>
      <c r="CU11" s="17">
        <f>CT11*VLOOKUP('Données projet'!$B$13,Paramètres!$A$1:$I$89,3,0)*VLOOKUP('Données projet'!$B$13,Paramètres!$A$1:$I$89,5,0)</f>
        <v>51.573599999999992</v>
      </c>
      <c r="CV11" s="13">
        <f t="shared" si="41"/>
        <v>15.019412930275323</v>
      </c>
      <c r="CW11" s="20">
        <f t="shared" si="13"/>
        <v>115.98283085356282</v>
      </c>
      <c r="CX11" s="59">
        <f t="shared" si="14"/>
        <v>382.42727529800726</v>
      </c>
      <c r="CY11" s="59">
        <f ca="1">AVERAGE(OFFSET($CX$3,0,0,'Données projet'!$E$13+1,1))-AVERAGE(OFFSET($H$3,0,0,'Données projet'!$E$13+1,1))</f>
        <v>302.6937347295995</v>
      </c>
      <c r="CZ11" s="59">
        <f t="shared" si="42"/>
        <v>423.44006663873375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3.1890129628103581</v>
      </c>
      <c r="DQ11" s="13">
        <f t="shared" si="43"/>
        <v>1.2840524325542542</v>
      </c>
      <c r="DR11" s="20">
        <f t="shared" si="16"/>
        <v>7.7905888969266996</v>
      </c>
      <c r="DS11" s="59">
        <f t="shared" si="17"/>
        <v>274.23503334137115</v>
      </c>
      <c r="DT11" s="59">
        <f ca="1">AVERAGE(OFFSET($DS$3,0,0,'Données projet'!$E$14+1,1))-AVERAGE(OFFSET($H$3,0,0,'Données projet'!$E$14+1,1))</f>
        <v>366.51581861366333</v>
      </c>
      <c r="DU11" s="59">
        <f t="shared" si="44"/>
        <v>225.01415116995503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279.82616165924384</v>
      </c>
      <c r="EO11" s="59">
        <f ca="1">AVERAGE(OFFSET($EN$3,0,0,'Données projet'!$E$15+1,1))-AVERAGE(OFFSET($H$3,0,0,'Données projet'!$E$15+1,1))</f>
        <v>288.80569134263209</v>
      </c>
      <c r="EP11" s="59">
        <f t="shared" si="46"/>
        <v>283.48738729114024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9.4117948717948714</v>
      </c>
      <c r="FE11" s="12">
        <f>IF('Données projet'!$A$218&gt;35,FE10+FD11-FM10,IF(A11&lt;'Données projet'!$A$218,$FB$205^A11,IF(A11='Données projet'!$A$218,'Données projet'!$B$218,FE10+FD11-FM10)))</f>
        <v>14.01330732378262</v>
      </c>
      <c r="FF11" s="17">
        <f>FE11*VLOOKUP('Données projet'!$B$16,Paramètres!$A$1:$I$89,3,0)*VLOOKUP('Données projet'!$B$16,Paramètres!$A$1:$I$89,5,0)</f>
        <v>8.3799577796220071</v>
      </c>
      <c r="FG11" s="13">
        <f t="shared" si="47"/>
        <v>3.0152862434423646</v>
      </c>
      <c r="FH11" s="20">
        <f t="shared" si="22"/>
        <v>19.846716673503781</v>
      </c>
      <c r="FI11" s="59">
        <f t="shared" si="23"/>
        <v>286.29116111794826</v>
      </c>
      <c r="FJ11" s="59">
        <f ca="1">AVERAGE(OFFSET($FI$3,0,0,'Données projet'!$E$16+1,1))-AVERAGE(OFFSET($H$3,0,0,'Données projet'!$E$16+1,1))</f>
        <v>323.17232038705157</v>
      </c>
      <c r="FK11" s="59">
        <f t="shared" si="48"/>
        <v>402.34685738619197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2.6666666666666665</v>
      </c>
      <c r="FZ11" s="12">
        <f>IF('Données projet'!$A$244&gt;35,FZ10+FY11-GH10,IF(A11&lt;'Données projet'!$A$244,$FW$205^A11,IF(A11='Données projet'!$A$244,'Données projet'!$B$244,FZ10+FY11-GH10)))</f>
        <v>7.1520739352994367</v>
      </c>
      <c r="GA11" s="17">
        <f>FZ11*VLOOKUP('Données projet'!$B$17,Paramètres!$A$1:$I$89,3,0)*VLOOKUP('Données projet'!$B$17,Paramètres!$A$1:$I$89,5,0)</f>
        <v>5.8017623763149038</v>
      </c>
      <c r="GB11" s="13">
        <f t="shared" si="49"/>
        <v>2.1788815704711619</v>
      </c>
      <c r="GC11" s="20">
        <f t="shared" si="25"/>
        <v>13.899621540652397</v>
      </c>
      <c r="GD11" s="59">
        <f t="shared" si="26"/>
        <v>280.34406598509685</v>
      </c>
      <c r="GE11" s="59">
        <f ca="1">AVERAGE(OFFSET($GD$3,0,0,'Données projet'!$E$17+1,1))-AVERAGE(OFFSET($H$3,0,0,'Données projet'!$E$17+1,1))</f>
        <v>298.96480270023716</v>
      </c>
      <c r="GF11" s="59">
        <f t="shared" si="50"/>
        <v>293.11447542333889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7.6594017094017097</v>
      </c>
      <c r="GU11" s="12">
        <f>IF('Données projet'!$A$270&gt;35,GU10+GT11-HC10,IF(A11&lt;'Données projet'!$A$270,$GR$205^A11,IF(A11='Données projet'!$A$270,'Données projet'!$B$270,GU10+GT11-HC10)))</f>
        <v>8.9304712952782435</v>
      </c>
      <c r="GV11" s="17">
        <f>GU11*VLOOKUP('Données projet'!$B$18,Paramètres!$A$1:$I$89,3,0)*VLOOKUP('Données projet'!$B$18,Paramètres!$A$1:$I$89,5,0)</f>
        <v>5.1082295808991551</v>
      </c>
      <c r="GW11" s="13">
        <f t="shared" si="51"/>
        <v>1.9470620725271994</v>
      </c>
      <c r="GX11" s="20">
        <f t="shared" si="28"/>
        <v>12.287966296384234</v>
      </c>
      <c r="GY11" s="59">
        <f t="shared" si="29"/>
        <v>278.7324107408287</v>
      </c>
      <c r="GZ11" s="59">
        <f ca="1">AVERAGE(OFFSET($GY$3,0,0,'Données projet'!$E$18+1,1))-AVERAGE(OFFSET($H$3,0,0,'Données projet'!$E$18+1,1))</f>
        <v>320.76883487964511</v>
      </c>
      <c r="HA11" s="59">
        <f t="shared" si="52"/>
        <v>290.51177680335746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4.283735253058115</v>
      </c>
      <c r="AK12" s="13">
        <f t="shared" si="35"/>
        <v>1.6665967630817691</v>
      </c>
      <c r="AL12" s="20">
        <f t="shared" si="4"/>
        <v>10.363494928110297</v>
      </c>
      <c r="AM12" s="59">
        <f t="shared" si="5"/>
        <v>278.03016159477698</v>
      </c>
      <c r="AN12" s="59">
        <f ca="1">AVERAGE(OFFSET($AM$3,0,0,'Données projet'!$E$10+1,1))-AVERAGE(OFFSET($H$3,0,0,'Données projet'!$E$10+1,1))</f>
        <v>425.47148407510412</v>
      </c>
      <c r="AO12" s="59">
        <f t="shared" si="36"/>
        <v>308.54448799922471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13.48171849440139</v>
      </c>
      <c r="BE12" s="13">
        <f>BD12*VLOOKUP('Données projet'!$B$11,Paramètres!$A$1:$I$89,3,0)*VLOOKUP('Données projet'!$B$11,Paramètres!$A$1:$I$89,5,0)</f>
        <v>11.777629276709055</v>
      </c>
      <c r="BF12" s="13">
        <f t="shared" si="37"/>
        <v>4.0732288167499631</v>
      </c>
      <c r="BG12" s="20">
        <f t="shared" si="7"/>
        <v>27.606911179441123</v>
      </c>
      <c r="BH12" s="59">
        <f t="shared" si="8"/>
        <v>295.2735778461078</v>
      </c>
      <c r="BI12" s="59">
        <f ca="1">AVERAGE(OFFSET($BH$3,0,0,'Données projet'!$E$11+1,1))-AVERAGE(OFFSET($H$3,0,0,'Données projet'!$E$11+1,1))</f>
        <v>300.63505444445104</v>
      </c>
      <c r="BJ12" s="59">
        <f t="shared" si="38"/>
        <v>266.32508105927997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3.642184398263633</v>
      </c>
      <c r="CA12" s="13">
        <f t="shared" si="39"/>
        <v>1.4440142065305053</v>
      </c>
      <c r="CB12" s="20">
        <f t="shared" si="10"/>
        <v>8.8584625700164565</v>
      </c>
      <c r="CC12" s="59">
        <f t="shared" si="11"/>
        <v>276.52512923668314</v>
      </c>
      <c r="CD12" s="59">
        <f ca="1">AVERAGE(OFFSET($CC$3,0,0,'Données projet'!$E$12+1,1))-AVERAGE(OFFSET($H$3,0,0,'Données projet'!$E$12+1,1))</f>
        <v>361.26385625423757</v>
      </c>
      <c r="CE12" s="59">
        <f t="shared" si="40"/>
        <v>222.05197404028576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11</v>
      </c>
      <c r="CT12" s="12">
        <f>IF('Données projet'!$A$140&gt;35,CT11+CS12-DB11,IF(A12&lt;'Données projet'!$A$140,$CQ$205^A12,IF(A12='Données projet'!$A$140,'Données projet'!$B$140,CT11+CS12-DB11)))</f>
        <v>68</v>
      </c>
      <c r="CU12" s="17">
        <f>CT12*VLOOKUP('Données projet'!$B$13,Paramètres!$A$1:$I$89,3,0)*VLOOKUP('Données projet'!$B$13,Paramètres!$A$1:$I$89,5,0)</f>
        <v>61.526399999999995</v>
      </c>
      <c r="CV12" s="13">
        <f t="shared" si="41"/>
        <v>17.553624762159014</v>
      </c>
      <c r="CW12" s="20">
        <f t="shared" si="13"/>
        <v>137.73104312742694</v>
      </c>
      <c r="CX12" s="59">
        <f t="shared" si="14"/>
        <v>405.39770979409366</v>
      </c>
      <c r="CY12" s="59">
        <f ca="1">AVERAGE(OFFSET($CX$3,0,0,'Données projet'!$E$13+1,1))-AVERAGE(OFFSET($H$3,0,0,'Données projet'!$E$13+1,1))</f>
        <v>302.6937347295995</v>
      </c>
      <c r="CZ12" s="59">
        <f t="shared" si="42"/>
        <v>423.44006663873375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3.7018923392187748</v>
      </c>
      <c r="DQ12" s="13">
        <f t="shared" si="43"/>
        <v>1.4649112713186636</v>
      </c>
      <c r="DR12" s="20">
        <f t="shared" si="16"/>
        <v>8.9988496216860376</v>
      </c>
      <c r="DS12" s="59">
        <f t="shared" si="17"/>
        <v>276.66551628835271</v>
      </c>
      <c r="DT12" s="59">
        <f ca="1">AVERAGE(OFFSET($DS$3,0,0,'Données projet'!$E$14+1,1))-AVERAGE(OFFSET($H$3,0,0,'Données projet'!$E$14+1,1))</f>
        <v>366.51581861366333</v>
      </c>
      <c r="DU12" s="59">
        <f t="shared" si="44"/>
        <v>225.01415116995503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284.64697678406844</v>
      </c>
      <c r="EO12" s="59">
        <f ca="1">AVERAGE(OFFSET($EN$3,0,0,'Données projet'!$E$15+1,1))-AVERAGE(OFFSET($H$3,0,0,'Données projet'!$E$15+1,1))</f>
        <v>288.80569134263209</v>
      </c>
      <c r="EP12" s="59">
        <f t="shared" si="46"/>
        <v>283.48738729114024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9.4117948717948714</v>
      </c>
      <c r="FE12" s="12">
        <f>IF('Données projet'!$A$218&gt;35,FE11+FD12-FM11,IF(A12&lt;'Données projet'!$A$218,$FB$205^A12,IF(A12='Données projet'!$A$218,'Données projet'!$B$218,FE11+FD12-FM11)))</f>
        <v>19.492081895039593</v>
      </c>
      <c r="FF12" s="17">
        <f>FE12*VLOOKUP('Données projet'!$B$16,Paramètres!$A$1:$I$89,3,0)*VLOOKUP('Données projet'!$B$16,Paramètres!$A$1:$I$89,5,0)</f>
        <v>11.656264973233679</v>
      </c>
      <c r="FG12" s="13">
        <f t="shared" si="47"/>
        <v>4.0361189847883647</v>
      </c>
      <c r="FH12" s="20">
        <f t="shared" si="22"/>
        <v>27.330902060221728</v>
      </c>
      <c r="FI12" s="59">
        <f t="shared" si="23"/>
        <v>294.9975687268884</v>
      </c>
      <c r="FJ12" s="59">
        <f ca="1">AVERAGE(OFFSET($FI$3,0,0,'Données projet'!$E$16+1,1))-AVERAGE(OFFSET($H$3,0,0,'Données projet'!$E$16+1,1))</f>
        <v>323.17232038705157</v>
      </c>
      <c r="FK12" s="59">
        <f t="shared" si="48"/>
        <v>402.34685738619197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2.6666666666666665</v>
      </c>
      <c r="FZ12" s="12">
        <f>IF('Données projet'!$A$244&gt;35,FZ11+FY12-GH11,IF(A12&lt;'Données projet'!$A$244,$FW$205^A12,IF(A12='Données projet'!$A$244,'Données projet'!$B$244,FZ11+FY12-GH11)))</f>
        <v>9.1461010385465205</v>
      </c>
      <c r="GA12" s="17">
        <f>FZ12*VLOOKUP('Données projet'!$B$17,Paramètres!$A$1:$I$89,3,0)*VLOOKUP('Données projet'!$B$17,Paramètres!$A$1:$I$89,5,0)</f>
        <v>7.4193171624689374</v>
      </c>
      <c r="GB12" s="13">
        <f t="shared" si="49"/>
        <v>2.7077317626216724</v>
      </c>
      <c r="GC12" s="20">
        <f t="shared" si="25"/>
        <v>17.637943544532806</v>
      </c>
      <c r="GD12" s="59">
        <f t="shared" si="26"/>
        <v>285.30461021119947</v>
      </c>
      <c r="GE12" s="59">
        <f ca="1">AVERAGE(OFFSET($GD$3,0,0,'Données projet'!$E$17+1,1))-AVERAGE(OFFSET($H$3,0,0,'Données projet'!$E$17+1,1))</f>
        <v>298.96480270023716</v>
      </c>
      <c r="GF12" s="59">
        <f t="shared" si="50"/>
        <v>293.11447542333889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7.6594017094017097</v>
      </c>
      <c r="GU12" s="12">
        <f>IF('Données projet'!$A$270&gt;35,GU11+GT12-HC11,IF(A12&lt;'Données projet'!$A$270,$GR$205^A12,IF(A12='Données projet'!$A$270,'Données projet'!$B$270,GU11+GT12-HC11)))</f>
        <v>11.741772897191924</v>
      </c>
      <c r="GV12" s="17">
        <f>GU12*VLOOKUP('Données projet'!$B$18,Paramètres!$A$1:$I$89,3,0)*VLOOKUP('Données projet'!$B$18,Paramètres!$A$1:$I$89,5,0)</f>
        <v>6.7162940971937806</v>
      </c>
      <c r="GW12" s="13">
        <f t="shared" si="51"/>
        <v>2.479727008338346</v>
      </c>
      <c r="GX12" s="20">
        <f t="shared" si="28"/>
        <v>16.016403425468454</v>
      </c>
      <c r="GY12" s="59">
        <f t="shared" si="29"/>
        <v>283.68307009213515</v>
      </c>
      <c r="GZ12" s="59">
        <f ca="1">AVERAGE(OFFSET($GY$3,0,0,'Données projet'!$E$18+1,1))-AVERAGE(OFFSET($H$3,0,0,'Données projet'!$E$18+1,1))</f>
        <v>320.76883487964511</v>
      </c>
      <c r="HA12" s="59">
        <f t="shared" si="52"/>
        <v>290.51177680335746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5.0275251529510969</v>
      </c>
      <c r="AK13" s="13">
        <f t="shared" si="35"/>
        <v>1.9198561176026576</v>
      </c>
      <c r="AL13" s="20">
        <f t="shared" si="4"/>
        <v>12.10002237954779</v>
      </c>
      <c r="AM13" s="59">
        <f t="shared" si="5"/>
        <v>280.98891126843665</v>
      </c>
      <c r="AN13" s="59">
        <f ca="1">AVERAGE(OFFSET($AM$3,0,0,'Données projet'!$E$10+1,1))-AVERAGE(OFFSET($H$3,0,0,'Données projet'!$E$10+1,1))</f>
        <v>425.47148407510412</v>
      </c>
      <c r="AO13" s="59">
        <f t="shared" si="36"/>
        <v>308.54448799922471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18</v>
      </c>
      <c r="BB13" s="12">
        <f>VLOOKUP(A13,'Données projet'!$A$87:$I$107,9,0)</f>
        <v>1.8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18</v>
      </c>
      <c r="BE13" s="13">
        <f>BD13*VLOOKUP('Données projet'!$B$11,Paramètres!$A$1:$I$89,3,0)*VLOOKUP('Données projet'!$B$11,Paramètres!$A$1:$I$89,5,0)</f>
        <v>15.724800000000004</v>
      </c>
      <c r="BF13" s="13">
        <f t="shared" si="37"/>
        <v>5.2584129176484753</v>
      </c>
      <c r="BG13" s="20">
        <f t="shared" si="7"/>
        <v>36.545762498237771</v>
      </c>
      <c r="BH13" s="59">
        <f t="shared" si="8"/>
        <v>305.43465138712662</v>
      </c>
      <c r="BI13" s="59">
        <f ca="1">AVERAGE(OFFSET($BH$3,0,0,'Données projet'!$E$11+1,1))-AVERAGE(OFFSET($H$3,0,0,'Données projet'!$E$11+1,1))</f>
        <v>300.63505444445104</v>
      </c>
      <c r="BJ13" s="59">
        <f t="shared" si="38"/>
        <v>266.32508105927997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4.2279459755071818</v>
      </c>
      <c r="CA13" s="13">
        <f t="shared" si="39"/>
        <v>1.6474036678416053</v>
      </c>
      <c r="CB13" s="20">
        <f t="shared" si="10"/>
        <v>10.232900628832473</v>
      </c>
      <c r="CC13" s="59">
        <f t="shared" si="11"/>
        <v>279.12178951772131</v>
      </c>
      <c r="CD13" s="59">
        <f ca="1">AVERAGE(OFFSET($CC$3,0,0,'Données projet'!$E$12+1,1))-AVERAGE(OFFSET($H$3,0,0,'Données projet'!$E$12+1,1))</f>
        <v>361.26385625423757</v>
      </c>
      <c r="CE13" s="59">
        <f t="shared" si="40"/>
        <v>222.05197404028576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79</v>
      </c>
      <c r="CR13" s="12">
        <f>VLOOKUP(A13,'Données projet'!$A$139:$I$159,9,0)</f>
        <v>11</v>
      </c>
      <c r="CS13" s="12">
        <f t="array" ref="CS13">INDEX(CR:CR,MIN(IF(ISNUMBER(CR13:CR209),ROW(CR13:CR209),"")))</f>
        <v>11</v>
      </c>
      <c r="CT13" s="12">
        <f>IF('Données projet'!$A$140&gt;35,CT12+CS13-DB12,IF(A13&lt;'Données projet'!$A$140,$CQ$205^A13,IF(A13='Données projet'!$A$140,'Données projet'!$B$140,CT12+CS13-DB12)))</f>
        <v>79</v>
      </c>
      <c r="CU13" s="17">
        <f>CT13*VLOOKUP('Données projet'!$B$13,Paramètres!$A$1:$I$89,3,0)*VLOOKUP('Données projet'!$B$13,Paramètres!$A$1:$I$89,5,0)</f>
        <v>71.479200000000006</v>
      </c>
      <c r="CV13" s="13">
        <f t="shared" si="41"/>
        <v>20.040346808618612</v>
      </c>
      <c r="CW13" s="20">
        <f t="shared" si="13"/>
        <v>159.39654402501074</v>
      </c>
      <c r="CX13" s="59">
        <f t="shared" si="14"/>
        <v>428.28543291389963</v>
      </c>
      <c r="CY13" s="59">
        <f ca="1">AVERAGE(OFFSET($CX$3,0,0,'Données projet'!$E$13+1,1))-AVERAGE(OFFSET($H$3,0,0,'Données projet'!$E$13+1,1))</f>
        <v>302.6937347295995</v>
      </c>
      <c r="CZ13" s="59">
        <f t="shared" si="42"/>
        <v>423.44006663873375</v>
      </c>
      <c r="DA13" s="15">
        <f>IF(ISNA(VLOOKUP(A13,'Données projet'!$A$139:$I$159,3,0)),0,VLOOKUP(A13,'Données projet'!$A$139:$I$159,3,0))</f>
        <v>2</v>
      </c>
      <c r="DB13" s="15">
        <f>IF(ISNA(VLOOKUP(A13,'Données projet'!$A$139:$I$159,4,0)),0,VLOOKUP(A13,'Données projet'!$A$139:$I$159,4,0))</f>
        <v>21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4.2972565652695947</v>
      </c>
      <c r="DQ13" s="13">
        <f t="shared" si="43"/>
        <v>1.6712440850781161</v>
      </c>
      <c r="DR13" s="20">
        <f t="shared" si="16"/>
        <v>10.395138632688928</v>
      </c>
      <c r="DS13" s="59">
        <f t="shared" si="17"/>
        <v>279.2840275215778</v>
      </c>
      <c r="DT13" s="59">
        <f ca="1">AVERAGE(OFFSET($DS$3,0,0,'Données projet'!$E$14+1,1))-AVERAGE(OFFSET($H$3,0,0,'Données projet'!$E$14+1,1))</f>
        <v>366.51581861366333</v>
      </c>
      <c r="DU13" s="59">
        <f t="shared" si="44"/>
        <v>225.01415116995503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290.43898667763051</v>
      </c>
      <c r="EO13" s="59">
        <f ca="1">AVERAGE(OFFSET($EN$3,0,0,'Données projet'!$E$15+1,1))-AVERAGE(OFFSET($H$3,0,0,'Données projet'!$E$15+1,1))</f>
        <v>288.80569134263209</v>
      </c>
      <c r="EP13" s="59">
        <f t="shared" si="46"/>
        <v>283.48738729114024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9.4117948717948714</v>
      </c>
      <c r="FE13" s="12">
        <f>IF('Données projet'!$A$218&gt;35,FE12+FD13-FM12,IF(A13&lt;'Données projet'!$A$218,$FB$205^A13,IF(A13='Données projet'!$A$218,'Données projet'!$B$218,FE12+FD13-FM12)))</f>
        <v>27.112889757160666</v>
      </c>
      <c r="FF13" s="17">
        <f>FE13*VLOOKUP('Données projet'!$B$16,Paramètres!$A$1:$I$89,3,0)*VLOOKUP('Données projet'!$B$16,Paramètres!$A$1:$I$89,5,0)</f>
        <v>16.21350807478208</v>
      </c>
      <c r="FG13" s="13">
        <f t="shared" si="47"/>
        <v>5.4025572181735821</v>
      </c>
      <c r="FH13" s="20">
        <f t="shared" si="22"/>
        <v>37.647980385231108</v>
      </c>
      <c r="FI13" s="59">
        <f t="shared" si="23"/>
        <v>306.53686927411997</v>
      </c>
      <c r="FJ13" s="59">
        <f ca="1">AVERAGE(OFFSET($FI$3,0,0,'Données projet'!$E$16+1,1))-AVERAGE(OFFSET($H$3,0,0,'Données projet'!$E$16+1,1))</f>
        <v>323.17232038705157</v>
      </c>
      <c r="FK13" s="59">
        <f t="shared" si="48"/>
        <v>402.34685738619197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2.6666666666666665</v>
      </c>
      <c r="FZ13" s="12">
        <f>IF('Données projet'!$A$244&gt;35,FZ12+FY13-GH12,IF(A13&lt;'Données projet'!$A$244,$FW$205^A13,IF(A13='Données projet'!$A$244,'Données projet'!$B$244,FZ12+FY13-GH12)))</f>
        <v>11.696070952851455</v>
      </c>
      <c r="GA13" s="17">
        <f>FZ13*VLOOKUP('Données projet'!$B$17,Paramètres!$A$1:$I$89,3,0)*VLOOKUP('Données projet'!$B$17,Paramètres!$A$1:$I$89,5,0)</f>
        <v>9.4878527569531013</v>
      </c>
      <c r="GB13" s="13">
        <f t="shared" si="49"/>
        <v>3.3649425456037227</v>
      </c>
      <c r="GC13" s="20">
        <f t="shared" si="25"/>
        <v>22.385285151953138</v>
      </c>
      <c r="GD13" s="59">
        <f t="shared" si="26"/>
        <v>291.27417404084201</v>
      </c>
      <c r="GE13" s="59">
        <f ca="1">AVERAGE(OFFSET($GD$3,0,0,'Données projet'!$E$17+1,1))-AVERAGE(OFFSET($H$3,0,0,'Données projet'!$E$17+1,1))</f>
        <v>298.96480270023716</v>
      </c>
      <c r="GF13" s="59">
        <f t="shared" si="50"/>
        <v>293.11447542333889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7.6594017094017097</v>
      </c>
      <c r="GU13" s="12">
        <f>IF('Données projet'!$A$270&gt;35,GU12+GT13-HC12,IF(A13&lt;'Données projet'!$A$270,$GR$205^A13,IF(A13='Données projet'!$A$270,'Données projet'!$B$270,GU12+GT13-HC12)))</f>
        <v>15.438068855573794</v>
      </c>
      <c r="GV13" s="17">
        <f>GU13*VLOOKUP('Données projet'!$B$18,Paramètres!$A$1:$I$89,3,0)*VLOOKUP('Données projet'!$B$18,Paramètres!$A$1:$I$89,5,0)</f>
        <v>8.8305753853882099</v>
      </c>
      <c r="GW13" s="13">
        <f t="shared" si="51"/>
        <v>3.1581150506935067</v>
      </c>
      <c r="GX13" s="20">
        <f t="shared" si="28"/>
        <v>20.88030250950899</v>
      </c>
      <c r="GY13" s="59">
        <f t="shared" si="29"/>
        <v>289.76919139839782</v>
      </c>
      <c r="GZ13" s="59">
        <f ca="1">AVERAGE(OFFSET($GY$3,0,0,'Données projet'!$E$18+1,1))-AVERAGE(OFFSET($H$3,0,0,'Données projet'!$E$18+1,1))</f>
        <v>320.76883487964511</v>
      </c>
      <c r="HA13" s="59">
        <f t="shared" si="52"/>
        <v>290.51177680335746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5.9004601522728706</v>
      </c>
      <c r="AK14" s="13">
        <f t="shared" si="35"/>
        <v>2.2116012666919538</v>
      </c>
      <c r="AL14" s="20">
        <f t="shared" si="4"/>
        <v>14.128506971363736</v>
      </c>
      <c r="AM14" s="59">
        <f t="shared" si="5"/>
        <v>284.23961808247486</v>
      </c>
      <c r="AN14" s="59">
        <f ca="1">AVERAGE(OFFSET($AM$3,0,0,'Données projet'!$E$10+1,1))-AVERAGE(OFFSET($H$3,0,0,'Données projet'!$E$10+1,1))</f>
        <v>425.47148407510412</v>
      </c>
      <c r="AO14" s="59">
        <f t="shared" si="36"/>
        <v>308.54448799922471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</v>
      </c>
      <c r="BD14" s="12">
        <f>IF('Données projet'!$A$88&gt;35,BD13+BC14-BL13,IF(A14&lt;'Données projet'!$A$88,$BA$205^A14,IF(A14='Données projet'!$A$88,'Données projet'!$B$88,BD13+BC14-BL13)))</f>
        <v>23.8</v>
      </c>
      <c r="BE14" s="13">
        <f>BD14*VLOOKUP('Données projet'!$B$11,Paramètres!$A$1:$I$89,3,0)*VLOOKUP('Données projet'!$B$11,Paramètres!$A$1:$I$89,5,0)</f>
        <v>20.791680000000003</v>
      </c>
      <c r="BF14" s="13">
        <f t="shared" si="37"/>
        <v>6.7303755760501467</v>
      </c>
      <c r="BG14" s="20">
        <f t="shared" si="7"/>
        <v>47.934246794954014</v>
      </c>
      <c r="BH14" s="59">
        <f t="shared" si="8"/>
        <v>318.04535790606514</v>
      </c>
      <c r="BI14" s="59">
        <f ca="1">AVERAGE(OFFSET($BH$3,0,0,'Données projet'!$E$11+1,1))-AVERAGE(OFFSET($H$3,0,0,'Données projet'!$E$11+1,1))</f>
        <v>300.63505444445104</v>
      </c>
      <c r="BJ14" s="59">
        <f t="shared" si="38"/>
        <v>266.32508105927997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4.9079138278471879</v>
      </c>
      <c r="CA14" s="13">
        <f t="shared" si="39"/>
        <v>1.8794405432746286</v>
      </c>
      <c r="CB14" s="20">
        <f t="shared" si="10"/>
        <v>11.821308863037162</v>
      </c>
      <c r="CC14" s="59">
        <f t="shared" si="11"/>
        <v>281.93241997414833</v>
      </c>
      <c r="CD14" s="59">
        <f ca="1">AVERAGE(OFFSET($CC$3,0,0,'Données projet'!$E$12+1,1))-AVERAGE(OFFSET($H$3,0,0,'Données projet'!$E$12+1,1))</f>
        <v>361.26385625423757</v>
      </c>
      <c r="CE14" s="59">
        <f t="shared" si="40"/>
        <v>222.05197404028576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11</v>
      </c>
      <c r="CT14" s="12">
        <f>IF('Données projet'!$A$140&gt;35,CT13+CS14-DB13,IF(A14&lt;'Données projet'!$A$140,$CQ$205^A14,IF(A14='Données projet'!$A$140,'Données projet'!$B$140,CT13+CS14-DB13)))</f>
        <v>69</v>
      </c>
      <c r="CU14" s="17">
        <f>CT14*VLOOKUP('Données projet'!$B$13,Paramètres!$A$1:$I$89,3,0)*VLOOKUP('Données projet'!$B$13,Paramètres!$A$1:$I$89,5,0)</f>
        <v>62.431199999999997</v>
      </c>
      <c r="CV14" s="13">
        <f t="shared" si="41"/>
        <v>17.781524466058684</v>
      </c>
      <c r="CW14" s="20">
        <f t="shared" si="13"/>
        <v>139.70382844505221</v>
      </c>
      <c r="CX14" s="59">
        <f t="shared" si="14"/>
        <v>409.81493955616338</v>
      </c>
      <c r="CY14" s="59">
        <f ca="1">AVERAGE(OFFSET($CX$3,0,0,'Données projet'!$E$13+1,1))-AVERAGE(OFFSET($H$3,0,0,'Données projet'!$E$13+1,1))</f>
        <v>302.6937347295995</v>
      </c>
      <c r="CZ14" s="59">
        <f t="shared" si="42"/>
        <v>423.44006663873375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4.9883714315823875</v>
      </c>
      <c r="DQ14" s="13">
        <f t="shared" si="43"/>
        <v>1.9066388842747952</v>
      </c>
      <c r="DR14" s="20">
        <f t="shared" si="16"/>
        <v>12.008809633451259</v>
      </c>
      <c r="DS14" s="59">
        <f t="shared" si="17"/>
        <v>282.11992074456242</v>
      </c>
      <c r="DT14" s="59">
        <f ca="1">AVERAGE(OFFSET($DS$3,0,0,'Données projet'!$E$14+1,1))-AVERAGE(OFFSET($H$3,0,0,'Données projet'!$E$14+1,1))</f>
        <v>366.51581861366333</v>
      </c>
      <c r="DU14" s="59">
        <f t="shared" si="44"/>
        <v>225.01415116995503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297.46517135674492</v>
      </c>
      <c r="EO14" s="59">
        <f ca="1">AVERAGE(OFFSET($EN$3,0,0,'Données projet'!$E$15+1,1))-AVERAGE(OFFSET($H$3,0,0,'Données projet'!$E$15+1,1))</f>
        <v>288.80569134263209</v>
      </c>
      <c r="EP14" s="59">
        <f t="shared" si="46"/>
        <v>283.48738729114024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9.4117948717948714</v>
      </c>
      <c r="FE14" s="12">
        <f>IF('Données projet'!$A$218&gt;35,FE13+FD14-FM13,IF(A14&lt;'Données projet'!$A$218,$FB$205^A14,IF(A14='Données projet'!$A$218,'Données projet'!$B$218,FE13+FD14-FM13)))</f>
        <v>37.713200413498193</v>
      </c>
      <c r="FF14" s="17">
        <f>FE14*VLOOKUP('Données projet'!$B$16,Paramètres!$A$1:$I$89,3,0)*VLOOKUP('Données projet'!$B$16,Paramètres!$A$1:$I$89,5,0)</f>
        <v>22.552493847271922</v>
      </c>
      <c r="FG14" s="13">
        <f t="shared" si="47"/>
        <v>7.2316065521467667</v>
      </c>
      <c r="FH14" s="20">
        <f t="shared" si="22"/>
        <v>51.873974862320885</v>
      </c>
      <c r="FI14" s="59">
        <f t="shared" si="23"/>
        <v>321.98508597343204</v>
      </c>
      <c r="FJ14" s="59">
        <f ca="1">AVERAGE(OFFSET($FI$3,0,0,'Données projet'!$E$16+1,1))-AVERAGE(OFFSET($H$3,0,0,'Données projet'!$E$16+1,1))</f>
        <v>323.17232038705157</v>
      </c>
      <c r="FK14" s="59">
        <f t="shared" si="48"/>
        <v>402.34685738619197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2.6666666666666665</v>
      </c>
      <c r="FZ14" s="12">
        <f>IF('Données projet'!$A$244&gt;35,FZ13+FY14-GH13,IF(A14&lt;'Données projet'!$A$244,$FW$205^A14,IF(A14='Données projet'!$A$244,'Données projet'!$B$244,FZ13+FY14-GH13)))</f>
        <v>14.956982779612416</v>
      </c>
      <c r="GA14" s="17">
        <f>FZ14*VLOOKUP('Données projet'!$B$17,Paramètres!$A$1:$I$89,3,0)*VLOOKUP('Données projet'!$B$17,Paramètres!$A$1:$I$89,5,0)</f>
        <v>12.133104430821591</v>
      </c>
      <c r="GB14" s="13">
        <f t="shared" si="49"/>
        <v>4.1816691341135996</v>
      </c>
      <c r="GC14" s="20">
        <f t="shared" si="25"/>
        <v>28.414897292262125</v>
      </c>
      <c r="GD14" s="59">
        <f t="shared" si="26"/>
        <v>298.52600840337328</v>
      </c>
      <c r="GE14" s="59">
        <f ca="1">AVERAGE(OFFSET($GD$3,0,0,'Données projet'!$E$17+1,1))-AVERAGE(OFFSET($H$3,0,0,'Données projet'!$E$17+1,1))</f>
        <v>298.96480270023716</v>
      </c>
      <c r="GF14" s="59">
        <f t="shared" si="50"/>
        <v>293.11447542333889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7.6594017094017097</v>
      </c>
      <c r="GU14" s="12">
        <f>IF('Données projet'!$A$270&gt;35,GU13+GT14-HC13,IF(A14&lt;'Données projet'!$A$270,$GR$205^A14,IF(A14='Données projet'!$A$270,'Données projet'!$B$270,GU13+GT14-HC13)))</f>
        <v>20.297954327360205</v>
      </c>
      <c r="GV14" s="17">
        <f>GU14*VLOOKUP('Données projet'!$B$18,Paramètres!$A$1:$I$89,3,0)*VLOOKUP('Données projet'!$B$18,Paramètres!$A$1:$I$89,5,0)</f>
        <v>11.610429875250038</v>
      </c>
      <c r="GW14" s="13">
        <f t="shared" si="51"/>
        <v>4.0220922060691588</v>
      </c>
      <c r="GX14" s="20">
        <f t="shared" si="28"/>
        <v>27.226642624964267</v>
      </c>
      <c r="GY14" s="59">
        <f t="shared" si="29"/>
        <v>297.3377537360754</v>
      </c>
      <c r="GZ14" s="59">
        <f ca="1">AVERAGE(OFFSET($GY$3,0,0,'Données projet'!$E$18+1,1))-AVERAGE(OFFSET($H$3,0,0,'Données projet'!$E$18+1,1))</f>
        <v>320.76883487964511</v>
      </c>
      <c r="HA14" s="59">
        <f t="shared" si="52"/>
        <v>290.51177680335746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6.9249638638055826</v>
      </c>
      <c r="AK15" s="13">
        <f t="shared" si="35"/>
        <v>2.5476805881375704</v>
      </c>
      <c r="AL15" s="20">
        <f t="shared" si="4"/>
        <v>16.498189087134325</v>
      </c>
      <c r="AM15" s="59">
        <f t="shared" si="5"/>
        <v>287.83152242046765</v>
      </c>
      <c r="AN15" s="59">
        <f ca="1">AVERAGE(OFFSET($AM$3,0,0,'Données projet'!$E$10+1,1))-AVERAGE(OFFSET($H$3,0,0,'Données projet'!$E$10+1,1))</f>
        <v>425.47148407510412</v>
      </c>
      <c r="AO15" s="59">
        <f t="shared" si="36"/>
        <v>308.54448799922471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</v>
      </c>
      <c r="BD15" s="12">
        <f>IF('Données projet'!$A$88&gt;35,BD14+BC15-BL14,IF(A15&lt;'Données projet'!$A$88,$BA$205^A15,IF(A15='Données projet'!$A$88,'Données projet'!$B$88,BD14+BC15-BL14)))</f>
        <v>29.6</v>
      </c>
      <c r="BE15" s="13">
        <f>BD15*VLOOKUP('Données projet'!$B$11,Paramètres!$A$1:$I$89,3,0)*VLOOKUP('Données projet'!$B$11,Paramètres!$A$1:$I$89,5,0)</f>
        <v>25.858560000000008</v>
      </c>
      <c r="BF15" s="13">
        <f t="shared" si="37"/>
        <v>8.1607346448714608</v>
      </c>
      <c r="BG15" s="20">
        <f t="shared" si="7"/>
        <v>59.250271506484466</v>
      </c>
      <c r="BH15" s="59">
        <f t="shared" si="8"/>
        <v>330.58360483981778</v>
      </c>
      <c r="BI15" s="59">
        <f ca="1">AVERAGE(OFFSET($BH$3,0,0,'Données projet'!$E$11+1,1))-AVERAGE(OFFSET($H$3,0,0,'Données projet'!$E$11+1,1))</f>
        <v>300.63505444445104</v>
      </c>
      <c r="BJ15" s="59">
        <f t="shared" si="38"/>
        <v>266.32508105927997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5.6972388675529606</v>
      </c>
      <c r="CA15" s="13">
        <f t="shared" si="39"/>
        <v>2.1441598223053449</v>
      </c>
      <c r="CB15" s="20">
        <f t="shared" si="10"/>
        <v>13.657102718169881</v>
      </c>
      <c r="CC15" s="59">
        <f t="shared" si="11"/>
        <v>284.9904360515032</v>
      </c>
      <c r="CD15" s="59">
        <f ca="1">AVERAGE(OFFSET($CC$3,0,0,'Données projet'!$E$12+1,1))-AVERAGE(OFFSET($H$3,0,0,'Données projet'!$E$12+1,1))</f>
        <v>361.26385625423757</v>
      </c>
      <c r="CE15" s="59">
        <f t="shared" si="40"/>
        <v>222.05197404028576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11</v>
      </c>
      <c r="CT15" s="12">
        <f>IF('Données projet'!$A$140&gt;35,CT14+CS15-DB14,IF(A15&lt;'Données projet'!$A$140,$CQ$205^A15,IF(A15='Données projet'!$A$140,'Données projet'!$B$140,CT14+CS15-DB14)))</f>
        <v>80</v>
      </c>
      <c r="CU15" s="17">
        <f>CT15*VLOOKUP('Données projet'!$B$13,Paramètres!$A$1:$I$89,3,0)*VLOOKUP('Données projet'!$B$13,Paramètres!$A$1:$I$89,5,0)</f>
        <v>72.384</v>
      </c>
      <c r="CV15" s="13">
        <f t="shared" si="41"/>
        <v>20.264329923804397</v>
      </c>
      <c r="CW15" s="20">
        <f t="shared" si="13"/>
        <v>161.362507950626</v>
      </c>
      <c r="CX15" s="59">
        <f t="shared" si="14"/>
        <v>432.69584128395934</v>
      </c>
      <c r="CY15" s="59">
        <f ca="1">AVERAGE(OFFSET($CX$3,0,0,'Données projet'!$E$13+1,1))-AVERAGE(OFFSET($H$3,0,0,'Données projet'!$E$13+1,1))</f>
        <v>302.6937347295995</v>
      </c>
      <c r="CZ15" s="59">
        <f t="shared" si="42"/>
        <v>423.44006663873375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5.790636226037436</v>
      </c>
      <c r="DQ15" s="13">
        <f t="shared" si="43"/>
        <v>2.175189050771551</v>
      </c>
      <c r="DR15" s="20">
        <f t="shared" si="16"/>
        <v>13.873812357108987</v>
      </c>
      <c r="DS15" s="59">
        <f t="shared" si="17"/>
        <v>285.2071456904423</v>
      </c>
      <c r="DT15" s="59">
        <f ca="1">AVERAGE(OFFSET($DS$3,0,0,'Données projet'!$E$14+1,1))-AVERAGE(OFFSET($H$3,0,0,'Données projet'!$E$14+1,1))</f>
        <v>366.51581861366333</v>
      </c>
      <c r="DU15" s="59">
        <f t="shared" si="44"/>
        <v>225.01415116995503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306.05993923876133</v>
      </c>
      <c r="EO15" s="59">
        <f ca="1">AVERAGE(OFFSET($EN$3,0,0,'Données projet'!$E$15+1,1))-AVERAGE(OFFSET($H$3,0,0,'Données projet'!$E$15+1,1))</f>
        <v>288.80569134263209</v>
      </c>
      <c r="EP15" s="59">
        <f t="shared" si="46"/>
        <v>283.48738729114024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9.4117948717948714</v>
      </c>
      <c r="FE15" s="12">
        <f>IF('Données projet'!$A$218&gt;35,FE14+FD15-FM14,IF(A15&lt;'Données projet'!$A$218,$FB$205^A15,IF(A15='Données projet'!$A$218,'Données projet'!$B$218,FE14+FD15-FM14)))</f>
        <v>52.457908329489165</v>
      </c>
      <c r="FF15" s="17">
        <f>FE15*VLOOKUP('Données projet'!$B$16,Paramètres!$A$1:$I$89,3,0)*VLOOKUP('Données projet'!$B$16,Paramètres!$A$1:$I$89,5,0)</f>
        <v>31.369829181034525</v>
      </c>
      <c r="FG15" s="13">
        <f t="shared" si="47"/>
        <v>9.6798851383070676</v>
      </c>
      <c r="FH15" s="20">
        <f t="shared" si="22"/>
        <v>71.4949191061866</v>
      </c>
      <c r="FI15" s="59">
        <f t="shared" si="23"/>
        <v>342.82825243951993</v>
      </c>
      <c r="FJ15" s="59">
        <f ca="1">AVERAGE(OFFSET($FI$3,0,0,'Données projet'!$E$16+1,1))-AVERAGE(OFFSET($H$3,0,0,'Données projet'!$E$16+1,1))</f>
        <v>323.17232038705157</v>
      </c>
      <c r="FK15" s="59">
        <f t="shared" si="48"/>
        <v>402.34685738619197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2.6666666666666665</v>
      </c>
      <c r="FZ15" s="12">
        <f>IF('Données projet'!$A$244&gt;35,FZ14+FY15-GH14,IF(A15&lt;'Données projet'!$A$244,$FW$205^A15,IF(A15='Données projet'!$A$244,'Données projet'!$B$244,FZ14+FY15-GH14)))</f>
        <v>19.127049995800721</v>
      </c>
      <c r="GA15" s="17">
        <f>FZ15*VLOOKUP('Données projet'!$B$17,Paramètres!$A$1:$I$89,3,0)*VLOOKUP('Données projet'!$B$17,Paramètres!$A$1:$I$89,5,0)</f>
        <v>15.515862956593548</v>
      </c>
      <c r="GB15" s="13">
        <f t="shared" si="49"/>
        <v>5.1966286229891843</v>
      </c>
      <c r="GC15" s="20">
        <f t="shared" si="25"/>
        <v>36.074256167773257</v>
      </c>
      <c r="GD15" s="59">
        <f t="shared" si="26"/>
        <v>307.4075895011066</v>
      </c>
      <c r="GE15" s="59">
        <f ca="1">AVERAGE(OFFSET($GD$3,0,0,'Données projet'!$E$17+1,1))-AVERAGE(OFFSET($H$3,0,0,'Données projet'!$E$17+1,1))</f>
        <v>298.96480270023716</v>
      </c>
      <c r="GF15" s="59">
        <f t="shared" si="50"/>
        <v>293.11447542333889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7.6594017094017097</v>
      </c>
      <c r="GU15" s="12">
        <f>IF('Données projet'!$A$270&gt;35,GU14+GT15-HC14,IF(A15&lt;'Données projet'!$A$270,$GR$205^A15,IF(A15='Données projet'!$A$270,'Données projet'!$B$270,GU14+GT15-HC14)))</f>
        <v>26.687725889164497</v>
      </c>
      <c r="GV15" s="17">
        <f>GU15*VLOOKUP('Données projet'!$B$18,Paramètres!$A$1:$I$89,3,0)*VLOOKUP('Données projet'!$B$18,Paramètres!$A$1:$I$89,5,0)</f>
        <v>15.265379208602091</v>
      </c>
      <c r="GW15" s="13">
        <f t="shared" si="51"/>
        <v>5.1224307710290127</v>
      </c>
      <c r="GX15" s="20">
        <f t="shared" si="28"/>
        <v>35.508769047857506</v>
      </c>
      <c r="GY15" s="59">
        <f t="shared" si="29"/>
        <v>306.84210238119084</v>
      </c>
      <c r="GZ15" s="59">
        <f ca="1">AVERAGE(OFFSET($GY$3,0,0,'Données projet'!$E$18+1,1))-AVERAGE(OFFSET($H$3,0,0,'Données projet'!$E$18+1,1))</f>
        <v>320.76883487964511</v>
      </c>
      <c r="HA15" s="59">
        <f t="shared" si="52"/>
        <v>290.51177680335746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8.1273533381190166</v>
      </c>
      <c r="AK16" s="13">
        <f t="shared" si="35"/>
        <v>2.9348311908328566</v>
      </c>
      <c r="AL16" s="20">
        <f t="shared" si="4"/>
        <v>19.26663805459118</v>
      </c>
      <c r="AM16" s="59">
        <f t="shared" si="5"/>
        <v>291.82219361014671</v>
      </c>
      <c r="AN16" s="59">
        <f ca="1">AVERAGE(OFFSET($AM$3,0,0,'Données projet'!$E$10+1,1))-AVERAGE(OFFSET($H$3,0,0,'Données projet'!$E$10+1,1))</f>
        <v>425.47148407510412</v>
      </c>
      <c r="AO16" s="59">
        <f t="shared" si="36"/>
        <v>308.54448799922471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</v>
      </c>
      <c r="BD16" s="12">
        <f>IF('Données projet'!$A$88&gt;35,BD15+BC16-BL15,IF(A16&lt;'Données projet'!$A$88,$BA$205^A16,IF(A16='Données projet'!$A$88,'Données projet'!$B$88,BD15+BC16-BL15)))</f>
        <v>35.4</v>
      </c>
      <c r="BE16" s="13">
        <f>BD16*VLOOKUP('Données projet'!$B$11,Paramètres!$A$1:$I$89,3,0)*VLOOKUP('Données projet'!$B$11,Paramètres!$A$1:$I$89,5,0)</f>
        <v>30.925440000000002</v>
      </c>
      <c r="BF16" s="13">
        <f t="shared" si="37"/>
        <v>9.5586196975402125</v>
      </c>
      <c r="BG16" s="20">
        <f t="shared" si="7"/>
        <v>70.509737306549212</v>
      </c>
      <c r="BH16" s="59">
        <f t="shared" si="8"/>
        <v>343.06529286210474</v>
      </c>
      <c r="BI16" s="59">
        <f ca="1">AVERAGE(OFFSET($BH$3,0,0,'Données projet'!$E$11+1,1))-AVERAGE(OFFSET($H$3,0,0,'Données projet'!$E$11+1,1))</f>
        <v>300.63505444445104</v>
      </c>
      <c r="BJ16" s="59">
        <f t="shared" si="38"/>
        <v>266.32508105927997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6.6135086826073701</v>
      </c>
      <c r="CA16" s="13">
        <f t="shared" si="39"/>
        <v>2.446164822845744</v>
      </c>
      <c r="CB16" s="20">
        <f t="shared" si="10"/>
        <v>15.77893135533084</v>
      </c>
      <c r="CC16" s="59">
        <f t="shared" si="11"/>
        <v>288.33448691088637</v>
      </c>
      <c r="CD16" s="59">
        <f ca="1">AVERAGE(OFFSET($CC$3,0,0,'Données projet'!$E$12+1,1))-AVERAGE(OFFSET($H$3,0,0,'Données projet'!$E$12+1,1))</f>
        <v>361.26385625423757</v>
      </c>
      <c r="CE16" s="59">
        <f t="shared" si="40"/>
        <v>222.05197404028576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11</v>
      </c>
      <c r="CT16" s="12">
        <f>IF('Données projet'!$A$140&gt;35,CT15+CS16-DB15,IF(A16&lt;'Données projet'!$A$140,$CQ$205^A16,IF(A16='Données projet'!$A$140,'Données projet'!$B$140,CT15+CS16-DB15)))</f>
        <v>91</v>
      </c>
      <c r="CU16" s="17">
        <f>CT16*VLOOKUP('Données projet'!$B$13,Paramètres!$A$1:$I$89,3,0)*VLOOKUP('Données projet'!$B$13,Paramètres!$A$1:$I$89,5,0)</f>
        <v>82.336799999999997</v>
      </c>
      <c r="CV16" s="13">
        <f t="shared" si="41"/>
        <v>22.707582950885364</v>
      </c>
      <c r="CW16" s="20">
        <f t="shared" si="13"/>
        <v>182.95230030612535</v>
      </c>
      <c r="CX16" s="59">
        <f t="shared" si="14"/>
        <v>455.50785586168092</v>
      </c>
      <c r="CY16" s="59">
        <f ca="1">AVERAGE(OFFSET($CX$3,0,0,'Données projet'!$E$13+1,1))-AVERAGE(OFFSET($H$3,0,0,'Données projet'!$E$13+1,1))</f>
        <v>302.6937347295995</v>
      </c>
      <c r="CZ16" s="59">
        <f t="shared" si="42"/>
        <v>423.44006663873375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6.7219268577320808</v>
      </c>
      <c r="DQ16" s="13">
        <f t="shared" si="43"/>
        <v>2.4815645194376086</v>
      </c>
      <c r="DR16" s="20">
        <f t="shared" si="16"/>
        <v>16.029414148570542</v>
      </c>
      <c r="DS16" s="59">
        <f t="shared" si="17"/>
        <v>288.58496970412608</v>
      </c>
      <c r="DT16" s="59">
        <f ca="1">AVERAGE(OFFSET($DS$3,0,0,'Données projet'!$E$14+1,1))-AVERAGE(OFFSET($H$3,0,0,'Données projet'!$E$14+1,1))</f>
        <v>366.51581861366333</v>
      </c>
      <c r="DU16" s="59">
        <f t="shared" si="44"/>
        <v>225.01415116995503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316.64858257249887</v>
      </c>
      <c r="EO16" s="59">
        <f ca="1">AVERAGE(OFFSET($EN$3,0,0,'Données projet'!$E$15+1,1))-AVERAGE(OFFSET($H$3,0,0,'Données projet'!$E$15+1,1))</f>
        <v>288.80569134263209</v>
      </c>
      <c r="EP16" s="59">
        <f t="shared" si="46"/>
        <v>283.48738729114024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9.4117948717948714</v>
      </c>
      <c r="FE16" s="12">
        <f>IF('Données projet'!$A$218&gt;35,FE15+FD16-FM15,IF(A16&lt;'Données projet'!$A$218,$FB$205^A16,IF(A16='Données projet'!$A$218,'Données projet'!$B$218,FE15+FD16-FM15)))</f>
        <v>72.967346078646827</v>
      </c>
      <c r="FF16" s="17">
        <f>FE16*VLOOKUP('Données projet'!$B$16,Paramètres!$A$1:$I$89,3,0)*VLOOKUP('Données projet'!$B$16,Paramètres!$A$1:$I$89,5,0)</f>
        <v>43.634472955030802</v>
      </c>
      <c r="FG16" s="13">
        <f t="shared" si="47"/>
        <v>12.957034597381723</v>
      </c>
      <c r="FH16" s="20">
        <f t="shared" si="22"/>
        <v>98.563542320451802</v>
      </c>
      <c r="FI16" s="59">
        <f t="shared" si="23"/>
        <v>371.11909787600734</v>
      </c>
      <c r="FJ16" s="59">
        <f ca="1">AVERAGE(OFFSET($FI$3,0,0,'Données projet'!$E$16+1,1))-AVERAGE(OFFSET($H$3,0,0,'Données projet'!$E$16+1,1))</f>
        <v>323.17232038705157</v>
      </c>
      <c r="FK16" s="59">
        <f t="shared" si="48"/>
        <v>402.34685738619197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2.6666666666666665</v>
      </c>
      <c r="FZ16" s="12">
        <f>IF('Données projet'!$A$244&gt;35,FZ15+FY16-GH15,IF(A16&lt;'Données projet'!$A$244,$FW$205^A16,IF(A16='Données projet'!$A$244,'Données projet'!$B$244,FZ15+FY16-GH15)))</f>
        <v>24.459748796430759</v>
      </c>
      <c r="GA16" s="17">
        <f>FZ16*VLOOKUP('Données projet'!$B$17,Paramètres!$A$1:$I$89,3,0)*VLOOKUP('Données projet'!$B$17,Paramètres!$A$1:$I$89,5,0)</f>
        <v>19.841748223664634</v>
      </c>
      <c r="GB16" s="13">
        <f t="shared" si="49"/>
        <v>6.4579353791927296</v>
      </c>
      <c r="GC16" s="20">
        <f t="shared" si="25"/>
        <v>45.805282274976577</v>
      </c>
      <c r="GD16" s="59">
        <f t="shared" si="26"/>
        <v>318.36083783053209</v>
      </c>
      <c r="GE16" s="59">
        <f ca="1">AVERAGE(OFFSET($GD$3,0,0,'Données projet'!$E$17+1,1))-AVERAGE(OFFSET($H$3,0,0,'Données projet'!$E$17+1,1))</f>
        <v>298.96480270023716</v>
      </c>
      <c r="GF16" s="59">
        <f t="shared" si="50"/>
        <v>293.11447542333889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7.6594017094017097</v>
      </c>
      <c r="GU16" s="12">
        <f>IF('Données projet'!$A$270&gt;35,GU15+GT16-HC15,IF(A16&lt;'Données projet'!$A$270,$GR$205^A16,IF(A16='Données projet'!$A$270,'Données projet'!$B$270,GU15+GT16-HC15)))</f>
        <v>35.088989838505007</v>
      </c>
      <c r="GV16" s="17">
        <f>GU16*VLOOKUP('Données projet'!$B$18,Paramètres!$A$1:$I$89,3,0)*VLOOKUP('Données projet'!$B$18,Paramètres!$A$1:$I$89,5,0)</f>
        <v>20.070902187624863</v>
      </c>
      <c r="GW16" s="13">
        <f t="shared" si="51"/>
        <v>6.5237930061352039</v>
      </c>
      <c r="GX16" s="20">
        <f t="shared" si="28"/>
        <v>46.319094129132111</v>
      </c>
      <c r="GY16" s="59">
        <f t="shared" si="29"/>
        <v>318.87464968468765</v>
      </c>
      <c r="GZ16" s="59">
        <f ca="1">AVERAGE(OFFSET($GY$3,0,0,'Données projet'!$E$18+1,1))-AVERAGE(OFFSET($H$3,0,0,'Données projet'!$E$18+1,1))</f>
        <v>320.76883487964511</v>
      </c>
      <c r="HA16" s="59">
        <f t="shared" si="52"/>
        <v>290.51177680335746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9.5385150856707419</v>
      </c>
      <c r="AK17" s="13">
        <f t="shared" si="35"/>
        <v>3.3808139681206768</v>
      </c>
      <c r="AL17" s="20">
        <f t="shared" si="4"/>
        <v>22.501164768686721</v>
      </c>
      <c r="AM17" s="59">
        <f t="shared" si="5"/>
        <v>296.27894254646446</v>
      </c>
      <c r="AN17" s="59">
        <f ca="1">AVERAGE(OFFSET($AM$3,0,0,'Données projet'!$E$10+1,1))-AVERAGE(OFFSET($H$3,0,0,'Données projet'!$E$10+1,1))</f>
        <v>425.47148407510412</v>
      </c>
      <c r="AO17" s="59">
        <f t="shared" si="36"/>
        <v>308.54448799922471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</v>
      </c>
      <c r="BD17" s="12">
        <f>IF('Données projet'!$A$88&gt;35,BD16+BC17-BL16,IF(A17&lt;'Données projet'!$A$88,$BA$205^A17,IF(A17='Données projet'!$A$88,'Données projet'!$B$88,BD16+BC17-BL16)))</f>
        <v>41.199999999999996</v>
      </c>
      <c r="BE17" s="13">
        <f>BD17*VLOOKUP('Données projet'!$B$11,Paramètres!$A$1:$I$89,3,0)*VLOOKUP('Données projet'!$B$11,Paramètres!$A$1:$I$89,5,0)</f>
        <v>35.992319999999999</v>
      </c>
      <c r="BF17" s="13">
        <f t="shared" si="37"/>
        <v>10.929972788578748</v>
      </c>
      <c r="BG17" s="20">
        <f t="shared" si="7"/>
        <v>81.722993273441304</v>
      </c>
      <c r="BH17" s="59">
        <f t="shared" si="8"/>
        <v>355.50077105121909</v>
      </c>
      <c r="BI17" s="59">
        <f ca="1">AVERAGE(OFFSET($BH$3,0,0,'Données projet'!$E$11+1,1))-AVERAGE(OFFSET($H$3,0,0,'Données projet'!$E$11+1,1))</f>
        <v>300.63505444445104</v>
      </c>
      <c r="BJ17" s="59">
        <f t="shared" si="38"/>
        <v>266.32508105927997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7.6771394199431429</v>
      </c>
      <c r="CA17" s="13">
        <f t="shared" si="39"/>
        <v>2.7907072403280107</v>
      </c>
      <c r="CB17" s="20">
        <f t="shared" si="10"/>
        <v>18.231499599972256</v>
      </c>
      <c r="CC17" s="59">
        <f t="shared" si="11"/>
        <v>292.00927737775004</v>
      </c>
      <c r="CD17" s="59">
        <f ca="1">AVERAGE(OFFSET($CC$3,0,0,'Données projet'!$E$12+1,1))-AVERAGE(OFFSET($H$3,0,0,'Données projet'!$E$12+1,1))</f>
        <v>361.26385625423757</v>
      </c>
      <c r="CE17" s="59">
        <f t="shared" si="40"/>
        <v>222.05197404028576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11</v>
      </c>
      <c r="CT17" s="12">
        <f>IF('Données projet'!$A$140&gt;35,CT16+CS17-DB16,IF(A17&lt;'Données projet'!$A$140,$CQ$205^A17,IF(A17='Données projet'!$A$140,'Données projet'!$B$140,CT16+CS17-DB16)))</f>
        <v>102</v>
      </c>
      <c r="CU17" s="17">
        <f>CT17*VLOOKUP('Données projet'!$B$13,Paramètres!$A$1:$I$89,3,0)*VLOOKUP('Données projet'!$B$13,Paramètres!$A$1:$I$89,5,0)</f>
        <v>92.289599999999993</v>
      </c>
      <c r="CV17" s="13">
        <f t="shared" si="41"/>
        <v>25.116611431659546</v>
      </c>
      <c r="CW17" s="20">
        <f t="shared" si="13"/>
        <v>204.48248491014036</v>
      </c>
      <c r="CX17" s="59">
        <f t="shared" si="14"/>
        <v>478.26026268791816</v>
      </c>
      <c r="CY17" s="59">
        <f ca="1">AVERAGE(OFFSET($CX$3,0,0,'Données projet'!$E$13+1,1))-AVERAGE(OFFSET($H$3,0,0,'Données projet'!$E$13+1,1))</f>
        <v>302.6937347295995</v>
      </c>
      <c r="CZ17" s="59">
        <f t="shared" si="42"/>
        <v>423.44006663873375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7.8029941645323753</v>
      </c>
      <c r="DQ17" s="13">
        <f t="shared" si="43"/>
        <v>2.8310929856636031</v>
      </c>
      <c r="DR17" s="20">
        <f t="shared" si="16"/>
        <v>18.521035119924662</v>
      </c>
      <c r="DS17" s="59">
        <f t="shared" si="17"/>
        <v>292.29881289770242</v>
      </c>
      <c r="DT17" s="59">
        <f ca="1">AVERAGE(OFFSET($DS$3,0,0,'Données projet'!$E$14+1,1))-AVERAGE(OFFSET($H$3,0,0,'Données projet'!$E$14+1,1))</f>
        <v>366.51581861366333</v>
      </c>
      <c r="DU17" s="59">
        <f t="shared" si="44"/>
        <v>225.01415116995503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329.77204569188632</v>
      </c>
      <c r="EO17" s="59">
        <f ca="1">AVERAGE(OFFSET($EN$3,0,0,'Données projet'!$E$15+1,1))-AVERAGE(OFFSET($H$3,0,0,'Données projet'!$E$15+1,1))</f>
        <v>288.80569134263209</v>
      </c>
      <c r="EP17" s="59">
        <f t="shared" si="46"/>
        <v>283.48738729114024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9.4117948717948714</v>
      </c>
      <c r="FE17" s="12">
        <f>IF('Données projet'!$A$218&gt;35,FE16+FD17-FM16,IF(A17&lt;'Données projet'!$A$218,$FB$205^A17,IF(A17='Données projet'!$A$218,'Données projet'!$B$218,FE16+FD17-FM16)))</f>
        <v>101.49534671339541</v>
      </c>
      <c r="FF17" s="17">
        <f>FE17*VLOOKUP('Données projet'!$B$16,Paramètres!$A$1:$I$89,3,0)*VLOOKUP('Données projet'!$B$16,Paramètres!$A$1:$I$89,5,0)</f>
        <v>60.694217334610457</v>
      </c>
      <c r="FG17" s="13">
        <f t="shared" si="47"/>
        <v>17.343671248056637</v>
      </c>
      <c r="FH17" s="20">
        <f t="shared" si="22"/>
        <v>135.91598928147849</v>
      </c>
      <c r="FI17" s="59">
        <f t="shared" si="23"/>
        <v>409.69376705925629</v>
      </c>
      <c r="FJ17" s="59">
        <f ca="1">AVERAGE(OFFSET($FI$3,0,0,'Données projet'!$E$16+1,1))-AVERAGE(OFFSET($H$3,0,0,'Données projet'!$E$16+1,1))</f>
        <v>323.17232038705157</v>
      </c>
      <c r="FK17" s="59">
        <f t="shared" si="48"/>
        <v>402.34685738619197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2.6666666666666665</v>
      </c>
      <c r="FZ17" s="12">
        <f>IF('Données projet'!$A$244&gt;35,FZ16+FY17-GH16,IF(A17&lt;'Données projet'!$A$244,$FW$205^A17,IF(A17='Données projet'!$A$244,'Données projet'!$B$244,FZ16+FY17-GH16)))</f>
        <v>31.279225563578599</v>
      </c>
      <c r="GA17" s="17">
        <f>FZ17*VLOOKUP('Données projet'!$B$17,Paramètres!$A$1:$I$89,3,0)*VLOOKUP('Données projet'!$B$17,Paramètres!$A$1:$I$89,5,0)</f>
        <v>25.37370777717496</v>
      </c>
      <c r="GB17" s="13">
        <f t="shared" si="49"/>
        <v>8.0253819134452193</v>
      </c>
      <c r="GC17" s="20">
        <f t="shared" si="25"/>
        <v>58.170081211163478</v>
      </c>
      <c r="GD17" s="59">
        <f t="shared" si="26"/>
        <v>331.94785898894122</v>
      </c>
      <c r="GE17" s="59">
        <f ca="1">AVERAGE(OFFSET($GD$3,0,0,'Données projet'!$E$17+1,1))-AVERAGE(OFFSET($H$3,0,0,'Données projet'!$E$17+1,1))</f>
        <v>298.96480270023716</v>
      </c>
      <c r="GF17" s="59">
        <f t="shared" si="50"/>
        <v>293.11447542333889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7.6594017094017097</v>
      </c>
      <c r="GU17" s="12">
        <f>IF('Données projet'!$A$270&gt;35,GU16+GT17-HC16,IF(A17&lt;'Données projet'!$A$270,$GR$205^A17,IF(A17='Données projet'!$A$270,'Données projet'!$B$270,GU16+GT17-HC16)))</f>
        <v>46.134961554989708</v>
      </c>
      <c r="GV17" s="17">
        <f>GU17*VLOOKUP('Données projet'!$B$18,Paramètres!$A$1:$I$89,3,0)*VLOOKUP('Données projet'!$B$18,Paramètres!$A$1:$I$89,5,0)</f>
        <v>26.389198009454116</v>
      </c>
      <c r="GW17" s="13">
        <f t="shared" si="51"/>
        <v>8.3085310645104116</v>
      </c>
      <c r="GX17" s="20">
        <f t="shared" si="28"/>
        <v>60.431878137154875</v>
      </c>
      <c r="GY17" s="59">
        <f t="shared" si="29"/>
        <v>334.20965591493263</v>
      </c>
      <c r="GZ17" s="59">
        <f ca="1">AVERAGE(OFFSET($GY$3,0,0,'Données projet'!$E$18+1,1))-AVERAGE(OFFSET($H$3,0,0,'Données projet'!$E$18+1,1))</f>
        <v>320.76883487964511</v>
      </c>
      <c r="HA17" s="59">
        <f t="shared" si="52"/>
        <v>290.51177680335746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11.194698477404382</v>
      </c>
      <c r="AK18" s="13">
        <f t="shared" si="35"/>
        <v>3.8945691741119406</v>
      </c>
      <c r="AL18" s="20">
        <f t="shared" si="4"/>
        <v>26.280474493057593</v>
      </c>
      <c r="AM18" s="59">
        <f t="shared" si="5"/>
        <v>301.28047449305757</v>
      </c>
      <c r="AN18" s="59">
        <f ca="1">AVERAGE(OFFSET($AM$3,0,0,'Données projet'!$E$10+1,1))-AVERAGE(OFFSET($H$3,0,0,'Données projet'!$E$10+1,1))</f>
        <v>425.47148407510412</v>
      </c>
      <c r="AO18" s="59">
        <f t="shared" si="36"/>
        <v>308.54448799922471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47</v>
      </c>
      <c r="BB18" s="12">
        <f>VLOOKUP(A18,'Données projet'!$A$87:$I$107,9,0)</f>
        <v>5.8</v>
      </c>
      <c r="BC18" s="12">
        <f t="array" ref="BC18">INDEX(BB:BB,MIN(IF(ISNUMBER(BB18:BB214),ROW(BB18:BB214),"")))</f>
        <v>5.8</v>
      </c>
      <c r="BD18" s="12">
        <f>IF('Données projet'!$A$88&gt;35,BD17+BC18-BL17,IF(A18&lt;'Données projet'!$A$88,$BA$205^A18,IF(A18='Données projet'!$A$88,'Données projet'!$B$88,BD17+BC18-BL17)))</f>
        <v>46.999999999999993</v>
      </c>
      <c r="BE18" s="13">
        <f>BD18*VLOOKUP('Données projet'!$B$11,Paramètres!$A$1:$I$89,3,0)*VLOOKUP('Données projet'!$B$11,Paramètres!$A$1:$I$89,5,0)</f>
        <v>41.059200000000004</v>
      </c>
      <c r="BF18" s="13">
        <f t="shared" si="37"/>
        <v>12.278959527914743</v>
      </c>
      <c r="BG18" s="20">
        <f t="shared" si="7"/>
        <v>92.897294511118176</v>
      </c>
      <c r="BH18" s="59">
        <f t="shared" si="8"/>
        <v>367.89729451111816</v>
      </c>
      <c r="BI18" s="59">
        <f ca="1">AVERAGE(OFFSET($BH$3,0,0,'Données projet'!$E$11+1,1))-AVERAGE(OFFSET($H$3,0,0,'Données projet'!$E$11+1,1))</f>
        <v>300.63505444445104</v>
      </c>
      <c r="BJ18" s="59">
        <f t="shared" si="38"/>
        <v>266.32508105927997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8.9118306940830223</v>
      </c>
      <c r="CA18" s="13">
        <f t="shared" si="39"/>
        <v>3.183778471705339</v>
      </c>
      <c r="CB18" s="20">
        <f t="shared" si="10"/>
        <v>21.066519297081395</v>
      </c>
      <c r="CC18" s="59">
        <f t="shared" si="11"/>
        <v>296.06651929708141</v>
      </c>
      <c r="CD18" s="59">
        <f ca="1">AVERAGE(OFFSET($CC$3,0,0,'Données projet'!$E$12+1,1))-AVERAGE(OFFSET($H$3,0,0,'Données projet'!$E$12+1,1))</f>
        <v>361.26385625423757</v>
      </c>
      <c r="CE18" s="59">
        <f t="shared" si="40"/>
        <v>222.05197404028576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113</v>
      </c>
      <c r="CR18" s="12">
        <f>VLOOKUP(A18,'Données projet'!$A$139:$I$159,9,0)</f>
        <v>11</v>
      </c>
      <c r="CS18" s="12">
        <f t="array" ref="CS18">INDEX(CR:CR,MIN(IF(ISNUMBER(CR18:CR214),ROW(CR18:CR214),"")))</f>
        <v>11</v>
      </c>
      <c r="CT18" s="12">
        <f>IF('Données projet'!$A$140&gt;35,CT17+CS18-DB17,IF(A18&lt;'Données projet'!$A$140,$CQ$205^A18,IF(A18='Données projet'!$A$140,'Données projet'!$B$140,CT17+CS18-DB17)))</f>
        <v>113</v>
      </c>
      <c r="CU18" s="17">
        <f>CT18*VLOOKUP('Données projet'!$B$13,Paramètres!$A$1:$I$89,3,0)*VLOOKUP('Données projet'!$B$13,Paramètres!$A$1:$I$89,5,0)</f>
        <v>102.24239999999999</v>
      </c>
      <c r="CV18" s="13">
        <f t="shared" si="41"/>
        <v>27.495526976991481</v>
      </c>
      <c r="CW18" s="20">
        <f t="shared" si="13"/>
        <v>225.96022281826015</v>
      </c>
      <c r="CX18" s="59">
        <f t="shared" si="14"/>
        <v>500.96022281826015</v>
      </c>
      <c r="CY18" s="59">
        <f ca="1">AVERAGE(OFFSET($CX$3,0,0,'Données projet'!$E$13+1,1))-AVERAGE(OFFSET($H$3,0,0,'Données projet'!$E$13+1,1))</f>
        <v>302.6937347295995</v>
      </c>
      <c r="CZ18" s="59">
        <f t="shared" si="42"/>
        <v>423.44006663873375</v>
      </c>
      <c r="DA18" s="15">
        <f>IF(ISNA(VLOOKUP(A18,'Données projet'!$A$139:$I$159,3,0)),0,VLOOKUP(A18,'Données projet'!$A$139:$I$159,3,0))</f>
        <v>3</v>
      </c>
      <c r="DB18" s="15">
        <f>IF(ISNA(VLOOKUP(A18,'Données projet'!$A$139:$I$159,4,0)),0,VLOOKUP(A18,'Données projet'!$A$139:$I$159,4,0))</f>
        <v>18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9.0579262792319231</v>
      </c>
      <c r="DQ18" s="13">
        <f t="shared" si="43"/>
        <v>3.2298525509584954</v>
      </c>
      <c r="DR18" s="20">
        <f t="shared" si="16"/>
        <v>21.401214795914981</v>
      </c>
      <c r="DS18" s="59">
        <f t="shared" si="17"/>
        <v>296.401214795915</v>
      </c>
      <c r="DT18" s="59">
        <f ca="1">AVERAGE(OFFSET($DS$3,0,0,'Données projet'!$E$14+1,1))-AVERAGE(OFFSET($H$3,0,0,'Données projet'!$E$14+1,1))</f>
        <v>366.51581861366333</v>
      </c>
      <c r="DU18" s="59">
        <f t="shared" si="44"/>
        <v>225.01415116995503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346.11846028285146</v>
      </c>
      <c r="EO18" s="59">
        <f ca="1">AVERAGE(OFFSET($EN$3,0,0,'Données projet'!$E$15+1,1))-AVERAGE(OFFSET($H$3,0,0,'Données projet'!$E$15+1,1))</f>
        <v>288.80569134263209</v>
      </c>
      <c r="EP18" s="59">
        <f t="shared" si="46"/>
        <v>283.48738729114024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141.17692307692306</v>
      </c>
      <c r="FC18" s="12">
        <f>VLOOKUP(A18,'Données projet'!$A$217:$I$237,9,0)</f>
        <v>9.4117948717948714</v>
      </c>
      <c r="FD18" s="12">
        <f t="array" ref="FD18">INDEX(FC:FC,MIN(IF(ISNUMBER(FC18:FC214),ROW(FC18:FC214),"")))</f>
        <v>9.4117948717948714</v>
      </c>
      <c r="FE18" s="12">
        <f>IF('Données projet'!$A$218&gt;35,FE17+FD18-FM17,IF(A18&lt;'Données projet'!$A$218,$FB$205^A18,IF(A18='Données projet'!$A$218,'Données projet'!$B$218,FE17+FD18-FM17)))</f>
        <v>141.17692307692306</v>
      </c>
      <c r="FF18" s="17">
        <f>FE18*VLOOKUP('Données projet'!$B$16,Paramètres!$A$1:$I$89,3,0)*VLOOKUP('Données projet'!$B$16,Paramètres!$A$1:$I$89,5,0)</f>
        <v>84.423799999999986</v>
      </c>
      <c r="FG18" s="13">
        <f t="shared" si="47"/>
        <v>23.215414769475935</v>
      </c>
      <c r="FH18" s="20">
        <f t="shared" si="22"/>
        <v>187.47163239017053</v>
      </c>
      <c r="FI18" s="59">
        <f t="shared" si="23"/>
        <v>462.4716323901705</v>
      </c>
      <c r="FJ18" s="59">
        <f ca="1">AVERAGE(OFFSET($FI$3,0,0,'Données projet'!$E$16+1,1))-AVERAGE(OFFSET($H$3,0,0,'Données projet'!$E$16+1,1))</f>
        <v>323.17232038705157</v>
      </c>
      <c r="FK18" s="59">
        <f t="shared" si="48"/>
        <v>402.34685738619197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49.784615384615385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0.25200000000000006</v>
      </c>
      <c r="FP18" s="16">
        <f>IF(ISNA(VLOOKUP(A18,'Données projet'!$A$217:$I$237,7,0)),0%,VLOOKUP(A18,'Données projet'!$A$217:$I$237,7,0))</f>
        <v>0.44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9.9131546026642408</v>
      </c>
      <c r="FS18" s="21">
        <f>EXP(-LN(2)/2)*FS17+(1-EXP(-LN(2)/2))/(LN(2)/2)*FM18*FP18*VLOOKUP('Données projet'!$B$16,Paramètres!$A$1:$I$89,3,0)*0.475*44/12</f>
        <v>14.831482237492764</v>
      </c>
      <c r="FT18" s="22">
        <f t="shared" si="24"/>
        <v>24.744636840157007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40</v>
      </c>
      <c r="FX18" s="12">
        <f>VLOOKUP(A18,'Données projet'!$A$243:$I$263,9,0)</f>
        <v>2.6666666666666665</v>
      </c>
      <c r="FY18" s="12">
        <f t="array" ref="FY18">INDEX(FX:FX,MIN(IF(ISNUMBER(FX18:FX214),ROW(FX18:FX214),"")))</f>
        <v>2.6666666666666665</v>
      </c>
      <c r="FZ18" s="12">
        <f>IF('Données projet'!$A$244&gt;35,FZ17+FY18-GH17,IF(A18&lt;'Données projet'!$A$244,$FW$205^A18,IF(A18='Données projet'!$A$244,'Données projet'!$B$244,FZ17+FY18-GH17)))</f>
        <v>40</v>
      </c>
      <c r="GA18" s="17">
        <f>FZ18*VLOOKUP('Données projet'!$B$17,Paramètres!$A$1:$I$89,3,0)*VLOOKUP('Données projet'!$B$17,Paramètres!$A$1:$I$89,5,0)</f>
        <v>32.448</v>
      </c>
      <c r="GB18" s="13">
        <f t="shared" si="49"/>
        <v>9.9732733567093899</v>
      </c>
      <c r="GC18" s="20">
        <f t="shared" si="25"/>
        <v>73.883717762935518</v>
      </c>
      <c r="GD18" s="59">
        <f t="shared" si="26"/>
        <v>348.88371776293553</v>
      </c>
      <c r="GE18" s="59">
        <f ca="1">AVERAGE(OFFSET($GD$3,0,0,'Données projet'!$E$17+1,1))-AVERAGE(OFFSET($H$3,0,0,'Données projet'!$E$17+1,1))</f>
        <v>298.96480270023716</v>
      </c>
      <c r="GF18" s="59">
        <f t="shared" si="50"/>
        <v>293.11447542333889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3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7.6594017094017097</v>
      </c>
      <c r="GU18" s="12">
        <f>IF('Données projet'!$A$270&gt;35,GU17+GT18-HC17,IF(A18&lt;'Données projet'!$A$270,$GR$205^A18,IF(A18='Données projet'!$A$270,'Données projet'!$B$270,GU17+GT18-HC17)))</f>
        <v>60.65819185665854</v>
      </c>
      <c r="GV18" s="17">
        <f>GU18*VLOOKUP('Données projet'!$B$18,Paramètres!$A$1:$I$89,3,0)*VLOOKUP('Données projet'!$B$18,Paramètres!$A$1:$I$89,5,0)</f>
        <v>34.696485742008683</v>
      </c>
      <c r="GW18" s="13">
        <f t="shared" si="51"/>
        <v>10.581526480839404</v>
      </c>
      <c r="GX18" s="20">
        <f t="shared" si="28"/>
        <v>78.859204621460421</v>
      </c>
      <c r="GY18" s="59">
        <f t="shared" si="29"/>
        <v>353.85920462146044</v>
      </c>
      <c r="GZ18" s="59">
        <f ca="1">AVERAGE(OFFSET($GY$3,0,0,'Données projet'!$E$18+1,1))-AVERAGE(OFFSET($H$3,0,0,'Données projet'!$E$18+1,1))</f>
        <v>320.76883487964511</v>
      </c>
      <c r="HA18" s="59">
        <f t="shared" si="52"/>
        <v>290.51177680335746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13.138446904410113</v>
      </c>
      <c r="AK19" s="13">
        <f t="shared" si="35"/>
        <v>4.486395641690498</v>
      </c>
      <c r="AL19" s="20">
        <f t="shared" si="4"/>
        <v>30.696600767791892</v>
      </c>
      <c r="AM19" s="59">
        <f t="shared" si="5"/>
        <v>306.91882299001412</v>
      </c>
      <c r="AN19" s="59">
        <f ca="1">AVERAGE(OFFSET($AM$3,0,0,'Données projet'!$E$10+1,1))-AVERAGE(OFFSET($H$3,0,0,'Données projet'!$E$10+1,1))</f>
        <v>425.47148407510412</v>
      </c>
      <c r="AO19" s="59">
        <f t="shared" si="36"/>
        <v>308.54448799922471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54.999999999999993</v>
      </c>
      <c r="BE19" s="13">
        <f>BD19*VLOOKUP('Données projet'!$B$11,Paramètres!$A$1:$I$89,3,0)*VLOOKUP('Données projet'!$B$11,Paramètres!$A$1:$I$89,5,0)</f>
        <v>48.048000000000002</v>
      </c>
      <c r="BF19" s="13">
        <f t="shared" si="37"/>
        <v>14.108484750160615</v>
      </c>
      <c r="BG19" s="20">
        <f t="shared" si="7"/>
        <v>108.25587760652974</v>
      </c>
      <c r="BH19" s="59">
        <f t="shared" si="8"/>
        <v>384.47809982875197</v>
      </c>
      <c r="BI19" s="59">
        <f ca="1">AVERAGE(OFFSET($BH$3,0,0,'Données projet'!$E$11+1,1))-AVERAGE(OFFSET($H$3,0,0,'Données projet'!$E$11+1,1))</f>
        <v>300.63505444445104</v>
      </c>
      <c r="BJ19" s="59">
        <f t="shared" si="38"/>
        <v>266.32508105927997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10.345093657370166</v>
      </c>
      <c r="CA19" s="13">
        <f t="shared" si="39"/>
        <v>3.6322138024420574</v>
      </c>
      <c r="CB19" s="20">
        <f t="shared" si="10"/>
        <v>24.343810492506289</v>
      </c>
      <c r="CC19" s="59">
        <f t="shared" si="11"/>
        <v>300.56603271472852</v>
      </c>
      <c r="CD19" s="59">
        <f ca="1">AVERAGE(OFFSET($CC$3,0,0,'Données projet'!$E$12+1,1))-AVERAGE(OFFSET($H$3,0,0,'Données projet'!$E$12+1,1))</f>
        <v>361.26385625423757</v>
      </c>
      <c r="CE19" s="59">
        <f t="shared" si="40"/>
        <v>222.05197404028576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10</v>
      </c>
      <c r="CT19" s="12">
        <f>IF('Données projet'!$A$140&gt;35,CT18+CS19-DB18,IF(A19&lt;'Données projet'!$A$140,$CQ$205^A19,IF(A19='Données projet'!$A$140,'Données projet'!$B$140,CT18+CS19-DB18)))</f>
        <v>105</v>
      </c>
      <c r="CU19" s="17">
        <f>CT19*VLOOKUP('Données projet'!$B$13,Paramètres!$A$1:$I$89,3,0)*VLOOKUP('Données projet'!$B$13,Paramètres!$A$1:$I$89,5,0)</f>
        <v>95.004000000000005</v>
      </c>
      <c r="CV19" s="13">
        <f t="shared" si="41"/>
        <v>25.768242550600785</v>
      </c>
      <c r="CW19" s="20">
        <f t="shared" si="13"/>
        <v>210.34498910896306</v>
      </c>
      <c r="CX19" s="59">
        <f t="shared" si="14"/>
        <v>486.56721133118526</v>
      </c>
      <c r="CY19" s="59">
        <f ca="1">AVERAGE(OFFSET($CX$3,0,0,'Données projet'!$E$13+1,1))-AVERAGE(OFFSET($H$3,0,0,'Données projet'!$E$13+1,1))</f>
        <v>302.6937347295995</v>
      </c>
      <c r="CZ19" s="59">
        <f t="shared" si="42"/>
        <v>423.44006663873375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10.514685356671317</v>
      </c>
      <c r="DQ19" s="13">
        <f t="shared" si="43"/>
        <v>3.6847774176826884</v>
      </c>
      <c r="DR19" s="20">
        <f t="shared" si="16"/>
        <v>24.730730998666559</v>
      </c>
      <c r="DS19" s="59">
        <f t="shared" si="17"/>
        <v>300.95295322088879</v>
      </c>
      <c r="DT19" s="59">
        <f ca="1">AVERAGE(OFFSET($DS$3,0,0,'Données projet'!$E$14+1,1))-AVERAGE(OFFSET($H$3,0,0,'Données projet'!$E$14+1,1))</f>
        <v>366.51581861366333</v>
      </c>
      <c r="DU19" s="59">
        <f t="shared" si="44"/>
        <v>225.01415116995503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358.73081859985899</v>
      </c>
      <c r="EO19" s="59">
        <f ca="1">AVERAGE(OFFSET($EN$3,0,0,'Données projet'!$E$15+1,1))-AVERAGE(OFFSET($H$3,0,0,'Données projet'!$E$15+1,1))</f>
        <v>288.80569134263209</v>
      </c>
      <c r="EP19" s="59">
        <f t="shared" si="46"/>
        <v>283.48738729114024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18.463076923076926</v>
      </c>
      <c r="FE19" s="12">
        <f>IF('Données projet'!$A$218&gt;35,FE18+FD19-FM18,IF(A19&lt;'Données projet'!$A$218,$FB$205^A19,IF(A19='Données projet'!$A$218,'Données projet'!$B$218,FE18+FD19-FM18)))</f>
        <v>109.85538461538459</v>
      </c>
      <c r="FF19" s="17">
        <f>FE19*VLOOKUP('Données projet'!$B$16,Paramètres!$A$1:$I$89,3,0)*VLOOKUP('Données projet'!$B$16,Paramètres!$A$1:$I$89,5,0)</f>
        <v>65.693519999999992</v>
      </c>
      <c r="FG19" s="13">
        <f t="shared" si="47"/>
        <v>18.600086973007183</v>
      </c>
      <c r="FH19" s="20">
        <f t="shared" si="22"/>
        <v>146.81136547798749</v>
      </c>
      <c r="FI19" s="59">
        <f t="shared" si="23"/>
        <v>423.03358770020975</v>
      </c>
      <c r="FJ19" s="59">
        <f ca="1">AVERAGE(OFFSET($FI$3,0,0,'Données projet'!$E$16+1,1))-AVERAGE(OFFSET($H$3,0,0,'Données projet'!$E$16+1,1))</f>
        <v>323.17232038705157</v>
      </c>
      <c r="FK19" s="59">
        <f t="shared" si="48"/>
        <v>402.34685738619197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9.6420788687442442</v>
      </c>
      <c r="FS19" s="21">
        <f>EXP(-LN(2)/2)*FS18+(1-EXP(-LN(2)/2))/(LN(2)/2)*FM19*FP19*VLOOKUP('Données projet'!$B$16,Paramètres!$A$1:$I$89,3,0)*0.475*44/12</f>
        <v>10.487441665178963</v>
      </c>
      <c r="FT19" s="22">
        <f t="shared" si="24"/>
        <v>20.129520533923206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9.6</v>
      </c>
      <c r="FZ19" s="12">
        <f>IF('Données projet'!$A$244&gt;35,FZ18+FY19-GH18,IF(A19&lt;'Données projet'!$A$244,$FW$205^A19,IF(A19='Données projet'!$A$244,'Données projet'!$B$244,FZ18+FY19-GH18)))</f>
        <v>46.6</v>
      </c>
      <c r="GA19" s="17">
        <f>FZ19*VLOOKUP('Données projet'!$B$17,Paramètres!$A$1:$I$89,3,0)*VLOOKUP('Données projet'!$B$17,Paramètres!$A$1:$I$89,5,0)</f>
        <v>37.801920000000003</v>
      </c>
      <c r="GB19" s="13">
        <f t="shared" si="49"/>
        <v>11.414143030819638</v>
      </c>
      <c r="GC19" s="20">
        <f t="shared" si="25"/>
        <v>85.717976445344206</v>
      </c>
      <c r="GD19" s="59">
        <f t="shared" si="26"/>
        <v>361.94019866756645</v>
      </c>
      <c r="GE19" s="59">
        <f ca="1">AVERAGE(OFFSET($GD$3,0,0,'Données projet'!$E$17+1,1))-AVERAGE(OFFSET($H$3,0,0,'Données projet'!$E$17+1,1))</f>
        <v>298.96480270023716</v>
      </c>
      <c r="GF19" s="59">
        <f t="shared" si="50"/>
        <v>293.11447542333889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7.6594017094017097</v>
      </c>
      <c r="GU19" s="12">
        <f>IF('Données projet'!$A$270&gt;35,GU18+GT19-HC18,IF(A19&lt;'Données projet'!$A$270,$GR$205^A19,IF(A19='Données projet'!$A$270,'Données projet'!$B$270,GU18+GT19-HC18)))</f>
        <v>79.753317555788669</v>
      </c>
      <c r="GV19" s="17">
        <f>GU19*VLOOKUP('Données projet'!$B$18,Paramètres!$A$1:$I$89,3,0)*VLOOKUP('Données projet'!$B$18,Paramètres!$A$1:$I$89,5,0)</f>
        <v>45.618897641911119</v>
      </c>
      <c r="GW19" s="13">
        <f t="shared" si="51"/>
        <v>13.476353617184607</v>
      </c>
      <c r="GX19" s="20">
        <f t="shared" si="28"/>
        <v>102.92422927625837</v>
      </c>
      <c r="GY19" s="59">
        <f t="shared" si="29"/>
        <v>379.14645149848059</v>
      </c>
      <c r="GZ19" s="59">
        <f ca="1">AVERAGE(OFFSET($GY$3,0,0,'Données projet'!$E$18+1,1))-AVERAGE(OFFSET($H$3,0,0,'Données projet'!$E$18+1,1))</f>
        <v>320.76883487964511</v>
      </c>
      <c r="HA19" s="59">
        <f t="shared" si="52"/>
        <v>290.51177680335746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15.419690615912625</v>
      </c>
      <c r="AK20" s="13">
        <f t="shared" si="35"/>
        <v>5.1681572348420586</v>
      </c>
      <c r="AL20" s="20">
        <f t="shared" si="4"/>
        <v>35.857168340064412</v>
      </c>
      <c r="AM20" s="59">
        <f t="shared" si="5"/>
        <v>313.30161278450885</v>
      </c>
      <c r="AN20" s="59">
        <f ca="1">AVERAGE(OFFSET($AM$3,0,0,'Données projet'!$E$10+1,1))-AVERAGE(OFFSET($H$3,0,0,'Données projet'!$E$10+1,1))</f>
        <v>425.47148407510412</v>
      </c>
      <c r="AO20" s="59">
        <f t="shared" si="36"/>
        <v>308.54448799922471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62.999999999999993</v>
      </c>
      <c r="BE20" s="13">
        <f>BD20*VLOOKUP('Données projet'!$B$11,Paramètres!$A$1:$I$89,3,0)*VLOOKUP('Données projet'!$B$11,Paramètres!$A$1:$I$89,5,0)</f>
        <v>55.036800000000007</v>
      </c>
      <c r="BF20" s="13">
        <f t="shared" si="37"/>
        <v>15.907180538864345</v>
      </c>
      <c r="BG20" s="20">
        <f t="shared" si="7"/>
        <v>123.56076610518875</v>
      </c>
      <c r="BH20" s="59">
        <f t="shared" si="8"/>
        <v>401.0052105496332</v>
      </c>
      <c r="BI20" s="59">
        <f ca="1">AVERAGE(OFFSET($BH$3,0,0,'Données projet'!$E$11+1,1))-AVERAGE(OFFSET($H$3,0,0,'Données projet'!$E$11+1,1))</f>
        <v>300.63505444445104</v>
      </c>
      <c r="BJ20" s="59">
        <f t="shared" si="38"/>
        <v>266.32508105927997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12.008863998147609</v>
      </c>
      <c r="CA20" s="13">
        <f t="shared" si="39"/>
        <v>4.1438112682456767</v>
      </c>
      <c r="CB20" s="20">
        <f t="shared" si="10"/>
        <v>28.132576088968303</v>
      </c>
      <c r="CC20" s="59">
        <f t="shared" si="11"/>
        <v>305.57702053341274</v>
      </c>
      <c r="CD20" s="59">
        <f ca="1">AVERAGE(OFFSET($CC$3,0,0,'Données projet'!$E$12+1,1))-AVERAGE(OFFSET($H$3,0,0,'Données projet'!$E$12+1,1))</f>
        <v>361.26385625423757</v>
      </c>
      <c r="CE20" s="59">
        <f t="shared" si="40"/>
        <v>222.05197404028576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10</v>
      </c>
      <c r="CT20" s="12">
        <f>IF('Données projet'!$A$140&gt;35,CT19+CS20-DB19,IF(A20&lt;'Données projet'!$A$140,$CQ$205^A20,IF(A20='Données projet'!$A$140,'Données projet'!$B$140,CT19+CS20-DB19)))</f>
        <v>115</v>
      </c>
      <c r="CU20" s="17">
        <f>CT20*VLOOKUP('Données projet'!$B$13,Paramètres!$A$1:$I$89,3,0)*VLOOKUP('Données projet'!$B$13,Paramètres!$A$1:$I$89,5,0)</f>
        <v>104.05199999999999</v>
      </c>
      <c r="CV20" s="13">
        <f t="shared" si="41"/>
        <v>27.925087771564417</v>
      </c>
      <c r="CW20" s="20">
        <f t="shared" si="13"/>
        <v>229.86009453547467</v>
      </c>
      <c r="CX20" s="59">
        <f t="shared" si="14"/>
        <v>507.30453897991913</v>
      </c>
      <c r="CY20" s="59">
        <f ca="1">AVERAGE(OFFSET($CX$3,0,0,'Données projet'!$E$13+1,1))-AVERAGE(OFFSET($H$3,0,0,'Données projet'!$E$13+1,1))</f>
        <v>302.6937347295995</v>
      </c>
      <c r="CZ20" s="59">
        <f t="shared" si="42"/>
        <v>423.44006663873375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12.205730621068064</v>
      </c>
      <c r="DQ20" s="13">
        <f t="shared" si="43"/>
        <v>4.2037784708887092</v>
      </c>
      <c r="DR20" s="20">
        <f t="shared" si="16"/>
        <v>28.57989500182471</v>
      </c>
      <c r="DS20" s="59">
        <f t="shared" si="17"/>
        <v>306.02433944626915</v>
      </c>
      <c r="DT20" s="59">
        <f ca="1">AVERAGE(OFFSET($DS$3,0,0,'Données projet'!$E$14+1,1))-AVERAGE(OFFSET($H$3,0,0,'Données projet'!$E$14+1,1))</f>
        <v>366.51581861366333</v>
      </c>
      <c r="DU20" s="59">
        <f t="shared" si="44"/>
        <v>225.01415116995503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376.45104869912649</v>
      </c>
      <c r="EO20" s="59">
        <f ca="1">AVERAGE(OFFSET($EN$3,0,0,'Données projet'!$E$15+1,1))-AVERAGE(OFFSET($H$3,0,0,'Données projet'!$E$15+1,1))</f>
        <v>288.80569134263209</v>
      </c>
      <c r="EP20" s="59">
        <f t="shared" si="46"/>
        <v>283.48738729114024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18.463076923076926</v>
      </c>
      <c r="FE20" s="12">
        <f>IF('Données projet'!$A$218&gt;35,FE19+FD20-FM19,IF(A20&lt;'Données projet'!$A$218,$FB$205^A20,IF(A20='Données projet'!$A$218,'Données projet'!$B$218,FE19+FD20-FM19)))</f>
        <v>128.31846153846152</v>
      </c>
      <c r="FF20" s="17">
        <f>FE20*VLOOKUP('Données projet'!$B$16,Paramètres!$A$1:$I$89,3,0)*VLOOKUP('Données projet'!$B$16,Paramètres!$A$1:$I$89,5,0)</f>
        <v>76.734439999999992</v>
      </c>
      <c r="FG20" s="13">
        <f t="shared" si="47"/>
        <v>21.336811414414317</v>
      </c>
      <c r="FH20" s="20">
        <f t="shared" si="22"/>
        <v>170.80742954677157</v>
      </c>
      <c r="FI20" s="59">
        <f t="shared" si="23"/>
        <v>448.25187399121603</v>
      </c>
      <c r="FJ20" s="59">
        <f ca="1">AVERAGE(OFFSET($FI$3,0,0,'Données projet'!$E$16+1,1))-AVERAGE(OFFSET($H$3,0,0,'Données projet'!$E$16+1,1))</f>
        <v>323.17232038705157</v>
      </c>
      <c r="FK20" s="59">
        <f t="shared" si="48"/>
        <v>402.34685738619197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9.378415715023543</v>
      </c>
      <c r="FS20" s="21">
        <f>EXP(-LN(2)/2)*FS19+(1-EXP(-LN(2)/2))/(LN(2)/2)*FM20*FP20*VLOOKUP('Données projet'!$B$16,Paramètres!$A$1:$I$89,3,0)*0.475*44/12</f>
        <v>7.4157411187463831</v>
      </c>
      <c r="FT20" s="22">
        <f t="shared" si="24"/>
        <v>16.794156833769925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9.6</v>
      </c>
      <c r="FZ20" s="12">
        <f>IF('Données projet'!$A$244&gt;35,FZ19+FY20-GH19,IF(A20&lt;'Données projet'!$A$244,$FW$205^A20,IF(A20='Données projet'!$A$244,'Données projet'!$B$244,FZ19+FY20-GH19)))</f>
        <v>56.2</v>
      </c>
      <c r="GA20" s="17">
        <f>FZ20*VLOOKUP('Données projet'!$B$17,Paramètres!$A$1:$I$89,3,0)*VLOOKUP('Données projet'!$B$17,Paramètres!$A$1:$I$89,5,0)</f>
        <v>45.58944000000001</v>
      </c>
      <c r="GB20" s="13">
        <f t="shared" si="49"/>
        <v>13.468664125659778</v>
      </c>
      <c r="GC20" s="20">
        <f t="shared" si="25"/>
        <v>102.8595313521908</v>
      </c>
      <c r="GD20" s="59">
        <f t="shared" si="26"/>
        <v>380.30397579663526</v>
      </c>
      <c r="GE20" s="59">
        <f ca="1">AVERAGE(OFFSET($GD$3,0,0,'Données projet'!$E$17+1,1))-AVERAGE(OFFSET($H$3,0,0,'Données projet'!$E$17+1,1))</f>
        <v>298.96480270023716</v>
      </c>
      <c r="GF20" s="59">
        <f t="shared" si="50"/>
        <v>293.11447542333889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7.6594017094017097</v>
      </c>
      <c r="GU20" s="12">
        <f>IF('Données projet'!$A$270&gt;35,GU19+GT20-HC19,IF(A20&lt;'Données projet'!$A$270,$GR$205^A20,IF(A20='Données projet'!$A$270,'Données projet'!$B$270,GU19+GT20-HC19)))</f>
        <v>104.85956581404854</v>
      </c>
      <c r="GV20" s="17">
        <f>GU20*VLOOKUP('Données projet'!$B$18,Paramètres!$A$1:$I$89,3,0)*VLOOKUP('Données projet'!$B$18,Paramètres!$A$1:$I$89,5,0)</f>
        <v>59.979671645635769</v>
      </c>
      <c r="GW20" s="13">
        <f t="shared" si="51"/>
        <v>17.163129265353199</v>
      </c>
      <c r="GX20" s="20">
        <f t="shared" si="28"/>
        <v>134.35704491997242</v>
      </c>
      <c r="GY20" s="59">
        <f t="shared" si="29"/>
        <v>411.80148936441685</v>
      </c>
      <c r="GZ20" s="59">
        <f ca="1">AVERAGE(OFFSET($GY$3,0,0,'Données projet'!$E$18+1,1))-AVERAGE(OFFSET($H$3,0,0,'Données projet'!$E$18+1,1))</f>
        <v>320.76883487964511</v>
      </c>
      <c r="HA20" s="59">
        <f t="shared" si="52"/>
        <v>290.51177680335746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18.097029307981138</v>
      </c>
      <c r="AK21" s="13">
        <f t="shared" si="35"/>
        <v>5.9535206738890976</v>
      </c>
      <c r="AL21" s="20">
        <f t="shared" si="4"/>
        <v>41.888041218423993</v>
      </c>
      <c r="AM21" s="59">
        <f t="shared" si="5"/>
        <v>320.55470788509069</v>
      </c>
      <c r="AN21" s="59">
        <f ca="1">AVERAGE(OFFSET($AM$3,0,0,'Données projet'!$E$10+1,1))-AVERAGE(OFFSET($H$3,0,0,'Données projet'!$E$10+1,1))</f>
        <v>425.47148407510412</v>
      </c>
      <c r="AO21" s="59">
        <f t="shared" si="36"/>
        <v>308.54448799922471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71</v>
      </c>
      <c r="BE21" s="13">
        <f>BD21*VLOOKUP('Données projet'!$B$11,Paramètres!$A$1:$I$89,3,0)*VLOOKUP('Données projet'!$B$11,Paramètres!$A$1:$I$89,5,0)</f>
        <v>62.025600000000011</v>
      </c>
      <c r="BF21" s="13">
        <f t="shared" si="37"/>
        <v>17.679410406677221</v>
      </c>
      <c r="BG21" s="20">
        <f t="shared" si="7"/>
        <v>138.8195597916295</v>
      </c>
      <c r="BH21" s="59">
        <f t="shared" si="8"/>
        <v>417.48622645829619</v>
      </c>
      <c r="BI21" s="59">
        <f ca="1">AVERAGE(OFFSET($BH$3,0,0,'Données projet'!$E$11+1,1))-AVERAGE(OFFSET($H$3,0,0,'Données projet'!$E$11+1,1))</f>
        <v>300.63505444445104</v>
      </c>
      <c r="BJ21" s="59">
        <f t="shared" si="38"/>
        <v>266.32508105927997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13.94021352559376</v>
      </c>
      <c r="CA21" s="13">
        <f t="shared" si="39"/>
        <v>4.7274672584788675</v>
      </c>
      <c r="CB21" s="20">
        <f t="shared" si="10"/>
        <v>32.512877365593162</v>
      </c>
      <c r="CC21" s="59">
        <f t="shared" si="11"/>
        <v>311.17954403225986</v>
      </c>
      <c r="CD21" s="59">
        <f ca="1">AVERAGE(OFFSET($CC$3,0,0,'Données projet'!$E$12+1,1))-AVERAGE(OFFSET($H$3,0,0,'Données projet'!$E$12+1,1))</f>
        <v>361.26385625423757</v>
      </c>
      <c r="CE21" s="59">
        <f t="shared" si="40"/>
        <v>222.05197404028576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10</v>
      </c>
      <c r="CT21" s="12">
        <f>IF('Données projet'!$A$140&gt;35,CT20+CS21-DB20,IF(A21&lt;'Données projet'!$A$140,$CQ$205^A21,IF(A21='Données projet'!$A$140,'Données projet'!$B$140,CT20+CS21-DB20)))</f>
        <v>125</v>
      </c>
      <c r="CU21" s="17">
        <f>CT21*VLOOKUP('Données projet'!$B$13,Paramètres!$A$1:$I$89,3,0)*VLOOKUP('Données projet'!$B$13,Paramètres!$A$1:$I$89,5,0)</f>
        <v>113.10000000000001</v>
      </c>
      <c r="CV21" s="13">
        <f t="shared" si="41"/>
        <v>30.060183168217279</v>
      </c>
      <c r="CW21" s="20">
        <f t="shared" si="13"/>
        <v>249.33731901797844</v>
      </c>
      <c r="CX21" s="59">
        <f t="shared" si="14"/>
        <v>528.00398568464516</v>
      </c>
      <c r="CY21" s="59">
        <f ca="1">AVERAGE(OFFSET($CX$3,0,0,'Données projet'!$E$13+1,1))-AVERAGE(OFFSET($H$3,0,0,'Données projet'!$E$13+1,1))</f>
        <v>302.6937347295995</v>
      </c>
      <c r="CZ21" s="59">
        <f t="shared" si="42"/>
        <v>423.44006663873375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14.168741616177266</v>
      </c>
      <c r="DQ21" s="13">
        <f t="shared" si="43"/>
        <v>4.7958808441191989</v>
      </c>
      <c r="DR21" s="20">
        <f t="shared" si="16"/>
        <v>33.030050785016336</v>
      </c>
      <c r="DS21" s="59">
        <f t="shared" si="17"/>
        <v>311.69671745168301</v>
      </c>
      <c r="DT21" s="59">
        <f ca="1">AVERAGE(OFFSET($DS$3,0,0,'Données projet'!$E$14+1,1))-AVERAGE(OFFSET($H$3,0,0,'Données projet'!$E$14+1,1))</f>
        <v>366.51581861366333</v>
      </c>
      <c r="DU21" s="59">
        <f t="shared" si="44"/>
        <v>225.01415116995503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394.10288182746257</v>
      </c>
      <c r="EO21" s="59">
        <f ca="1">AVERAGE(OFFSET($EN$3,0,0,'Données projet'!$E$15+1,1))-AVERAGE(OFFSET($H$3,0,0,'Données projet'!$E$15+1,1))</f>
        <v>288.80569134263209</v>
      </c>
      <c r="EP21" s="59">
        <f t="shared" si="46"/>
        <v>283.48738729114024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18.463076923076926</v>
      </c>
      <c r="FE21" s="12">
        <f>IF('Données projet'!$A$218&gt;35,FE20+FD21-FM20,IF(A21&lt;'Données projet'!$A$218,$FB$205^A21,IF(A21='Données projet'!$A$218,'Données projet'!$B$218,FE20+FD21-FM20)))</f>
        <v>146.78153846153845</v>
      </c>
      <c r="FF21" s="17">
        <f>FE21*VLOOKUP('Données projet'!$B$16,Paramètres!$A$1:$I$89,3,0)*VLOOKUP('Données projet'!$B$16,Paramètres!$A$1:$I$89,5,0)</f>
        <v>87.775359999999992</v>
      </c>
      <c r="FG21" s="13">
        <f t="shared" si="47"/>
        <v>24.02791634919064</v>
      </c>
      <c r="FH21" s="20">
        <f t="shared" si="22"/>
        <v>194.72403964150703</v>
      </c>
      <c r="FI21" s="59">
        <f t="shared" si="23"/>
        <v>473.39070630817372</v>
      </c>
      <c r="FJ21" s="59">
        <f ca="1">AVERAGE(OFFSET($FI$3,0,0,'Données projet'!$E$16+1,1))-AVERAGE(OFFSET($H$3,0,0,'Données projet'!$E$16+1,1))</f>
        <v>323.17232038705157</v>
      </c>
      <c r="FK21" s="59">
        <f t="shared" si="48"/>
        <v>402.34685738619197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9.1219624441067761</v>
      </c>
      <c r="FS21" s="21">
        <f>EXP(-LN(2)/2)*FS20+(1-EXP(-LN(2)/2))/(LN(2)/2)*FM21*FP21*VLOOKUP('Données projet'!$B$16,Paramètres!$A$1:$I$89,3,0)*0.475*44/12</f>
        <v>5.2437208325894824</v>
      </c>
      <c r="FT21" s="22">
        <f t="shared" si="24"/>
        <v>14.365683276696259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9.6</v>
      </c>
      <c r="FZ21" s="12">
        <f>IF('Données projet'!$A$244&gt;35,FZ20+FY21-GH20,IF(A21&lt;'Données projet'!$A$244,$FW$205^A21,IF(A21='Données projet'!$A$244,'Données projet'!$B$244,FZ20+FY21-GH20)))</f>
        <v>65.8</v>
      </c>
      <c r="GA21" s="17">
        <f>FZ21*VLOOKUP('Données projet'!$B$17,Paramètres!$A$1:$I$89,3,0)*VLOOKUP('Données projet'!$B$17,Paramètres!$A$1:$I$89,5,0)</f>
        <v>53.376960000000004</v>
      </c>
      <c r="GB21" s="13">
        <f t="shared" si="49"/>
        <v>15.48252942274674</v>
      </c>
      <c r="GC21" s="20">
        <f t="shared" si="25"/>
        <v>119.9302774112839</v>
      </c>
      <c r="GD21" s="59">
        <f t="shared" si="26"/>
        <v>398.59694407795058</v>
      </c>
      <c r="GE21" s="59">
        <f ca="1">AVERAGE(OFFSET($GD$3,0,0,'Données projet'!$E$17+1,1))-AVERAGE(OFFSET($H$3,0,0,'Données projet'!$E$17+1,1))</f>
        <v>298.96480270023716</v>
      </c>
      <c r="GF21" s="59">
        <f t="shared" si="50"/>
        <v>293.11447542333889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>
        <f>VLOOKUP(A21,'Données projet'!$A$269:$I$289,2,0)</f>
        <v>137.86923076923077</v>
      </c>
      <c r="GS21" s="12">
        <f>VLOOKUP(A21,'Données projet'!$A$269:$I$289,9,0)</f>
        <v>7.6594017094017097</v>
      </c>
      <c r="GT21" s="12">
        <f t="array" ref="GT21">INDEX(GS:GS,MIN(IF(ISNUMBER(GS21:GS217),ROW(GS21:GS217),"")))</f>
        <v>7.6594017094017097</v>
      </c>
      <c r="GU21" s="12">
        <f>IF('Données projet'!$A$270&gt;35,GU20+GT21-HC20,IF(A21&lt;'Données projet'!$A$270,$GR$205^A21,IF(A21='Données projet'!$A$270,'Données projet'!$B$270,GU20+GT21-HC20)))</f>
        <v>137.86923076923077</v>
      </c>
      <c r="GV21" s="17">
        <f>GU21*VLOOKUP('Données projet'!$B$18,Paramètres!$A$1:$I$89,3,0)*VLOOKUP('Données projet'!$B$18,Paramètres!$A$1:$I$89,5,0)</f>
        <v>78.861199999999997</v>
      </c>
      <c r="GW21" s="13">
        <f t="shared" si="51"/>
        <v>21.858509693868037</v>
      </c>
      <c r="GX21" s="20">
        <f t="shared" si="28"/>
        <v>175.42016105015344</v>
      </c>
      <c r="GY21" s="59">
        <f t="shared" si="29"/>
        <v>454.08682771682015</v>
      </c>
      <c r="GZ21" s="59">
        <f ca="1">AVERAGE(OFFSET($GY$3,0,0,'Données projet'!$E$18+1,1))-AVERAGE(OFFSET($H$3,0,0,'Données projet'!$E$18+1,1))</f>
        <v>320.76883487964511</v>
      </c>
      <c r="HA21" s="59">
        <f t="shared" si="52"/>
        <v>290.51177680335746</v>
      </c>
      <c r="HB21" s="15">
        <f>IF(ISNA(VLOOKUP(A21,'Données projet'!$A$269:$I$289,3,0)),0,VLOOKUP(A21,'Données projet'!$A$269:$I$289,3,0))</f>
        <v>1</v>
      </c>
      <c r="HC21" s="15">
        <f>IF(ISNA(VLOOKUP(A21,'Données projet'!$A$269:$I$289,4,0)),0,VLOOKUP(A21,'Données projet'!$A$269:$I$289,4,0))</f>
        <v>52.746153846153838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0.25200000000000006</v>
      </c>
      <c r="HF21" s="16">
        <f>IF(ISNA(VLOOKUP(A21,'Données projet'!$A$269:$I$289,7,0)),0%,VLOOKUP(A21,'Données projet'!$A$269:$I$289,7,0))</f>
        <v>0.44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10.046212611049011</v>
      </c>
      <c r="HI21" s="21">
        <f>EXP(-LN(2)/2)*HI20+(1-EXP(-LN(2)/2))/(LN(2)/2)*HC21*HF21*VLOOKUP('Données projet'!$B$18,Paramètres!$A$1:$I$89,3,0)*0.475*44/12</f>
        <v>15.030555848973053</v>
      </c>
      <c r="HJ21" s="22">
        <f t="shared" si="30"/>
        <v>25.076768460022066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21.239237409598623</v>
      </c>
      <c r="AK22" s="13">
        <f t="shared" si="35"/>
        <v>6.8582295011208343</v>
      </c>
      <c r="AL22" s="20">
        <f t="shared" si="4"/>
        <v>48.936421536169718</v>
      </c>
      <c r="AM22" s="59">
        <f t="shared" si="5"/>
        <v>328.82531042505855</v>
      </c>
      <c r="AN22" s="59">
        <f ca="1">AVERAGE(OFFSET($AM$3,0,0,'Données projet'!$E$10+1,1))-AVERAGE(OFFSET($H$3,0,0,'Données projet'!$E$10+1,1))</f>
        <v>425.47148407510412</v>
      </c>
      <c r="AO22" s="59">
        <f t="shared" si="36"/>
        <v>308.54448799922471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</v>
      </c>
      <c r="BD22" s="12">
        <f>IF('Données projet'!$A$88&gt;35,BD21+BC22-BL21,IF(A22&lt;'Données projet'!$A$88,$BA$205^A22,IF(A22='Données projet'!$A$88,'Données projet'!$B$88,BD21+BC22-BL21)))</f>
        <v>79</v>
      </c>
      <c r="BE22" s="13">
        <f>BD22*VLOOKUP('Données projet'!$B$11,Paramètres!$A$1:$I$89,3,0)*VLOOKUP('Données projet'!$B$11,Paramètres!$A$1:$I$89,5,0)</f>
        <v>69.014400000000009</v>
      </c>
      <c r="BF22" s="13">
        <f t="shared" si="37"/>
        <v>19.428496726251055</v>
      </c>
      <c r="BG22" s="20">
        <f t="shared" si="7"/>
        <v>154.03804513155393</v>
      </c>
      <c r="BH22" s="59">
        <f t="shared" si="8"/>
        <v>433.92693402044279</v>
      </c>
      <c r="BI22" s="59">
        <f ca="1">AVERAGE(OFFSET($BH$3,0,0,'Données projet'!$E$11+1,1))-AVERAGE(OFFSET($H$3,0,0,'Données projet'!$E$11+1,1))</f>
        <v>300.63505444445104</v>
      </c>
      <c r="BJ22" s="59">
        <f t="shared" si="38"/>
        <v>266.32508105927997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16.182176196609682</v>
      </c>
      <c r="CA22" s="13">
        <f t="shared" si="39"/>
        <v>5.3933312193176546</v>
      </c>
      <c r="CB22" s="20">
        <f t="shared" si="10"/>
        <v>37.57734208274011</v>
      </c>
      <c r="CC22" s="59">
        <f t="shared" si="11"/>
        <v>317.46623097162899</v>
      </c>
      <c r="CD22" s="59">
        <f ca="1">AVERAGE(OFFSET($CC$3,0,0,'Données projet'!$E$12+1,1))-AVERAGE(OFFSET($H$3,0,0,'Données projet'!$E$12+1,1))</f>
        <v>361.26385625423757</v>
      </c>
      <c r="CE22" s="59">
        <f t="shared" si="40"/>
        <v>222.05197404028576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10</v>
      </c>
      <c r="CT22" s="12">
        <f>IF('Données projet'!$A$140&gt;35,CT21+CS22-DB21,IF(A22&lt;'Données projet'!$A$140,$CQ$205^A22,IF(A22='Données projet'!$A$140,'Données projet'!$B$140,CT21+CS22-DB21)))</f>
        <v>135</v>
      </c>
      <c r="CU22" s="17">
        <f>CT22*VLOOKUP('Données projet'!$B$13,Paramètres!$A$1:$I$89,3,0)*VLOOKUP('Données projet'!$B$13,Paramètres!$A$1:$I$89,5,0)</f>
        <v>122.148</v>
      </c>
      <c r="CV22" s="13">
        <f t="shared" si="41"/>
        <v>32.175466547071615</v>
      </c>
      <c r="CW22" s="20">
        <f t="shared" si="13"/>
        <v>268.78003756948306</v>
      </c>
      <c r="CX22" s="59">
        <f t="shared" si="14"/>
        <v>548.66892645837197</v>
      </c>
      <c r="CY22" s="59">
        <f ca="1">AVERAGE(OFFSET($CX$3,0,0,'Données projet'!$E$13+1,1))-AVERAGE(OFFSET($H$3,0,0,'Données projet'!$E$13+1,1))</f>
        <v>302.6937347295995</v>
      </c>
      <c r="CZ22" s="59">
        <f t="shared" si="42"/>
        <v>423.44006663873375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16.447457773603283</v>
      </c>
      <c r="DQ22" s="13">
        <f t="shared" si="43"/>
        <v>5.4713808613532873</v>
      </c>
      <c r="DR22" s="20">
        <f t="shared" si="16"/>
        <v>38.175310622549354</v>
      </c>
      <c r="DS22" s="59">
        <f t="shared" si="17"/>
        <v>318.06419951143823</v>
      </c>
      <c r="DT22" s="59">
        <f ca="1">AVERAGE(OFFSET($DS$3,0,0,'Données projet'!$E$14+1,1))-AVERAGE(OFFSET($H$3,0,0,'Données projet'!$E$14+1,1))</f>
        <v>366.51581861366333</v>
      </c>
      <c r="DU22" s="59">
        <f t="shared" si="44"/>
        <v>225.01415116995503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411.69745002735499</v>
      </c>
      <c r="EO22" s="59">
        <f ca="1">AVERAGE(OFFSET($EN$3,0,0,'Données projet'!$E$15+1,1))-AVERAGE(OFFSET($H$3,0,0,'Données projet'!$E$15+1,1))</f>
        <v>288.80569134263209</v>
      </c>
      <c r="EP22" s="59">
        <f t="shared" si="46"/>
        <v>283.48738729114024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18.463076923076926</v>
      </c>
      <c r="FE22" s="12">
        <f>IF('Données projet'!$A$218&gt;35,FE21+FD22-FM21,IF(A22&lt;'Données projet'!$A$218,$FB$205^A22,IF(A22='Données projet'!$A$218,'Données projet'!$B$218,FE21+FD22-FM21)))</f>
        <v>165.24461538461537</v>
      </c>
      <c r="FF22" s="17">
        <f>FE22*VLOOKUP('Données projet'!$B$16,Paramètres!$A$1:$I$89,3,0)*VLOOKUP('Données projet'!$B$16,Paramètres!$A$1:$I$89,5,0)</f>
        <v>98.816280000000006</v>
      </c>
      <c r="FG22" s="13">
        <f t="shared" si="47"/>
        <v>26.679797439959771</v>
      </c>
      <c r="FH22" s="20">
        <f t="shared" si="22"/>
        <v>218.57233487459663</v>
      </c>
      <c r="FI22" s="59">
        <f t="shared" si="23"/>
        <v>498.46122376348546</v>
      </c>
      <c r="FJ22" s="59">
        <f ca="1">AVERAGE(OFFSET($FI$3,0,0,'Données projet'!$E$16+1,1))-AVERAGE(OFFSET($H$3,0,0,'Données projet'!$E$16+1,1))</f>
        <v>323.17232038705157</v>
      </c>
      <c r="FK22" s="59">
        <f t="shared" si="48"/>
        <v>402.34685738619197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8.8725219013695202</v>
      </c>
      <c r="FS22" s="21">
        <f>EXP(-LN(2)/2)*FS21+(1-EXP(-LN(2)/2))/(LN(2)/2)*FM22*FP22*VLOOKUP('Données projet'!$B$16,Paramètres!$A$1:$I$89,3,0)*0.475*44/12</f>
        <v>3.707870559373192</v>
      </c>
      <c r="FT22" s="22">
        <f t="shared" si="24"/>
        <v>12.580392460742711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9.6</v>
      </c>
      <c r="FZ22" s="12">
        <f>IF('Données projet'!$A$244&gt;35,FZ21+FY22-GH21,IF(A22&lt;'Données projet'!$A$244,$FW$205^A22,IF(A22='Données projet'!$A$244,'Données projet'!$B$244,FZ21+FY22-GH21)))</f>
        <v>75.399999999999991</v>
      </c>
      <c r="GA22" s="17">
        <f>FZ22*VLOOKUP('Données projet'!$B$17,Paramètres!$A$1:$I$89,3,0)*VLOOKUP('Données projet'!$B$17,Paramètres!$A$1:$I$89,5,0)</f>
        <v>61.164479999999998</v>
      </c>
      <c r="GB22" s="13">
        <f t="shared" si="49"/>
        <v>17.462355912011439</v>
      </c>
      <c r="GC22" s="20">
        <f t="shared" si="25"/>
        <v>136.94173921341994</v>
      </c>
      <c r="GD22" s="59">
        <f t="shared" si="26"/>
        <v>416.83062810230876</v>
      </c>
      <c r="GE22" s="59">
        <f ca="1">AVERAGE(OFFSET($GD$3,0,0,'Données projet'!$E$17+1,1))-AVERAGE(OFFSET($H$3,0,0,'Données projet'!$E$17+1,1))</f>
        <v>298.96480270023716</v>
      </c>
      <c r="GF22" s="59">
        <f t="shared" si="50"/>
        <v>293.11447542333889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12.908974358974362</v>
      </c>
      <c r="GU22" s="12">
        <f>IF('Données projet'!$A$270&gt;35,GU21+GT22-HC21,IF(A22&lt;'Données projet'!$A$270,$GR$205^A22,IF(A22='Données projet'!$A$270,'Données projet'!$B$270,GU21+GT22-HC21)))</f>
        <v>98.03205128205127</v>
      </c>
      <c r="GV22" s="17">
        <f>GU22*VLOOKUP('Données projet'!$B$18,Paramètres!$A$1:$I$89,3,0)*VLOOKUP('Données projet'!$B$18,Paramètres!$A$1:$I$89,5,0)</f>
        <v>56.074333333333335</v>
      </c>
      <c r="GW22" s="13">
        <f t="shared" si="51"/>
        <v>16.171862509920548</v>
      </c>
      <c r="GX22" s="20">
        <f t="shared" si="28"/>
        <v>125.82879109366719</v>
      </c>
      <c r="GY22" s="59">
        <f t="shared" si="29"/>
        <v>405.71767998255604</v>
      </c>
      <c r="GZ22" s="59">
        <f ca="1">AVERAGE(OFFSET($GY$3,0,0,'Données projet'!$E$18+1,1))-AVERAGE(OFFSET($H$3,0,0,'Données projet'!$E$18+1,1))</f>
        <v>320.76883487964511</v>
      </c>
      <c r="HA22" s="59">
        <f t="shared" si="52"/>
        <v>290.51177680335746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9.7714983988925148</v>
      </c>
      <c r="HI22" s="21">
        <f>EXP(-LN(2)/2)*HI21+(1-EXP(-LN(2)/2))/(LN(2)/2)*HC22*HF22*VLOOKUP('Données projet'!$B$18,Paramètres!$A$1:$I$89,3,0)*0.475*44/12</f>
        <v>10.628207965811972</v>
      </c>
      <c r="HJ22" s="22">
        <f t="shared" si="30"/>
        <v>20.399706364704485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24.927030733289886</v>
      </c>
      <c r="AK23" s="13">
        <f t="shared" si="35"/>
        <v>7.900419678784556</v>
      </c>
      <c r="AL23" s="20">
        <f t="shared" si="4"/>
        <v>57.174476134362976</v>
      </c>
      <c r="AM23" s="59">
        <f t="shared" si="5"/>
        <v>338.28558724547412</v>
      </c>
      <c r="AN23" s="59">
        <f ca="1">AVERAGE(OFFSET($AM$3,0,0,'Données projet'!$E$10+1,1))-AVERAGE(OFFSET($H$3,0,0,'Données projet'!$E$10+1,1))</f>
        <v>425.47148407510412</v>
      </c>
      <c r="AO23" s="59">
        <f t="shared" si="36"/>
        <v>308.54448799922471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87</v>
      </c>
      <c r="BB23" s="12">
        <f>VLOOKUP(A23,'Données projet'!$A$87:$I$107,9,0)</f>
        <v>8</v>
      </c>
      <c r="BC23" s="12">
        <f t="array" ref="BC23">INDEX(BB:BB,MIN(IF(ISNUMBER(BB23:BB219),ROW(BB23:BB219),"")))</f>
        <v>8</v>
      </c>
      <c r="BD23" s="12">
        <f>IF('Données projet'!$A$88&gt;35,BD22+BC23-BL22,IF(A23&lt;'Données projet'!$A$88,$BA$205^A23,IF(A23='Données projet'!$A$88,'Données projet'!$B$88,BD22+BC23-BL22)))</f>
        <v>87</v>
      </c>
      <c r="BE23" s="13">
        <f>BD23*VLOOKUP('Données projet'!$B$11,Paramètres!$A$1:$I$89,3,0)*VLOOKUP('Données projet'!$B$11,Paramètres!$A$1:$I$89,5,0)</f>
        <v>76.003200000000007</v>
      </c>
      <c r="BF23" s="13">
        <f t="shared" si="37"/>
        <v>21.157049992000456</v>
      </c>
      <c r="BG23" s="20">
        <f t="shared" si="7"/>
        <v>169.22076873606747</v>
      </c>
      <c r="BH23" s="59">
        <f t="shared" si="8"/>
        <v>450.33187984717858</v>
      </c>
      <c r="BI23" s="59">
        <f ca="1">AVERAGE(OFFSET($BH$3,0,0,'Données projet'!$E$11+1,1))-AVERAGE(OFFSET($H$3,0,0,'Données projet'!$E$11+1,1))</f>
        <v>300.63505444445104</v>
      </c>
      <c r="BJ23" s="59">
        <f t="shared" si="38"/>
        <v>266.32508105927997</v>
      </c>
      <c r="BK23" s="15">
        <f>IF(ISNA(VLOOKUP(A23,'Données projet'!$A$87:$I$107,3,0)),0,VLOOKUP(A23,'Données projet'!$A$87:$I$107,3,0))</f>
        <v>1</v>
      </c>
      <c r="BL23" s="15" t="str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18.784706990129649</v>
      </c>
      <c r="CA23" s="13">
        <f t="shared" si="39"/>
        <v>6.1529821468559378</v>
      </c>
      <c r="CB23" s="20">
        <f t="shared" si="10"/>
        <v>43.433141913583228</v>
      </c>
      <c r="CC23" s="59">
        <f t="shared" si="11"/>
        <v>324.5442530246944</v>
      </c>
      <c r="CD23" s="59">
        <f ca="1">AVERAGE(OFFSET($CC$3,0,0,'Données projet'!$E$12+1,1))-AVERAGE(OFFSET($H$3,0,0,'Données projet'!$E$12+1,1))</f>
        <v>361.26385625423757</v>
      </c>
      <c r="CE23" s="59">
        <f t="shared" si="40"/>
        <v>222.05197404028576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145</v>
      </c>
      <c r="CR23" s="12">
        <f>VLOOKUP(A23,'Données projet'!$A$139:$I$159,9,0)</f>
        <v>10</v>
      </c>
      <c r="CS23" s="12">
        <f t="array" ref="CS23">INDEX(CR:CR,MIN(IF(ISNUMBER(CR23:CR219),ROW(CR23:CR219),"")))</f>
        <v>10</v>
      </c>
      <c r="CT23" s="12">
        <f>IF('Données projet'!$A$140&gt;35,CT22+CS23-DB22,IF(A23&lt;'Données projet'!$A$140,$CQ$205^A23,IF(A23='Données projet'!$A$140,'Données projet'!$B$140,CT22+CS23-DB22)))</f>
        <v>145</v>
      </c>
      <c r="CU23" s="17">
        <f>CT23*VLOOKUP('Données projet'!$B$13,Paramètres!$A$1:$I$89,3,0)*VLOOKUP('Données projet'!$B$13,Paramètres!$A$1:$I$89,5,0)</f>
        <v>131.196</v>
      </c>
      <c r="CV23" s="13">
        <f t="shared" si="41"/>
        <v>34.272572346624997</v>
      </c>
      <c r="CW23" s="20">
        <f t="shared" si="13"/>
        <v>288.19109683703851</v>
      </c>
      <c r="CX23" s="59">
        <f t="shared" si="14"/>
        <v>569.30220794814966</v>
      </c>
      <c r="CY23" s="59">
        <f ca="1">AVERAGE(OFFSET($CX$3,0,0,'Données projet'!$E$13+1,1))-AVERAGE(OFFSET($H$3,0,0,'Données projet'!$E$13+1,1))</f>
        <v>302.6937347295995</v>
      </c>
      <c r="CZ23" s="59">
        <f t="shared" si="42"/>
        <v>423.44006663873375</v>
      </c>
      <c r="DA23" s="15">
        <f>IF(ISNA(VLOOKUP(A23,'Données projet'!$A$139:$I$159,3,0)),0,VLOOKUP(A23,'Données projet'!$A$139:$I$159,3,0))</f>
        <v>4</v>
      </c>
      <c r="DB23" s="15">
        <f>IF(ISNA(VLOOKUP(A23,'Données projet'!$A$139:$I$159,4,0)),0,VLOOKUP(A23,'Données projet'!$A$139:$I$159,4,0))</f>
        <v>14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19.092653006361285</v>
      </c>
      <c r="DQ23" s="13">
        <f t="shared" si="43"/>
        <v>6.2420250842326848</v>
      </c>
      <c r="DR23" s="20">
        <f t="shared" si="16"/>
        <v>44.124564341117825</v>
      </c>
      <c r="DS23" s="59">
        <f t="shared" si="17"/>
        <v>325.23567545222897</v>
      </c>
      <c r="DT23" s="59">
        <f ca="1">AVERAGE(OFFSET($DS$3,0,0,'Données projet'!$E$14+1,1))-AVERAGE(OFFSET($H$3,0,0,'Données projet'!$E$14+1,1))</f>
        <v>366.51581861366333</v>
      </c>
      <c r="DU23" s="59">
        <f t="shared" si="44"/>
        <v>225.01415116995503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429.24288001863374</v>
      </c>
      <c r="EO23" s="59">
        <f ca="1">AVERAGE(OFFSET($EN$3,0,0,'Données projet'!$E$15+1,1))-AVERAGE(OFFSET($H$3,0,0,'Données projet'!$E$15+1,1))</f>
        <v>288.80569134263209</v>
      </c>
      <c r="EP23" s="59">
        <f t="shared" si="46"/>
        <v>283.48738729114024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0.215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4.6164360471015273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4.6164360471015273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183.7076923076923</v>
      </c>
      <c r="FC23" s="12">
        <f>VLOOKUP(A23,'Données projet'!$A$217:$I$237,9,0)</f>
        <v>18.463076923076926</v>
      </c>
      <c r="FD23" s="12">
        <f t="array" ref="FD23">INDEX(FC:FC,MIN(IF(ISNUMBER(FC23:FC219),ROW(FC23:FC219),"")))</f>
        <v>18.463076923076926</v>
      </c>
      <c r="FE23" s="12">
        <f>IF('Données projet'!$A$218&gt;35,FE22+FD23-FM22,IF(A23&lt;'Données projet'!$A$218,$FB$205^A23,IF(A23='Données projet'!$A$218,'Données projet'!$B$218,FE22+FD23-FM22)))</f>
        <v>183.7076923076923</v>
      </c>
      <c r="FF23" s="17">
        <f>FE23*VLOOKUP('Données projet'!$B$16,Paramètres!$A$1:$I$89,3,0)*VLOOKUP('Données projet'!$B$16,Paramètres!$A$1:$I$89,5,0)</f>
        <v>109.85720000000001</v>
      </c>
      <c r="FG23" s="13">
        <f t="shared" si="47"/>
        <v>29.297337235526424</v>
      </c>
      <c r="FH23" s="20">
        <f t="shared" si="22"/>
        <v>242.36081901854183</v>
      </c>
      <c r="FI23" s="59">
        <f t="shared" si="23"/>
        <v>523.47193012965295</v>
      </c>
      <c r="FJ23" s="59">
        <f ca="1">AVERAGE(OFFSET($FI$3,0,0,'Données projet'!$E$16+1,1))-AVERAGE(OFFSET($H$3,0,0,'Données projet'!$E$16+1,1))</f>
        <v>323.17232038705157</v>
      </c>
      <c r="FK23" s="59">
        <f t="shared" si="48"/>
        <v>402.34685738619197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48.723076923076924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0.25200000000000006</v>
      </c>
      <c r="FP23" s="16">
        <f>IF(ISNA(VLOOKUP(A23,'Données projet'!$A$217:$I$237,7,0)),0%,VLOOKUP(A23,'Données projet'!$A$217:$I$237,7,0))</f>
        <v>0.44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18.331682492314798</v>
      </c>
      <c r="FS23" s="21">
        <f>EXP(-LN(2)/2)*FS22+(1-EXP(-LN(2)/2))/(LN(2)/2)*FM23*FP23*VLOOKUP('Données projet'!$B$16,Paramètres!$A$1:$I$89,3,0)*0.475*44/12</f>
        <v>17.137096586300796</v>
      </c>
      <c r="FT23" s="22">
        <f t="shared" si="24"/>
        <v>35.468779078615597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85</v>
      </c>
      <c r="FX23" s="12">
        <f>VLOOKUP(A23,'Données projet'!$A$243:$I$263,9,0)</f>
        <v>9.6</v>
      </c>
      <c r="FY23" s="12">
        <f t="array" ref="FY23">INDEX(FX:FX,MIN(IF(ISNUMBER(FX23:FX219),ROW(FX23:FX219),"")))</f>
        <v>9.6</v>
      </c>
      <c r="FZ23" s="12">
        <f>IF('Données projet'!$A$244&gt;35,FZ22+FY23-GH22,IF(A23&lt;'Données projet'!$A$244,$FW$205^A23,IF(A23='Données projet'!$A$244,'Données projet'!$B$244,FZ22+FY23-GH22)))</f>
        <v>84.999999999999986</v>
      </c>
      <c r="GA23" s="17">
        <f>FZ23*VLOOKUP('Données projet'!$B$17,Paramètres!$A$1:$I$89,3,0)*VLOOKUP('Données projet'!$B$17,Paramètres!$A$1:$I$89,5,0)</f>
        <v>68.951999999999998</v>
      </c>
      <c r="GB23" s="13">
        <f t="shared" si="49"/>
        <v>19.412974191553594</v>
      </c>
      <c r="GC23" s="20">
        <f t="shared" si="25"/>
        <v>153.90233005028915</v>
      </c>
      <c r="GD23" s="59">
        <f t="shared" si="26"/>
        <v>435.01344116140029</v>
      </c>
      <c r="GE23" s="59">
        <f ca="1">AVERAGE(OFFSET($GD$3,0,0,'Données projet'!$E$17+1,1))-AVERAGE(OFFSET($H$3,0,0,'Données projet'!$E$17+1,1))</f>
        <v>298.96480270023716</v>
      </c>
      <c r="GF23" s="59">
        <f t="shared" si="50"/>
        <v>293.11447542333889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0.26500000000000001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5.9176268585171217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5.9176268585171217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12.908974358974362</v>
      </c>
      <c r="GU23" s="12">
        <f>IF('Données projet'!$A$270&gt;35,GU22+GT23-HC22,IF(A23&lt;'Données projet'!$A$270,$GR$205^A23,IF(A23='Données projet'!$A$270,'Données projet'!$B$270,GU22+GT23-HC22)))</f>
        <v>110.94102564102563</v>
      </c>
      <c r="GV23" s="17">
        <f>GU23*VLOOKUP('Données projet'!$B$18,Paramètres!$A$1:$I$89,3,0)*VLOOKUP('Données projet'!$B$18,Paramètres!$A$1:$I$89,5,0)</f>
        <v>63.458266666666667</v>
      </c>
      <c r="GW23" s="13">
        <f t="shared" si="51"/>
        <v>18.039755336226683</v>
      </c>
      <c r="GX23" s="20">
        <f t="shared" si="28"/>
        <v>141.94238832170592</v>
      </c>
      <c r="GY23" s="59">
        <f t="shared" si="29"/>
        <v>423.05349943281703</v>
      </c>
      <c r="GZ23" s="59">
        <f ca="1">AVERAGE(OFFSET($GY$3,0,0,'Données projet'!$E$18+1,1))-AVERAGE(OFFSET($H$3,0,0,'Données projet'!$E$18+1,1))</f>
        <v>320.76883487964511</v>
      </c>
      <c r="HA23" s="59">
        <f t="shared" si="52"/>
        <v>290.51177680335746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9.5042962613140318</v>
      </c>
      <c r="HI23" s="21">
        <f>EXP(-LN(2)/2)*HI22+(1-EXP(-LN(2)/2))/(LN(2)/2)*HC23*HF23*VLOOKUP('Données projet'!$B$18,Paramètres!$A$1:$I$89,3,0)*0.475*44/12</f>
        <v>7.5152779244865284</v>
      </c>
      <c r="HJ23" s="22">
        <f t="shared" si="30"/>
        <v>17.019574185800561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29.255139871338766</v>
      </c>
      <c r="AK24" s="13">
        <f t="shared" si="35"/>
        <v>9.1009831459745705</v>
      </c>
      <c r="AL24" s="20">
        <f t="shared" si="4"/>
        <v>66.803580921820739</v>
      </c>
      <c r="AM24" s="59">
        <f t="shared" si="5"/>
        <v>349.13691425515407</v>
      </c>
      <c r="AN24" s="59">
        <f ca="1">AVERAGE(OFFSET($AM$3,0,0,'Données projet'!$E$10+1,1))-AVERAGE(OFFSET($H$3,0,0,'Données projet'!$E$10+1,1))</f>
        <v>425.47148407510412</v>
      </c>
      <c r="AO24" s="59">
        <f t="shared" si="36"/>
        <v>308.54448799922471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</v>
      </c>
      <c r="BD24" s="12">
        <f>IF('Données projet'!$A$88&gt;35,BD23+BC24-BL23,IF(A24&lt;'Données projet'!$A$88,$BA$205^A24,IF(A24='Données projet'!$A$88,'Données projet'!$B$88,BD23+BC24-BL23)))</f>
        <v>66</v>
      </c>
      <c r="BE24" s="13">
        <f>BD24*VLOOKUP('Données projet'!$B$11,Paramètres!$A$1:$I$89,3,0)*VLOOKUP('Données projet'!$B$11,Paramètres!$A$1:$I$89,5,0)</f>
        <v>57.657600000000002</v>
      </c>
      <c r="BF24" s="13">
        <f t="shared" si="37"/>
        <v>16.574671209026025</v>
      </c>
      <c r="BG24" s="20">
        <f t="shared" si="7"/>
        <v>129.28787235572034</v>
      </c>
      <c r="BH24" s="59">
        <f t="shared" si="8"/>
        <v>411.62120568905368</v>
      </c>
      <c r="BI24" s="59">
        <f ca="1">AVERAGE(OFFSET($BH$3,0,0,'Données projet'!$E$11+1,1))-AVERAGE(OFFSET($H$3,0,0,'Données projet'!$E$11+1,1))</f>
        <v>300.63505444445104</v>
      </c>
      <c r="BJ24" s="59">
        <f t="shared" si="38"/>
        <v>266.32508105927997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21.805794994307021</v>
      </c>
      <c r="CA24" s="13">
        <f t="shared" si="39"/>
        <v>7.0196299392711321</v>
      </c>
      <c r="CB24" s="20">
        <f t="shared" si="10"/>
        <v>50.204281759315286</v>
      </c>
      <c r="CC24" s="59">
        <f t="shared" si="11"/>
        <v>332.53761509264859</v>
      </c>
      <c r="CD24" s="59">
        <f ca="1">AVERAGE(OFFSET($CC$3,0,0,'Données projet'!$E$12+1,1))-AVERAGE(OFFSET($H$3,0,0,'Données projet'!$E$12+1,1))</f>
        <v>361.26385625423757</v>
      </c>
      <c r="CE24" s="59">
        <f t="shared" si="40"/>
        <v>222.05197404028576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8.4</v>
      </c>
      <c r="CT24" s="12">
        <f>IF('Données projet'!$A$140&gt;35,CT23+CS24-DB23,IF(A24&lt;'Données projet'!$A$140,$CQ$205^A24,IF(A24='Données projet'!$A$140,'Données projet'!$B$140,CT23+CS24-DB23)))</f>
        <v>139.4</v>
      </c>
      <c r="CU24" s="17">
        <f>CT24*VLOOKUP('Données projet'!$B$13,Paramètres!$A$1:$I$89,3,0)*VLOOKUP('Données projet'!$B$13,Paramètres!$A$1:$I$89,5,0)</f>
        <v>126.12912000000001</v>
      </c>
      <c r="CV24" s="13">
        <f t="shared" si="41"/>
        <v>33.100345121748241</v>
      </c>
      <c r="CW24" s="20">
        <f t="shared" si="13"/>
        <v>277.32465175371152</v>
      </c>
      <c r="CX24" s="59">
        <f t="shared" si="14"/>
        <v>559.65798508704484</v>
      </c>
      <c r="CY24" s="59">
        <f ca="1">AVERAGE(OFFSET($CX$3,0,0,'Données projet'!$E$13+1,1))-AVERAGE(OFFSET($H$3,0,0,'Données projet'!$E$13+1,1))</f>
        <v>302.6937347295995</v>
      </c>
      <c r="CZ24" s="59">
        <f t="shared" si="42"/>
        <v>423.44006663873375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22.163267043394022</v>
      </c>
      <c r="DQ24" s="13">
        <f t="shared" si="43"/>
        <v>7.121214578097014</v>
      </c>
      <c r="DR24" s="20">
        <f t="shared" si="16"/>
        <v>51.003805490763547</v>
      </c>
      <c r="DS24" s="59">
        <f t="shared" si="17"/>
        <v>333.33713882409688</v>
      </c>
      <c r="DT24" s="59">
        <f ca="1">AVERAGE(OFFSET($DS$3,0,0,'Données projet'!$E$14+1,1))-AVERAGE(OFFSET($H$3,0,0,'Données projet'!$E$14+1,1))</f>
        <v>366.51581861366333</v>
      </c>
      <c r="DU24" s="59">
        <f t="shared" si="44"/>
        <v>225.01415116995503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405.96231661306092</v>
      </c>
      <c r="EO24" s="59">
        <f ca="1">AVERAGE(OFFSET($EN$3,0,0,'Données projet'!$E$15+1,1))-AVERAGE(OFFSET($H$3,0,0,'Données projet'!$E$15+1,1))</f>
        <v>288.80569134263209</v>
      </c>
      <c r="EP24" s="59">
        <f t="shared" si="46"/>
        <v>283.48738729114024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4.4901993606257156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4.4901993606257156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19.071794871794875</v>
      </c>
      <c r="FE24" s="12">
        <f>IF('Données projet'!$A$218&gt;35,FE23+FD24-FM23,IF(A24&lt;'Données projet'!$A$218,$FB$205^A24,IF(A24='Données projet'!$A$218,'Données projet'!$B$218,FE23+FD24-FM23)))</f>
        <v>154.05641025641026</v>
      </c>
      <c r="FF24" s="17">
        <f>FE24*VLOOKUP('Données projet'!$B$16,Paramètres!$A$1:$I$89,3,0)*VLOOKUP('Données projet'!$B$16,Paramètres!$A$1:$I$89,5,0)</f>
        <v>92.125733333333343</v>
      </c>
      <c r="FG24" s="13">
        <f t="shared" si="47"/>
        <v>25.077202059466597</v>
      </c>
      <c r="FH24" s="20">
        <f t="shared" si="22"/>
        <v>204.12844580912656</v>
      </c>
      <c r="FI24" s="59">
        <f t="shared" si="23"/>
        <v>486.46177914245987</v>
      </c>
      <c r="FJ24" s="59">
        <f ca="1">AVERAGE(OFFSET($FI$3,0,0,'Données projet'!$E$16+1,1))-AVERAGE(OFFSET($H$3,0,0,'Données projet'!$E$16+1,1))</f>
        <v>323.17232038705157</v>
      </c>
      <c r="FK24" s="59">
        <f t="shared" si="48"/>
        <v>402.34685738619197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17.830401670541164</v>
      </c>
      <c r="FS24" s="21">
        <f>EXP(-LN(2)/2)*FS23+(1-EXP(-LN(2)/2))/(LN(2)/2)*FM24*FP24*VLOOKUP('Données projet'!$B$16,Paramètres!$A$1:$I$89,3,0)*0.475*44/12</f>
        <v>12.117757206022128</v>
      </c>
      <c r="FT24" s="22">
        <f t="shared" si="24"/>
        <v>29.948158876563291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10.6</v>
      </c>
      <c r="FZ24" s="12">
        <f>IF('Données projet'!$A$244&gt;35,FZ23+FY24-GH23,IF(A24&lt;'Données projet'!$A$244,$FW$205^A24,IF(A24='Données projet'!$A$244,'Données projet'!$B$244,FZ23+FY24-GH23)))</f>
        <v>70.59999999999998</v>
      </c>
      <c r="GA24" s="17">
        <f>FZ24*VLOOKUP('Données projet'!$B$17,Paramètres!$A$1:$I$89,3,0)*VLOOKUP('Données projet'!$B$17,Paramètres!$A$1:$I$89,5,0)</f>
        <v>57.270719999999983</v>
      </c>
      <c r="GB24" s="13">
        <f t="shared" si="49"/>
        <v>16.476362874249581</v>
      </c>
      <c r="GC24" s="20">
        <f t="shared" si="25"/>
        <v>128.44283600598467</v>
      </c>
      <c r="GD24" s="59">
        <f t="shared" si="26"/>
        <v>410.77616933931802</v>
      </c>
      <c r="GE24" s="59">
        <f ca="1">AVERAGE(OFFSET($GD$3,0,0,'Données projet'!$E$17+1,1))-AVERAGE(OFFSET($H$3,0,0,'Données projet'!$E$17+1,1))</f>
        <v>298.96480270023716</v>
      </c>
      <c r="GF24" s="59">
        <f t="shared" si="50"/>
        <v>293.11447542333889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5.7558090408764997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5.7558090408764997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12.908974358974362</v>
      </c>
      <c r="GU24" s="12">
        <f>IF('Données projet'!$A$270&gt;35,GU23+GT24-HC23,IF(A24&lt;'Données projet'!$A$270,$GR$205^A24,IF(A24='Données projet'!$A$270,'Données projet'!$B$270,GU23+GT24-HC23)))</f>
        <v>123.85</v>
      </c>
      <c r="GV24" s="17">
        <f>GU24*VLOOKUP('Données projet'!$B$18,Paramètres!$A$1:$I$89,3,0)*VLOOKUP('Données projet'!$B$18,Paramètres!$A$1:$I$89,5,0)</f>
        <v>70.842200000000005</v>
      </c>
      <c r="GW24" s="13">
        <f t="shared" si="51"/>
        <v>19.882459714316386</v>
      </c>
      <c r="GX24" s="20">
        <f t="shared" si="28"/>
        <v>158.01211566910104</v>
      </c>
      <c r="GY24" s="59">
        <f t="shared" si="29"/>
        <v>440.34544900243435</v>
      </c>
      <c r="GZ24" s="59">
        <f ca="1">AVERAGE(OFFSET($GY$3,0,0,'Données projet'!$E$18+1,1))-AVERAGE(OFFSET($H$3,0,0,'Données projet'!$E$18+1,1))</f>
        <v>320.76883487964511</v>
      </c>
      <c r="HA24" s="59">
        <f t="shared" si="52"/>
        <v>290.51177680335746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9.2444007802391823</v>
      </c>
      <c r="HI24" s="21">
        <f>EXP(-LN(2)/2)*HI23+(1-EXP(-LN(2)/2))/(LN(2)/2)*HC24*HF24*VLOOKUP('Données projet'!$B$18,Paramètres!$A$1:$I$89,3,0)*0.475*44/12</f>
        <v>5.3141039829059871</v>
      </c>
      <c r="HJ24" s="22">
        <f t="shared" si="30"/>
        <v>14.558504763145169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34.334743598185383</v>
      </c>
      <c r="AK25" s="13">
        <f t="shared" si="35"/>
        <v>10.48398662234813</v>
      </c>
      <c r="AL25" s="20">
        <f t="shared" si="4"/>
        <v>78.059288467429198</v>
      </c>
      <c r="AM25" s="59">
        <f t="shared" si="5"/>
        <v>361.61484402298476</v>
      </c>
      <c r="AN25" s="59">
        <f ca="1">AVERAGE(OFFSET($AM$3,0,0,'Données projet'!$E$10+1,1))-AVERAGE(OFFSET($H$3,0,0,'Données projet'!$E$10+1,1))</f>
        <v>425.47148407510412</v>
      </c>
      <c r="AO25" s="59">
        <f t="shared" si="36"/>
        <v>308.54448799922471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</v>
      </c>
      <c r="BD25" s="12">
        <f>IF('Données projet'!$A$88&gt;35,BD24+BC25-BL24,IF(A25&lt;'Données projet'!$A$88,$BA$205^A25,IF(A25='Données projet'!$A$88,'Données projet'!$B$88,BD24+BC25-BL24)))</f>
        <v>74</v>
      </c>
      <c r="BE25" s="13">
        <f>BD25*VLOOKUP('Données projet'!$B$11,Paramètres!$A$1:$I$89,3,0)*VLOOKUP('Données projet'!$B$11,Paramètres!$A$1:$I$89,5,0)</f>
        <v>64.646400000000014</v>
      </c>
      <c r="BF25" s="13">
        <f t="shared" si="37"/>
        <v>18.337876695493666</v>
      </c>
      <c r="BG25" s="20">
        <f t="shared" si="7"/>
        <v>144.53094857798482</v>
      </c>
      <c r="BH25" s="59">
        <f t="shared" si="8"/>
        <v>428.08650413354036</v>
      </c>
      <c r="BI25" s="59">
        <f ca="1">AVERAGE(OFFSET($BH$3,0,0,'Données projet'!$E$11+1,1))-AVERAGE(OFFSET($H$3,0,0,'Données projet'!$E$11+1,1))</f>
        <v>300.63505444445104</v>
      </c>
      <c r="BJ25" s="59">
        <f t="shared" si="38"/>
        <v>266.32508105927997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25.312755508169015</v>
      </c>
      <c r="CA25" s="13">
        <f t="shared" si="39"/>
        <v>8.0083451094507705</v>
      </c>
      <c r="CB25" s="20">
        <f t="shared" si="10"/>
        <v>58.03425024235446</v>
      </c>
      <c r="CC25" s="59">
        <f t="shared" si="11"/>
        <v>341.58980579791</v>
      </c>
      <c r="CD25" s="59">
        <f ca="1">AVERAGE(OFFSET($CC$3,0,0,'Données projet'!$E$12+1,1))-AVERAGE(OFFSET($H$3,0,0,'Données projet'!$E$12+1,1))</f>
        <v>361.26385625423757</v>
      </c>
      <c r="CE25" s="59">
        <f t="shared" si="40"/>
        <v>222.05197404028576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8.4</v>
      </c>
      <c r="CT25" s="12">
        <f>IF('Données projet'!$A$140&gt;35,CT24+CS25-DB24,IF(A25&lt;'Données projet'!$A$140,$CQ$205^A25,IF(A25='Données projet'!$A$140,'Données projet'!$B$140,CT24+CS25-DB24)))</f>
        <v>147.80000000000001</v>
      </c>
      <c r="CU25" s="17">
        <f>CT25*VLOOKUP('Données projet'!$B$13,Paramètres!$A$1:$I$89,3,0)*VLOOKUP('Données projet'!$B$13,Paramètres!$A$1:$I$89,5,0)</f>
        <v>133.72944000000001</v>
      </c>
      <c r="CV25" s="13">
        <f t="shared" si="41"/>
        <v>34.856699711744326</v>
      </c>
      <c r="CW25" s="20">
        <f t="shared" si="13"/>
        <v>293.62085999795471</v>
      </c>
      <c r="CX25" s="59">
        <f t="shared" si="14"/>
        <v>577.1764155535102</v>
      </c>
      <c r="CY25" s="59">
        <f ca="1">AVERAGE(OFFSET($CX$3,0,0,'Données projet'!$E$13+1,1))-AVERAGE(OFFSET($H$3,0,0,'Données projet'!$E$13+1,1))</f>
        <v>302.6937347295995</v>
      </c>
      <c r="CZ25" s="59">
        <f t="shared" si="42"/>
        <v>423.44006663873375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25.727718713220966</v>
      </c>
      <c r="DQ25" s="13">
        <f t="shared" si="43"/>
        <v>8.1242379488988057</v>
      </c>
      <c r="DR25" s="20">
        <f t="shared" si="16"/>
        <v>58.958824519858602</v>
      </c>
      <c r="DS25" s="59">
        <f t="shared" si="17"/>
        <v>342.51438007541412</v>
      </c>
      <c r="DT25" s="59">
        <f ca="1">AVERAGE(OFFSET($DS$3,0,0,'Données projet'!$E$14+1,1))-AVERAGE(OFFSET($H$3,0,0,'Données projet'!$E$14+1,1))</f>
        <v>366.51581861366333</v>
      </c>
      <c r="DU25" s="59">
        <f t="shared" si="44"/>
        <v>225.01415116995503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425.23150026218684</v>
      </c>
      <c r="EO25" s="59">
        <f ca="1">AVERAGE(OFFSET($EN$3,0,0,'Données projet'!$E$15+1,1))-AVERAGE(OFFSET($H$3,0,0,'Données projet'!$E$15+1,1))</f>
        <v>288.80569134263209</v>
      </c>
      <c r="EP25" s="59">
        <f t="shared" si="46"/>
        <v>283.48738729114024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4.3674146229800836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4.3674146229800836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19.071794871794875</v>
      </c>
      <c r="FE25" s="12">
        <f>IF('Données projet'!$A$218&gt;35,FE24+FD25-FM24,IF(A25&lt;'Données projet'!$A$218,$FB$205^A25,IF(A25='Données projet'!$A$218,'Données projet'!$B$218,FE24+FD25-FM24)))</f>
        <v>173.12820512820514</v>
      </c>
      <c r="FF25" s="17">
        <f>FE25*VLOOKUP('Données projet'!$B$16,Paramètres!$A$1:$I$89,3,0)*VLOOKUP('Données projet'!$B$16,Paramètres!$A$1:$I$89,5,0)</f>
        <v>103.53066666666668</v>
      </c>
      <c r="FG25" s="13">
        <f t="shared" si="47"/>
        <v>27.80142408921413</v>
      </c>
      <c r="FH25" s="20">
        <f t="shared" si="22"/>
        <v>228.73672473315909</v>
      </c>
      <c r="FI25" s="59">
        <f t="shared" si="23"/>
        <v>512.29228028871466</v>
      </c>
      <c r="FJ25" s="59">
        <f ca="1">AVERAGE(OFFSET($FI$3,0,0,'Données projet'!$E$16+1,1))-AVERAGE(OFFSET($H$3,0,0,'Données projet'!$E$16+1,1))</f>
        <v>323.17232038705157</v>
      </c>
      <c r="FK25" s="59">
        <f t="shared" si="48"/>
        <v>402.34685738619197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17.342828399200144</v>
      </c>
      <c r="FS25" s="21">
        <f>EXP(-LN(2)/2)*FS24+(1-EXP(-LN(2)/2))/(LN(2)/2)*FM25*FP25*VLOOKUP('Données projet'!$B$16,Paramètres!$A$1:$I$89,3,0)*0.475*44/12</f>
        <v>8.5685482931503998</v>
      </c>
      <c r="FT25" s="22">
        <f t="shared" si="24"/>
        <v>25.911376692350544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10.6</v>
      </c>
      <c r="FZ25" s="12">
        <f>IF('Données projet'!$A$244&gt;35,FZ24+FY25-GH24,IF(A25&lt;'Données projet'!$A$244,$FW$205^A25,IF(A25='Données projet'!$A$244,'Données projet'!$B$244,FZ24+FY25-GH24)))</f>
        <v>81.199999999999974</v>
      </c>
      <c r="GA25" s="17">
        <f>FZ25*VLOOKUP('Données projet'!$B$17,Paramètres!$A$1:$I$89,3,0)*VLOOKUP('Données projet'!$B$17,Paramètres!$A$1:$I$89,5,0)</f>
        <v>65.869439999999983</v>
      </c>
      <c r="GB25" s="13">
        <f t="shared" si="49"/>
        <v>18.644091336301784</v>
      </c>
      <c r="GC25" s="20">
        <f t="shared" si="25"/>
        <v>147.19440041072556</v>
      </c>
      <c r="GD25" s="59">
        <f t="shared" si="26"/>
        <v>430.74995596628111</v>
      </c>
      <c r="GE25" s="59">
        <f ca="1">AVERAGE(OFFSET($GD$3,0,0,'Données projet'!$E$17+1,1))-AVERAGE(OFFSET($H$3,0,0,'Données projet'!$E$17+1,1))</f>
        <v>298.96480270023716</v>
      </c>
      <c r="GF25" s="59">
        <f t="shared" si="50"/>
        <v>293.11447542333889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5.5984161399688892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5.5984161399688892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12.908974358974362</v>
      </c>
      <c r="GU25" s="12">
        <f>IF('Données projet'!$A$270&gt;35,GU24+GT25-HC24,IF(A25&lt;'Données projet'!$A$270,$GR$205^A25,IF(A25='Données projet'!$A$270,'Données projet'!$B$270,GU24+GT25-HC24)))</f>
        <v>136.75897435897434</v>
      </c>
      <c r="GV25" s="17">
        <f>GU25*VLOOKUP('Données projet'!$B$18,Paramètres!$A$1:$I$89,3,0)*VLOOKUP('Données projet'!$B$18,Paramètres!$A$1:$I$89,5,0)</f>
        <v>78.226133333333323</v>
      </c>
      <c r="GW25" s="13">
        <f t="shared" si="51"/>
        <v>21.702900123537106</v>
      </c>
      <c r="GX25" s="20">
        <f t="shared" si="28"/>
        <v>174.04306660404936</v>
      </c>
      <c r="GY25" s="59">
        <f t="shared" si="29"/>
        <v>457.59862215960493</v>
      </c>
      <c r="GZ25" s="59">
        <f ca="1">AVERAGE(OFFSET($GY$3,0,0,'Données projet'!$E$18+1,1))-AVERAGE(OFFSET($H$3,0,0,'Données projet'!$E$18+1,1))</f>
        <v>320.76883487964511</v>
      </c>
      <c r="HA25" s="59">
        <f t="shared" si="52"/>
        <v>290.51177680335746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8.9916121547616328</v>
      </c>
      <c r="HI25" s="21">
        <f>EXP(-LN(2)/2)*HI24+(1-EXP(-LN(2)/2))/(LN(2)/2)*HC25*HF25*VLOOKUP('Données projet'!$B$18,Paramètres!$A$1:$I$89,3,0)*0.475*44/12</f>
        <v>3.7576389622432647</v>
      </c>
      <c r="HJ25" s="22">
        <f t="shared" si="30"/>
        <v>12.749251117004897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40.29632478729232</v>
      </c>
      <c r="AK26" s="13">
        <f t="shared" si="35"/>
        <v>12.077154054085931</v>
      </c>
      <c r="AL26" s="20">
        <f t="shared" si="4"/>
        <v>91.217142315400451</v>
      </c>
      <c r="AM26" s="59">
        <f t="shared" si="5"/>
        <v>375.99492009317822</v>
      </c>
      <c r="AN26" s="59">
        <f ca="1">AVERAGE(OFFSET($AM$3,0,0,'Données projet'!$E$10+1,1))-AVERAGE(OFFSET($H$3,0,0,'Données projet'!$E$10+1,1))</f>
        <v>425.47148407510412</v>
      </c>
      <c r="AO26" s="59">
        <f t="shared" si="36"/>
        <v>308.54448799922471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</v>
      </c>
      <c r="BD26" s="12">
        <f>IF('Données projet'!$A$88&gt;35,BD25+BC26-BL25,IF(A26&lt;'Données projet'!$A$88,$BA$205^A26,IF(A26='Données projet'!$A$88,'Données projet'!$B$88,BD25+BC26-BL25)))</f>
        <v>82</v>
      </c>
      <c r="BE26" s="13">
        <f>BD26*VLOOKUP('Données projet'!$B$11,Paramètres!$A$1:$I$89,3,0)*VLOOKUP('Données projet'!$B$11,Paramètres!$A$1:$I$89,5,0)</f>
        <v>71.635200000000012</v>
      </c>
      <c r="BF26" s="13">
        <f t="shared" si="37"/>
        <v>20.078988020012648</v>
      </c>
      <c r="BG26" s="20">
        <f t="shared" si="7"/>
        <v>159.73554413485536</v>
      </c>
      <c r="BH26" s="59">
        <f t="shared" si="8"/>
        <v>444.51332191263316</v>
      </c>
      <c r="BI26" s="59">
        <f ca="1">AVERAGE(OFFSET($BH$3,0,0,'Données projet'!$E$11+1,1))-AVERAGE(OFFSET($H$3,0,0,'Données projet'!$E$11+1,1))</f>
        <v>300.63505444445104</v>
      </c>
      <c r="BJ26" s="59">
        <f t="shared" si="38"/>
        <v>266.32508105927997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29.383729948099653</v>
      </c>
      <c r="CA26" s="13">
        <f t="shared" si="39"/>
        <v>9.1363208526521351</v>
      </c>
      <c r="CB26" s="20">
        <f t="shared" si="10"/>
        <v>67.089088477976034</v>
      </c>
      <c r="CC26" s="59">
        <f t="shared" si="11"/>
        <v>351.86686625575379</v>
      </c>
      <c r="CD26" s="59">
        <f ca="1">AVERAGE(OFFSET($CC$3,0,0,'Données projet'!$E$12+1,1))-AVERAGE(OFFSET($H$3,0,0,'Données projet'!$E$12+1,1))</f>
        <v>361.26385625423757</v>
      </c>
      <c r="CE26" s="59">
        <f t="shared" si="40"/>
        <v>222.05197404028576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8.4</v>
      </c>
      <c r="CT26" s="12">
        <f>IF('Données projet'!$A$140&gt;35,CT25+CS26-DB25,IF(A26&lt;'Données projet'!$A$140,$CQ$205^A26,IF(A26='Données projet'!$A$140,'Données projet'!$B$140,CT25+CS26-DB25)))</f>
        <v>156.20000000000002</v>
      </c>
      <c r="CU26" s="17">
        <f>CT26*VLOOKUP('Données projet'!$B$13,Paramètres!$A$1:$I$89,3,0)*VLOOKUP('Données projet'!$B$13,Paramètres!$A$1:$I$89,5,0)</f>
        <v>141.32976000000002</v>
      </c>
      <c r="CV26" s="13">
        <f t="shared" si="41"/>
        <v>36.601467030988793</v>
      </c>
      <c r="CW26" s="20">
        <f t="shared" si="13"/>
        <v>309.89688707897216</v>
      </c>
      <c r="CX26" s="59">
        <f t="shared" si="14"/>
        <v>594.67466485674993</v>
      </c>
      <c r="CY26" s="59">
        <f ca="1">AVERAGE(OFFSET($CX$3,0,0,'Données projet'!$E$13+1,1))-AVERAGE(OFFSET($H$3,0,0,'Données projet'!$E$13+1,1))</f>
        <v>302.6937347295995</v>
      </c>
      <c r="CZ26" s="59">
        <f t="shared" si="42"/>
        <v>423.44006663873375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29.865430439052108</v>
      </c>
      <c r="DQ26" s="13">
        <f t="shared" si="43"/>
        <v>9.2685372033776563</v>
      </c>
      <c r="DR26" s="20">
        <f t="shared" si="16"/>
        <v>68.158326977231852</v>
      </c>
      <c r="DS26" s="59">
        <f t="shared" si="17"/>
        <v>352.93610475500964</v>
      </c>
      <c r="DT26" s="59">
        <f ca="1">AVERAGE(OFFSET($DS$3,0,0,'Données projet'!$E$14+1,1))-AVERAGE(OFFSET($H$3,0,0,'Données projet'!$E$14+1,1))</f>
        <v>366.51581861366333</v>
      </c>
      <c r="DU26" s="59">
        <f t="shared" si="44"/>
        <v>225.01415116995503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444.44552325658151</v>
      </c>
      <c r="EO26" s="59">
        <f ca="1">AVERAGE(OFFSET($EN$3,0,0,'Données projet'!$E$15+1,1))-AVERAGE(OFFSET($H$3,0,0,'Données projet'!$E$15+1,1))</f>
        <v>288.80569134263209</v>
      </c>
      <c r="EP26" s="59">
        <f t="shared" si="46"/>
        <v>283.48738729114024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4.2479874404423397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4.2479874404423397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19.071794871794875</v>
      </c>
      <c r="FE26" s="12">
        <f>IF('Données projet'!$A$218&gt;35,FE25+FD26-FM25,IF(A26&lt;'Données projet'!$A$218,$FB$205^A26,IF(A26='Données projet'!$A$218,'Données projet'!$B$218,FE25+FD26-FM25)))</f>
        <v>192.20000000000002</v>
      </c>
      <c r="FF26" s="17">
        <f>FE26*VLOOKUP('Données projet'!$B$16,Paramètres!$A$1:$I$89,3,0)*VLOOKUP('Données projet'!$B$16,Paramètres!$A$1:$I$89,5,0)</f>
        <v>114.93560000000001</v>
      </c>
      <c r="FG26" s="13">
        <f t="shared" si="47"/>
        <v>30.49086327624272</v>
      </c>
      <c r="FH26" s="20">
        <f t="shared" si="22"/>
        <v>253.28442353945601</v>
      </c>
      <c r="FI26" s="59">
        <f t="shared" si="23"/>
        <v>538.06220131723376</v>
      </c>
      <c r="FJ26" s="59">
        <f ca="1">AVERAGE(OFFSET($FI$3,0,0,'Données projet'!$E$16+1,1))-AVERAGE(OFFSET($H$3,0,0,'Données projet'!$E$16+1,1))</f>
        <v>323.17232038705157</v>
      </c>
      <c r="FK26" s="59">
        <f t="shared" si="48"/>
        <v>402.34685738619197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16.86858784460431</v>
      </c>
      <c r="FS26" s="21">
        <f>EXP(-LN(2)/2)*FS25+(1-EXP(-LN(2)/2))/(LN(2)/2)*FM26*FP26*VLOOKUP('Données projet'!$B$16,Paramètres!$A$1:$I$89,3,0)*0.475*44/12</f>
        <v>6.0588786030110651</v>
      </c>
      <c r="FT26" s="22">
        <f t="shared" si="24"/>
        <v>22.927466447615373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10.6</v>
      </c>
      <c r="FZ26" s="12">
        <f>IF('Données projet'!$A$244&gt;35,FZ25+FY26-GH25,IF(A26&lt;'Données projet'!$A$244,$FW$205^A26,IF(A26='Données projet'!$A$244,'Données projet'!$B$244,FZ25+FY26-GH25)))</f>
        <v>91.799999999999969</v>
      </c>
      <c r="GA26" s="17">
        <f>FZ26*VLOOKUP('Données projet'!$B$17,Paramètres!$A$1:$I$89,3,0)*VLOOKUP('Données projet'!$B$17,Paramètres!$A$1:$I$89,5,0)</f>
        <v>74.468159999999969</v>
      </c>
      <c r="GB26" s="13">
        <f t="shared" si="49"/>
        <v>20.779031790461993</v>
      </c>
      <c r="GC26" s="20">
        <f t="shared" si="25"/>
        <v>165.88885903505457</v>
      </c>
      <c r="GD26" s="59">
        <f t="shared" si="26"/>
        <v>450.66663681283234</v>
      </c>
      <c r="GE26" s="59">
        <f ca="1">AVERAGE(OFFSET($GD$3,0,0,'Données projet'!$E$17+1,1))-AVERAGE(OFFSET($H$3,0,0,'Données projet'!$E$17+1,1))</f>
        <v>298.96480270023716</v>
      </c>
      <c r="GF26" s="59">
        <f t="shared" si="50"/>
        <v>293.11447542333889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5.4453271562135308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5.4453271562135308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12.908974358974362</v>
      </c>
      <c r="GU26" s="12">
        <f>IF('Données projet'!$A$270&gt;35,GU25+GT26-HC25,IF(A26&lt;'Données projet'!$A$270,$GR$205^A26,IF(A26='Données projet'!$A$270,'Données projet'!$B$270,GU25+GT26-HC25)))</f>
        <v>149.66794871794872</v>
      </c>
      <c r="GV26" s="17">
        <f>GU26*VLOOKUP('Données projet'!$B$18,Paramètres!$A$1:$I$89,3,0)*VLOOKUP('Données projet'!$B$18,Paramètres!$A$1:$I$89,5,0)</f>
        <v>85.610066666666668</v>
      </c>
      <c r="GW26" s="13">
        <f t="shared" si="51"/>
        <v>23.503417181104801</v>
      </c>
      <c r="GX26" s="20">
        <f t="shared" si="28"/>
        <v>190.03931770153531</v>
      </c>
      <c r="GY26" s="59">
        <f t="shared" si="29"/>
        <v>474.81709547931308</v>
      </c>
      <c r="GZ26" s="59">
        <f ca="1">AVERAGE(OFFSET($GY$3,0,0,'Données projet'!$E$18+1,1))-AVERAGE(OFFSET($H$3,0,0,'Données projet'!$E$18+1,1))</f>
        <v>320.76883487964511</v>
      </c>
      <c r="HA26" s="59">
        <f t="shared" si="52"/>
        <v>290.51177680335746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8.7457360475413441</v>
      </c>
      <c r="HI26" s="21">
        <f>EXP(-LN(2)/2)*HI25+(1-EXP(-LN(2)/2))/(LN(2)/2)*HC26*HF26*VLOOKUP('Données projet'!$B$18,Paramètres!$A$1:$I$89,3,0)*0.475*44/12</f>
        <v>2.657051991452994</v>
      </c>
      <c r="HJ26" s="22">
        <f t="shared" si="30"/>
        <v>11.402788038994338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47.293022204154973</v>
      </c>
      <c r="AK27" s="13">
        <f t="shared" si="35"/>
        <v>13.912422373299071</v>
      </c>
      <c r="AL27" s="20">
        <f t="shared" si="4"/>
        <v>106.5994826390658</v>
      </c>
      <c r="AM27" s="59">
        <f t="shared" si="5"/>
        <v>392.5994826390658</v>
      </c>
      <c r="AN27" s="59">
        <f ca="1">AVERAGE(OFFSET($AM$3,0,0,'Données projet'!$E$10+1,1))-AVERAGE(OFFSET($H$3,0,0,'Données projet'!$E$10+1,1))</f>
        <v>425.47148407510412</v>
      </c>
      <c r="AO27" s="59">
        <f t="shared" si="36"/>
        <v>308.54448799922471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</v>
      </c>
      <c r="BD27" s="12">
        <f>IF('Données projet'!$A$88&gt;35,BD26+BC27-BL26,IF(A27&lt;'Données projet'!$A$88,$BA$205^A27,IF(A27='Données projet'!$A$88,'Données projet'!$B$88,BD26+BC27-BL26)))</f>
        <v>90</v>
      </c>
      <c r="BE27" s="13">
        <f>BD27*VLOOKUP('Données projet'!$B$11,Paramètres!$A$1:$I$89,3,0)*VLOOKUP('Données projet'!$B$11,Paramètres!$A$1:$I$89,5,0)</f>
        <v>78.624000000000009</v>
      </c>
      <c r="BF27" s="13">
        <f t="shared" si="37"/>
        <v>21.800406010684462</v>
      </c>
      <c r="BG27" s="20">
        <f t="shared" si="7"/>
        <v>174.90584046860877</v>
      </c>
      <c r="BH27" s="59">
        <f t="shared" si="8"/>
        <v>460.90584046860874</v>
      </c>
      <c r="BI27" s="59">
        <f ca="1">AVERAGE(OFFSET($BH$3,0,0,'Données projet'!$E$11+1,1))-AVERAGE(OFFSET($H$3,0,0,'Données projet'!$E$11+1,1))</f>
        <v>300.63505444445104</v>
      </c>
      <c r="BJ27" s="59">
        <f t="shared" si="38"/>
        <v>266.32508105927997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34.109426979777368</v>
      </c>
      <c r="CA27" s="13">
        <f t="shared" si="39"/>
        <v>10.423172026402712</v>
      </c>
      <c r="CB27" s="20">
        <f t="shared" si="10"/>
        <v>77.560943269096967</v>
      </c>
      <c r="CC27" s="59">
        <f t="shared" si="11"/>
        <v>363.56094326909698</v>
      </c>
      <c r="CD27" s="59">
        <f ca="1">AVERAGE(OFFSET($CC$3,0,0,'Données projet'!$E$12+1,1))-AVERAGE(OFFSET($H$3,0,0,'Données projet'!$E$12+1,1))</f>
        <v>361.26385625423757</v>
      </c>
      <c r="CE27" s="59">
        <f t="shared" si="40"/>
        <v>222.05197404028576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8.4</v>
      </c>
      <c r="CT27" s="12">
        <f>IF('Données projet'!$A$140&gt;35,CT26+CS27-DB26,IF(A27&lt;'Données projet'!$A$140,$CQ$205^A27,IF(A27='Données projet'!$A$140,'Données projet'!$B$140,CT26+CS27-DB26)))</f>
        <v>164.60000000000002</v>
      </c>
      <c r="CU27" s="17">
        <f>CT27*VLOOKUP('Données projet'!$B$13,Paramètres!$A$1:$I$89,3,0)*VLOOKUP('Données projet'!$B$13,Paramètres!$A$1:$I$89,5,0)</f>
        <v>148.93008</v>
      </c>
      <c r="CV27" s="13">
        <f t="shared" si="41"/>
        <v>38.335341256889777</v>
      </c>
      <c r="CW27" s="20">
        <f t="shared" si="13"/>
        <v>326.1539420224164</v>
      </c>
      <c r="CX27" s="59">
        <f t="shared" si="14"/>
        <v>612.15394202241646</v>
      </c>
      <c r="CY27" s="59">
        <f ca="1">AVERAGE(OFFSET($CX$3,0,0,'Données projet'!$E$13+1,1))-AVERAGE(OFFSET($H$3,0,0,'Données projet'!$E$13+1,1))</f>
        <v>302.6937347295995</v>
      </c>
      <c r="CZ27" s="59">
        <f t="shared" si="42"/>
        <v>423.44006663873375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34.668597913872084</v>
      </c>
      <c r="DQ27" s="13">
        <f t="shared" si="43"/>
        <v>10.57401105565104</v>
      </c>
      <c r="DR27" s="20">
        <f t="shared" si="16"/>
        <v>78.797543955252777</v>
      </c>
      <c r="DS27" s="59">
        <f t="shared" si="17"/>
        <v>364.79754395525276</v>
      </c>
      <c r="DT27" s="59">
        <f ca="1">AVERAGE(OFFSET($DS$3,0,0,'Données projet'!$E$14+1,1))-AVERAGE(OFFSET($H$3,0,0,'Données projet'!$E$14+1,1))</f>
        <v>366.51581861366333</v>
      </c>
      <c r="DU27" s="59">
        <f t="shared" si="44"/>
        <v>225.01415116995503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463.61148225294482</v>
      </c>
      <c r="EO27" s="59">
        <f ca="1">AVERAGE(OFFSET($EN$3,0,0,'Données projet'!$E$15+1,1))-AVERAGE(OFFSET($H$3,0,0,'Données projet'!$E$15+1,1))</f>
        <v>288.80569134263209</v>
      </c>
      <c r="EP27" s="59">
        <f t="shared" si="46"/>
        <v>283.48738729114024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4.1318260004914933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4.1318260004914933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19.071794871794875</v>
      </c>
      <c r="FE27" s="12">
        <f>IF('Données projet'!$A$218&gt;35,FE26+FD27-FM26,IF(A27&lt;'Données projet'!$A$218,$FB$205^A27,IF(A27='Données projet'!$A$218,'Données projet'!$B$218,FE26+FD27-FM26)))</f>
        <v>211.2717948717949</v>
      </c>
      <c r="FF27" s="17">
        <f>FE27*VLOOKUP('Données projet'!$B$16,Paramètres!$A$1:$I$89,3,0)*VLOOKUP('Données projet'!$B$16,Paramètres!$A$1:$I$89,5,0)</f>
        <v>126.34053333333337</v>
      </c>
      <c r="FG27" s="13">
        <f t="shared" si="47"/>
        <v>33.149363946532553</v>
      </c>
      <c r="FH27" s="20">
        <f t="shared" si="22"/>
        <v>277.77823776243309</v>
      </c>
      <c r="FI27" s="59">
        <f t="shared" si="23"/>
        <v>563.77823776243304</v>
      </c>
      <c r="FJ27" s="59">
        <f ca="1">AVERAGE(OFFSET($FI$3,0,0,'Données projet'!$E$16+1,1))-AVERAGE(OFFSET($H$3,0,0,'Données projet'!$E$16+1,1))</f>
        <v>323.17232038705157</v>
      </c>
      <c r="FK27" s="59">
        <f t="shared" si="48"/>
        <v>402.34685738619197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16.407315422913126</v>
      </c>
      <c r="FS27" s="21">
        <f>EXP(-LN(2)/2)*FS26+(1-EXP(-LN(2)/2))/(LN(2)/2)*FM27*FP27*VLOOKUP('Données projet'!$B$16,Paramètres!$A$1:$I$89,3,0)*0.475*44/12</f>
        <v>4.2842741465751999</v>
      </c>
      <c r="FT27" s="22">
        <f t="shared" si="24"/>
        <v>20.691589569488325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10.6</v>
      </c>
      <c r="FZ27" s="12">
        <f>IF('Données projet'!$A$244&gt;35,FZ26+FY27-GH26,IF(A27&lt;'Données projet'!$A$244,$FW$205^A27,IF(A27='Données projet'!$A$244,'Données projet'!$B$244,FZ26+FY27-GH26)))</f>
        <v>102.39999999999996</v>
      </c>
      <c r="GA27" s="17">
        <f>FZ27*VLOOKUP('Données projet'!$B$17,Paramètres!$A$1:$I$89,3,0)*VLOOKUP('Données projet'!$B$17,Paramètres!$A$1:$I$89,5,0)</f>
        <v>83.066879999999983</v>
      </c>
      <c r="GB27" s="13">
        <f t="shared" si="49"/>
        <v>22.88540255569357</v>
      </c>
      <c r="GC27" s="20">
        <f t="shared" si="25"/>
        <v>184.5335587844996</v>
      </c>
      <c r="GD27" s="59">
        <f t="shared" si="26"/>
        <v>470.53355878449963</v>
      </c>
      <c r="GE27" s="59">
        <f ca="1">AVERAGE(OFFSET($GD$3,0,0,'Données projet'!$E$17+1,1))-AVERAGE(OFFSET($H$3,0,0,'Données projet'!$E$17+1,1))</f>
        <v>298.96480270023716</v>
      </c>
      <c r="GF27" s="59">
        <f t="shared" si="50"/>
        <v>293.11447542333889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5.2964243987695623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5.2964243987695623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>
        <f>VLOOKUP(A27,'Données projet'!$A$269:$I$289,2,0)</f>
        <v>162.57692307692309</v>
      </c>
      <c r="GS27" s="12">
        <f>VLOOKUP(A27,'Données projet'!$A$269:$I$289,9,0)</f>
        <v>12.908974358974362</v>
      </c>
      <c r="GT27" s="12">
        <f t="array" ref="GT27">INDEX(GS:GS,MIN(IF(ISNUMBER(GS27:GS223),ROW(GS27:GS223),"")))</f>
        <v>12.908974358974362</v>
      </c>
      <c r="GU27" s="12">
        <f>IF('Données projet'!$A$270&gt;35,GU26+GT27-HC26,IF(A27&lt;'Données projet'!$A$270,$GR$205^A27,IF(A27='Données projet'!$A$270,'Données projet'!$B$270,GU26+GT27-HC26)))</f>
        <v>162.57692307692309</v>
      </c>
      <c r="GV27" s="17">
        <f>GU27*VLOOKUP('Données projet'!$B$18,Paramètres!$A$1:$I$89,3,0)*VLOOKUP('Données projet'!$B$18,Paramètres!$A$1:$I$89,5,0)</f>
        <v>92.994</v>
      </c>
      <c r="GW27" s="13">
        <f t="shared" si="51"/>
        <v>25.285924672357144</v>
      </c>
      <c r="GX27" s="20">
        <f t="shared" si="28"/>
        <v>206.00420213768868</v>
      </c>
      <c r="GY27" s="59">
        <f t="shared" si="29"/>
        <v>492.00420213768871</v>
      </c>
      <c r="GZ27" s="59">
        <f ca="1">AVERAGE(OFFSET($GY$3,0,0,'Données projet'!$E$18+1,1))-AVERAGE(OFFSET($H$3,0,0,'Données projet'!$E$18+1,1))</f>
        <v>320.76883487964511</v>
      </c>
      <c r="HA27" s="59">
        <f t="shared" si="52"/>
        <v>290.51177680335746</v>
      </c>
      <c r="HB27" s="15">
        <f>IF(ISNA(VLOOKUP(A27,'Données projet'!$A$269:$I$289,3,0)),0,VLOOKUP(A27,'Données projet'!$A$269:$I$289,3,0))</f>
        <v>2</v>
      </c>
      <c r="HC27" s="15">
        <f>IF(ISNA(VLOOKUP(A27,'Données projet'!$A$269:$I$289,4,0)),0,VLOOKUP(A27,'Données projet'!$A$269:$I$289,4,0))</f>
        <v>36.723076923076924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0.25200000000000006</v>
      </c>
      <c r="HF27" s="16">
        <f>IF(ISNA(VLOOKUP(A27,'Données projet'!$A$269:$I$289,7,0)),0%,VLOOKUP(A27,'Données projet'!$A$269:$I$289,7,0))</f>
        <v>0.44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15.500986090375781</v>
      </c>
      <c r="HI27" s="21">
        <f>EXP(-LN(2)/2)*HI26+(1-EXP(-LN(2)/2))/(LN(2)/2)*HC27*HF27*VLOOKUP('Données projet'!$B$18,Paramètres!$A$1:$I$89,3,0)*0.475*44/12</f>
        <v>12.343435730647283</v>
      </c>
      <c r="HJ27" s="22">
        <f t="shared" si="30"/>
        <v>27.844421821023062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55.504564275003808</v>
      </c>
      <c r="AK28" s="13">
        <f t="shared" si="35"/>
        <v>16.026581711739372</v>
      </c>
      <c r="AL28" s="20">
        <f t="shared" si="4"/>
        <v>124.58341259357769</v>
      </c>
      <c r="AM28" s="59">
        <f t="shared" si="5"/>
        <v>411.80563481579992</v>
      </c>
      <c r="AN28" s="59">
        <f ca="1">AVERAGE(OFFSET($AM$3,0,0,'Données projet'!$E$10+1,1))-AVERAGE(OFFSET($H$3,0,0,'Données projet'!$E$10+1,1))</f>
        <v>425.47148407510412</v>
      </c>
      <c r="AO28" s="59">
        <f t="shared" si="36"/>
        <v>308.54448799922471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98</v>
      </c>
      <c r="BB28" s="12">
        <f>VLOOKUP(A28,'Données projet'!$A$87:$I$107,9,0)</f>
        <v>8</v>
      </c>
      <c r="BC28" s="12">
        <f t="array" ref="BC28">INDEX(BB:BB,MIN(IF(ISNUMBER(BB28:BB224),ROW(BB28:BB224),"")))</f>
        <v>8</v>
      </c>
      <c r="BD28" s="12">
        <f>IF('Données projet'!$A$88&gt;35,BD27+BC28-BL27,IF(A28&lt;'Données projet'!$A$88,$BA$205^A28,IF(A28='Données projet'!$A$88,'Données projet'!$B$88,BD27+BC28-BL27)))</f>
        <v>98</v>
      </c>
      <c r="BE28" s="13">
        <f>BD28*VLOOKUP('Données projet'!$B$11,Paramètres!$A$1:$I$89,3,0)*VLOOKUP('Données projet'!$B$11,Paramètres!$A$1:$I$89,5,0)</f>
        <v>85.612800000000007</v>
      </c>
      <c r="BF28" s="13">
        <f t="shared" si="37"/>
        <v>23.504080242391282</v>
      </c>
      <c r="BG28" s="20">
        <f t="shared" si="7"/>
        <v>190.04523308883151</v>
      </c>
      <c r="BH28" s="59">
        <f t="shared" si="8"/>
        <v>477.26745531105371</v>
      </c>
      <c r="BI28" s="59">
        <f ca="1">AVERAGE(OFFSET($BH$3,0,0,'Données projet'!$E$11+1,1))-AVERAGE(OFFSET($H$3,0,0,'Données projet'!$E$11+1,1))</f>
        <v>300.63505444445104</v>
      </c>
      <c r="BJ28" s="59">
        <f t="shared" si="38"/>
        <v>266.32508105927997</v>
      </c>
      <c r="BK28" s="15">
        <f>IF(ISNA(VLOOKUP(A28,'Données projet'!$A$87:$I$107,3,0)),0,VLOOKUP(A28,'Données projet'!$A$87:$I$107,3,0))</f>
        <v>2</v>
      </c>
      <c r="BL28" s="15" t="str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39.595143671132497</v>
      </c>
      <c r="CA28" s="13">
        <f t="shared" si="39"/>
        <v>11.891276241732113</v>
      </c>
      <c r="CB28" s="20">
        <f t="shared" si="10"/>
        <v>89.672181348239192</v>
      </c>
      <c r="CC28" s="59">
        <f t="shared" si="11"/>
        <v>376.89440357046141</v>
      </c>
      <c r="CD28" s="59">
        <f ca="1">AVERAGE(OFFSET($CC$3,0,0,'Données projet'!$E$12+1,1))-AVERAGE(OFFSET($H$3,0,0,'Données projet'!$E$12+1,1))</f>
        <v>361.26385625423757</v>
      </c>
      <c r="CE28" s="59">
        <f t="shared" si="40"/>
        <v>222.05197404028576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173</v>
      </c>
      <c r="CR28" s="12">
        <f>VLOOKUP(A28,'Données projet'!$A$139:$I$159,9,0)</f>
        <v>8.4</v>
      </c>
      <c r="CS28" s="12">
        <f t="array" ref="CS28">INDEX(CR:CR,MIN(IF(ISNUMBER(CR28:CR224),ROW(CR28:CR224),"")))</f>
        <v>8.4</v>
      </c>
      <c r="CT28" s="12">
        <f>IF('Données projet'!$A$140&gt;35,CT27+CS28-DB27,IF(A28&lt;'Données projet'!$A$140,$CQ$205^A28,IF(A28='Données projet'!$A$140,'Données projet'!$B$140,CT27+CS28-DB27)))</f>
        <v>173.00000000000003</v>
      </c>
      <c r="CU28" s="17">
        <f>CT28*VLOOKUP('Données projet'!$B$13,Paramètres!$A$1:$I$89,3,0)*VLOOKUP('Données projet'!$B$13,Paramètres!$A$1:$I$89,5,0)</f>
        <v>156.53040000000001</v>
      </c>
      <c r="CV28" s="13">
        <f t="shared" si="41"/>
        <v>40.058941713182037</v>
      </c>
      <c r="CW28" s="20">
        <f t="shared" si="13"/>
        <v>342.39310348379212</v>
      </c>
      <c r="CX28" s="59">
        <f t="shared" si="14"/>
        <v>629.61532570601435</v>
      </c>
      <c r="CY28" s="59">
        <f ca="1">AVERAGE(OFFSET($CX$3,0,0,'Données projet'!$E$13+1,1))-AVERAGE(OFFSET($H$3,0,0,'Données projet'!$E$13+1,1))</f>
        <v>302.6937347295995</v>
      </c>
      <c r="CZ28" s="59">
        <f t="shared" si="42"/>
        <v>423.44006663873375</v>
      </c>
      <c r="DA28" s="15">
        <f>IF(ISNA(VLOOKUP(A28,'Données projet'!$A$139:$I$159,3,0)),0,VLOOKUP(A28,'Données projet'!$A$139:$I$159,3,0))</f>
        <v>5</v>
      </c>
      <c r="DB28" s="15">
        <f>IF(ISNA(VLOOKUP(A28,'Données projet'!$A$139:$I$159,4,0)),0,VLOOKUP(A28,'Données projet'!$A$139:$I$159,4,0))</f>
        <v>11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40.244244387052703</v>
      </c>
      <c r="DQ28" s="13">
        <f t="shared" si="43"/>
        <v>12.063360954551117</v>
      </c>
      <c r="DR28" s="20">
        <f t="shared" si="16"/>
        <v>91.102412636626653</v>
      </c>
      <c r="DS28" s="59">
        <f t="shared" si="17"/>
        <v>378.32463485884887</v>
      </c>
      <c r="DT28" s="59">
        <f ca="1">AVERAGE(OFFSET($DS$3,0,0,'Données projet'!$E$14+1,1))-AVERAGE(OFFSET($H$3,0,0,'Données projet'!$E$14+1,1))</f>
        <v>366.51581861366333</v>
      </c>
      <c r="DU28" s="59">
        <f t="shared" si="44"/>
        <v>225.01415116995503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482.73491931806075</v>
      </c>
      <c r="EO28" s="59">
        <f ca="1">AVERAGE(OFFSET($EN$3,0,0,'Données projet'!$E$15+1,1))-AVERAGE(OFFSET($H$3,0,0,'Données projet'!$E$15+1,1))</f>
        <v>288.80569134263209</v>
      </c>
      <c r="EP28" s="59">
        <f t="shared" si="46"/>
        <v>283.48738729114024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9.0045919320944172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9.0045919320944172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19.071794871794875</v>
      </c>
      <c r="FE28" s="12">
        <f>IF('Données projet'!$A$218&gt;35,FE27+FD28-FM27,IF(A28&lt;'Données projet'!$A$218,$FB$205^A28,IF(A28='Données projet'!$A$218,'Données projet'!$B$218,FE27+FD28-FM27)))</f>
        <v>230.34358974358977</v>
      </c>
      <c r="FF28" s="17">
        <f>FE28*VLOOKUP('Données projet'!$B$16,Paramètres!$A$1:$I$89,3,0)*VLOOKUP('Données projet'!$B$16,Paramètres!$A$1:$I$89,5,0)</f>
        <v>137.74546666666669</v>
      </c>
      <c r="FG28" s="13">
        <f t="shared" si="47"/>
        <v>35.780036573255778</v>
      </c>
      <c r="FH28" s="20">
        <f t="shared" si="22"/>
        <v>302.22358480953159</v>
      </c>
      <c r="FI28" s="59">
        <f t="shared" si="23"/>
        <v>589.44580703175382</v>
      </c>
      <c r="FJ28" s="59">
        <f ca="1">AVERAGE(OFFSET($FI$3,0,0,'Données projet'!$E$16+1,1))-AVERAGE(OFFSET($H$3,0,0,'Données projet'!$E$16+1,1))</f>
        <v>323.17232038705157</v>
      </c>
      <c r="FK28" s="59">
        <f t="shared" si="48"/>
        <v>402.34685738619197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15.958656519850347</v>
      </c>
      <c r="FS28" s="21">
        <f>EXP(-LN(2)/2)*FS27+(1-EXP(-LN(2)/2))/(LN(2)/2)*FM28*FP28*VLOOKUP('Données projet'!$B$16,Paramètres!$A$1:$I$89,3,0)*0.475*44/12</f>
        <v>3.0294393015055325</v>
      </c>
      <c r="FT28" s="22">
        <f t="shared" si="24"/>
        <v>18.988095821355881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113</v>
      </c>
      <c r="FX28" s="12">
        <f>VLOOKUP(A28,'Données projet'!$A$243:$I$263,9,0)</f>
        <v>10.6</v>
      </c>
      <c r="FY28" s="12">
        <f t="array" ref="FY28">INDEX(FX:FX,MIN(IF(ISNUMBER(FX28:FX224),ROW(FX28:FX224),"")))</f>
        <v>10.6</v>
      </c>
      <c r="FZ28" s="12">
        <f>IF('Données projet'!$A$244&gt;35,FZ27+FY28-GH27,IF(A28&lt;'Données projet'!$A$244,$FW$205^A28,IF(A28='Données projet'!$A$244,'Données projet'!$B$244,FZ27+FY28-GH27)))</f>
        <v>112.99999999999996</v>
      </c>
      <c r="GA28" s="17">
        <f>FZ28*VLOOKUP('Données projet'!$B$17,Paramètres!$A$1:$I$89,3,0)*VLOOKUP('Données projet'!$B$17,Paramètres!$A$1:$I$89,5,0)</f>
        <v>91.665599999999969</v>
      </c>
      <c r="GB28" s="13">
        <f t="shared" si="49"/>
        <v>24.966497888207439</v>
      </c>
      <c r="GC28" s="20">
        <f t="shared" si="25"/>
        <v>203.13423715529458</v>
      </c>
      <c r="GD28" s="59">
        <f t="shared" si="26"/>
        <v>490.35645937751679</v>
      </c>
      <c r="GE28" s="59">
        <f ca="1">AVERAGE(OFFSET($GD$3,0,0,'Données projet'!$E$17+1,1))-AVERAGE(OFFSET($H$3,0,0,'Données projet'!$E$17+1,1))</f>
        <v>298.96480270023716</v>
      </c>
      <c r="GF28" s="59">
        <f t="shared" si="50"/>
        <v>293.11447542333889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27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0.26500000000000001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11.542630402256847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11.542630402256847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12.589743589743586</v>
      </c>
      <c r="GU28" s="12">
        <f>IF('Données projet'!$A$270&gt;35,GU27+GT28-HC27,IF(A28&lt;'Données projet'!$A$270,$GR$205^A28,IF(A28='Données projet'!$A$270,'Données projet'!$B$270,GU27+GT28-HC27)))</f>
        <v>138.44358974358977</v>
      </c>
      <c r="GV28" s="17">
        <f>GU28*VLOOKUP('Données projet'!$B$18,Paramètres!$A$1:$I$89,3,0)*VLOOKUP('Données projet'!$B$18,Paramètres!$A$1:$I$89,5,0)</f>
        <v>79.189733333333351</v>
      </c>
      <c r="GW28" s="13">
        <f t="shared" si="51"/>
        <v>21.938952491485786</v>
      </c>
      <c r="GX28" s="20">
        <f t="shared" si="28"/>
        <v>176.13246114489334</v>
      </c>
      <c r="GY28" s="59">
        <f t="shared" si="29"/>
        <v>463.35468336711557</v>
      </c>
      <c r="GZ28" s="59">
        <f ca="1">AVERAGE(OFFSET($GY$3,0,0,'Données projet'!$E$18+1,1))-AVERAGE(OFFSET($H$3,0,0,'Données projet'!$E$18+1,1))</f>
        <v>320.76883487964511</v>
      </c>
      <c r="HA28" s="59">
        <f t="shared" si="52"/>
        <v>290.51177680335746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15.077110810573025</v>
      </c>
      <c r="HI28" s="21">
        <f>EXP(-LN(2)/2)*HI27+(1-EXP(-LN(2)/2))/(LN(2)/2)*HC28*HF28*VLOOKUP('Données projet'!$B$18,Paramètres!$A$1:$I$89,3,0)*0.475*44/12</f>
        <v>8.7281271082810203</v>
      </c>
      <c r="HJ28" s="22">
        <f t="shared" si="30"/>
        <v>23.805237918854047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65.141885880309971</v>
      </c>
      <c r="AK29" s="13">
        <f t="shared" si="35"/>
        <v>18.462012902656809</v>
      </c>
      <c r="AL29" s="20">
        <f t="shared" si="4"/>
        <v>145.61012371366715</v>
      </c>
      <c r="AM29" s="59">
        <f t="shared" si="5"/>
        <v>434.05456815811158</v>
      </c>
      <c r="AN29" s="59">
        <f ca="1">AVERAGE(OFFSET($AM$3,0,0,'Données projet'!$E$10+1,1))-AVERAGE(OFFSET($H$3,0,0,'Données projet'!$E$10+1,1))</f>
        <v>425.47148407510412</v>
      </c>
      <c r="AO29" s="59">
        <f t="shared" si="36"/>
        <v>308.54448799922471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</v>
      </c>
      <c r="BD29" s="12">
        <f>IF('Données projet'!$A$88&gt;35,BD28+BC29-BL28,IF(A29&lt;'Données projet'!$A$88,$BA$205^A29,IF(A29='Données projet'!$A$88,'Données projet'!$B$88,BD28+BC29-BL28)))</f>
        <v>87</v>
      </c>
      <c r="BE29" s="13">
        <f>BD29*VLOOKUP('Données projet'!$B$11,Paramètres!$A$1:$I$89,3,0)*VLOOKUP('Données projet'!$B$11,Paramètres!$A$1:$I$89,5,0)</f>
        <v>76.003200000000007</v>
      </c>
      <c r="BF29" s="13">
        <f t="shared" si="37"/>
        <v>21.157049992000456</v>
      </c>
      <c r="BG29" s="20">
        <f t="shared" si="7"/>
        <v>169.22076873606747</v>
      </c>
      <c r="BH29" s="59">
        <f t="shared" si="8"/>
        <v>457.66521318051196</v>
      </c>
      <c r="BI29" s="59">
        <f ca="1">AVERAGE(OFFSET($BH$3,0,0,'Données projet'!$E$11+1,1))-AVERAGE(OFFSET($H$3,0,0,'Données projet'!$E$11+1,1))</f>
        <v>300.63505444445104</v>
      </c>
      <c r="BJ29" s="59">
        <f t="shared" si="38"/>
        <v>266.32508105927997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45.963111701264246</v>
      </c>
      <c r="CA29" s="13">
        <f t="shared" si="39"/>
        <v>13.566162997118258</v>
      </c>
      <c r="CB29" s="20">
        <f t="shared" si="10"/>
        <v>103.68015343301619</v>
      </c>
      <c r="CC29" s="59">
        <f t="shared" si="11"/>
        <v>392.12459787746064</v>
      </c>
      <c r="CD29" s="59">
        <f ca="1">AVERAGE(OFFSET($CC$3,0,0,'Données projet'!$E$12+1,1))-AVERAGE(OFFSET($H$3,0,0,'Données projet'!$E$12+1,1))</f>
        <v>361.26385625423757</v>
      </c>
      <c r="CE29" s="59">
        <f t="shared" si="40"/>
        <v>222.05197404028576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6.8</v>
      </c>
      <c r="CT29" s="12">
        <f>IF('Données projet'!$A$140&gt;35,CT28+CS29-DB28,IF(A29&lt;'Données projet'!$A$140,$CQ$205^A29,IF(A29='Données projet'!$A$140,'Données projet'!$B$140,CT28+CS29-DB28)))</f>
        <v>168.80000000000004</v>
      </c>
      <c r="CU29" s="17">
        <f>CT29*VLOOKUP('Données projet'!$B$13,Paramètres!$A$1:$I$89,3,0)*VLOOKUP('Données projet'!$B$13,Paramètres!$A$1:$I$89,5,0)</f>
        <v>152.73024000000001</v>
      </c>
      <c r="CV29" s="13">
        <f t="shared" si="41"/>
        <v>39.198389597047516</v>
      </c>
      <c r="CW29" s="20">
        <f t="shared" si="13"/>
        <v>334.27569654819109</v>
      </c>
      <c r="CX29" s="59">
        <f t="shared" si="14"/>
        <v>622.72014099263561</v>
      </c>
      <c r="CY29" s="59">
        <f ca="1">AVERAGE(OFFSET($CX$3,0,0,'Données projet'!$E$13+1,1))-AVERAGE(OFFSET($H$3,0,0,'Données projet'!$E$13+1,1))</f>
        <v>302.6937347295995</v>
      </c>
      <c r="CZ29" s="59">
        <f t="shared" si="42"/>
        <v>423.44006663873375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46.716605335711208</v>
      </c>
      <c r="DQ29" s="13">
        <f t="shared" si="43"/>
        <v>13.762485848926369</v>
      </c>
      <c r="DR29" s="20">
        <f t="shared" si="16"/>
        <v>105.3344171465771</v>
      </c>
      <c r="DS29" s="59">
        <f t="shared" si="17"/>
        <v>393.77886159102155</v>
      </c>
      <c r="DT29" s="59">
        <f ca="1">AVERAGE(OFFSET($DS$3,0,0,'Données projet'!$E$14+1,1))-AVERAGE(OFFSET($H$3,0,0,'Données projet'!$E$14+1,1))</f>
        <v>366.51581861366333</v>
      </c>
      <c r="DU29" s="59">
        <f t="shared" si="44"/>
        <v>225.01415116995503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457.76677132916603</v>
      </c>
      <c r="EO29" s="59">
        <f ca="1">AVERAGE(OFFSET($EN$3,0,0,'Données projet'!$E$15+1,1))-AVERAGE(OFFSET($H$3,0,0,'Données projet'!$E$15+1,1))</f>
        <v>288.80569134263209</v>
      </c>
      <c r="EP29" s="59">
        <f t="shared" si="46"/>
        <v>283.48738729114024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8.7583608921803862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8.7583608921803862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>
        <f>VLOOKUP(A29,'Données projet'!$A$217:$I$237,2,0)</f>
        <v>249.41538461538462</v>
      </c>
      <c r="FC29" s="12">
        <f>VLOOKUP(A29,'Données projet'!$A$217:$I$237,9,0)</f>
        <v>19.071794871794875</v>
      </c>
      <c r="FD29" s="12">
        <f t="array" ref="FD29">INDEX(FC:FC,MIN(IF(ISNUMBER(FC29:FC225),ROW(FC29:FC225),"")))</f>
        <v>19.071794871794875</v>
      </c>
      <c r="FE29" s="12">
        <f>IF('Données projet'!$A$218&gt;35,FE28+FD29-FM28,IF(A29&lt;'Données projet'!$A$218,$FB$205^A29,IF(A29='Données projet'!$A$218,'Données projet'!$B$218,FE28+FD29-FM28)))</f>
        <v>249.41538461538465</v>
      </c>
      <c r="FF29" s="17">
        <f>FE29*VLOOKUP('Données projet'!$B$16,Paramètres!$A$1:$I$89,3,0)*VLOOKUP('Données projet'!$B$16,Paramètres!$A$1:$I$89,5,0)</f>
        <v>149.15040000000002</v>
      </c>
      <c r="FG29" s="13">
        <f t="shared" si="47"/>
        <v>38.385447191571515</v>
      </c>
      <c r="FH29" s="20">
        <f t="shared" si="22"/>
        <v>326.62493385865372</v>
      </c>
      <c r="FI29" s="59">
        <f t="shared" si="23"/>
        <v>615.06937830309812</v>
      </c>
      <c r="FJ29" s="59">
        <f ca="1">AVERAGE(OFFSET($FI$3,0,0,'Données projet'!$E$16+1,1))-AVERAGE(OFFSET($H$3,0,0,'Données projet'!$E$16+1,1))</f>
        <v>323.17232038705157</v>
      </c>
      <c r="FK29" s="59">
        <f t="shared" si="48"/>
        <v>402.34685738619197</v>
      </c>
      <c r="FL29" s="15">
        <f>IF(ISNA(VLOOKUP(A29,'Données projet'!$A$217:$I$237,3,0)),0,VLOOKUP(A29,'Données projet'!$A$217:$I$237,3,0))</f>
        <v>3</v>
      </c>
      <c r="FM29" s="15">
        <f>IF(ISNA(VLOOKUP(A29,'Données projet'!$A$217:$I$237,4,0)),0,VLOOKUP(A29,'Données projet'!$A$217:$I$237,4,0))</f>
        <v>46.984615384615381</v>
      </c>
      <c r="FN29" s="16">
        <f>IF(ISNA(VLOOKUP(A29,'Données projet'!$A$217:$I$237,5,0)),0%,VLOOKUP(A29,'Données projet'!$A$217:$I$237,5,0)*VLOOKUP('Données projet'!$B$16,Paramètres!$A$1:$I$89,7,0))</f>
        <v>0.315</v>
      </c>
      <c r="FO29" s="16">
        <f>IF(ISNA(VLOOKUP(A29,'Données projet'!$A$217:$I$237,6,0)),0%,VLOOKUP(A29,'Données projet'!$A$217:$I$237,6,0)*VLOOKUP('Données projet'!$B$16,Paramètres!$A$1:$I$89,7,0))</f>
        <v>7.5600000000000001E-2</v>
      </c>
      <c r="FP29" s="16">
        <f>IF(ISNA(VLOOKUP(A29,'Données projet'!$A$217:$I$237,7,0)),0%,VLOOKUP(A29,'Données projet'!$A$217:$I$237,7,0))</f>
        <v>0.13200000000000001</v>
      </c>
      <c r="FQ29" s="21">
        <f>EXP(-LN(2)/35)*FQ28+(1-EXP(-LN(2)/35))/(LN(2)/35)*FM29*FN29*VLOOKUP('Données projet'!$B$16,Paramètres!$A$1:$I$89,3,0)*0.475*44/12</f>
        <v>11.740748100352008</v>
      </c>
      <c r="FR29" s="21">
        <f>EXP(-LN(2)/25)*FR28+(1-EXP(-LN(2)/25))/(LN(2)/25)*Calculateur!FM29*Calculateur!FO29*VLOOKUP('Données projet'!$B$16,Paramètres!$A$1:$I$89,3,0)*0.475*44/12</f>
        <v>18.328951090447006</v>
      </c>
      <c r="FS29" s="21">
        <f>EXP(-LN(2)/2)*FS28+(1-EXP(-LN(2)/2))/(LN(2)/2)*FM29*FP29*VLOOKUP('Données projet'!$B$16,Paramètres!$A$1:$I$89,3,0)*0.475*44/12</f>
        <v>6.3413348563502918</v>
      </c>
      <c r="FT29" s="22">
        <f t="shared" si="24"/>
        <v>36.411034047149307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11.5</v>
      </c>
      <c r="FZ29" s="12">
        <f>IF('Données projet'!$A$244&gt;35,FZ28+FY29-GH28,IF(A29&lt;'Données projet'!$A$244,$FW$205^A29,IF(A29='Données projet'!$A$244,'Données projet'!$B$244,FZ28+FY29-GH28)))</f>
        <v>97.499999999999957</v>
      </c>
      <c r="GA29" s="17">
        <f>FZ29*VLOOKUP('Données projet'!$B$17,Paramètres!$A$1:$I$89,3,0)*VLOOKUP('Données projet'!$B$17,Paramètres!$A$1:$I$89,5,0)</f>
        <v>79.09199999999997</v>
      </c>
      <c r="GB29" s="13">
        <f t="shared" si="49"/>
        <v>21.915026131449999</v>
      </c>
      <c r="GC29" s="20">
        <f t="shared" si="25"/>
        <v>175.92057051227536</v>
      </c>
      <c r="GD29" s="59">
        <f t="shared" si="26"/>
        <v>464.36501495671985</v>
      </c>
      <c r="GE29" s="59">
        <f ca="1">AVERAGE(OFFSET($GD$3,0,0,'Données projet'!$E$17+1,1))-AVERAGE(OFFSET($H$3,0,0,'Données projet'!$E$17+1,1))</f>
        <v>298.96480270023716</v>
      </c>
      <c r="GF29" s="59">
        <f t="shared" si="50"/>
        <v>293.11447542333889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11.226996566906582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11.226996566906582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12.589743589743586</v>
      </c>
      <c r="GU29" s="12">
        <f>IF('Données projet'!$A$270&gt;35,GU28+GT29-HC28,IF(A29&lt;'Données projet'!$A$270,$GR$205^A29,IF(A29='Données projet'!$A$270,'Données projet'!$B$270,GU28+GT29-HC28)))</f>
        <v>151.03333333333336</v>
      </c>
      <c r="GV29" s="17">
        <f>GU29*VLOOKUP('Données projet'!$B$18,Paramètres!$A$1:$I$89,3,0)*VLOOKUP('Données projet'!$B$18,Paramètres!$A$1:$I$89,5,0)</f>
        <v>86.391066666666688</v>
      </c>
      <c r="GW29" s="13">
        <f t="shared" si="51"/>
        <v>23.692774914760051</v>
      </c>
      <c r="GX29" s="20">
        <f t="shared" si="28"/>
        <v>191.72935742098488</v>
      </c>
      <c r="GY29" s="59">
        <f t="shared" si="29"/>
        <v>480.17380186542937</v>
      </c>
      <c r="GZ29" s="59">
        <f ca="1">AVERAGE(OFFSET($GY$3,0,0,'Données projet'!$E$18+1,1))-AVERAGE(OFFSET($H$3,0,0,'Données projet'!$E$18+1,1))</f>
        <v>320.76883487964511</v>
      </c>
      <c r="HA29" s="59">
        <f t="shared" si="52"/>
        <v>290.51177680335746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14.664826422587108</v>
      </c>
      <c r="HI29" s="21">
        <f>EXP(-LN(2)/2)*HI28+(1-EXP(-LN(2)/2))/(LN(2)/2)*HC29*HF29*VLOOKUP('Données projet'!$B$18,Paramètres!$A$1:$I$89,3,0)*0.475*44/12</f>
        <v>6.1717178653236413</v>
      </c>
      <c r="HJ29" s="22">
        <f t="shared" si="30"/>
        <v>20.836544287910748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76.452546767480001</v>
      </c>
      <c r="AK30" s="13">
        <f t="shared" si="35"/>
        <v>21.267537054904178</v>
      </c>
      <c r="AL30" s="20">
        <f t="shared" si="4"/>
        <v>170.19581265731912</v>
      </c>
      <c r="AM30" s="59">
        <f t="shared" si="5"/>
        <v>459.86247932398578</v>
      </c>
      <c r="AN30" s="59">
        <f ca="1">AVERAGE(OFFSET($AM$3,0,0,'Données projet'!$E$10+1,1))-AVERAGE(OFFSET($H$3,0,0,'Données projet'!$E$10+1,1))</f>
        <v>425.47148407510412</v>
      </c>
      <c r="AO30" s="59">
        <f t="shared" si="36"/>
        <v>308.54448799922471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</v>
      </c>
      <c r="BD30" s="12">
        <f>IF('Données projet'!$A$88&gt;35,BD29+BC30-BL29,IF(A30&lt;'Données projet'!$A$88,$BA$205^A30,IF(A30='Données projet'!$A$88,'Données projet'!$B$88,BD29+BC30-BL29)))</f>
        <v>95</v>
      </c>
      <c r="BE30" s="13">
        <f>BD30*VLOOKUP('Données projet'!$B$11,Paramètres!$A$1:$I$89,3,0)*VLOOKUP('Données projet'!$B$11,Paramètres!$A$1:$I$89,5,0)</f>
        <v>82.992000000000004</v>
      </c>
      <c r="BF30" s="13">
        <f t="shared" si="37"/>
        <v>22.867173045817324</v>
      </c>
      <c r="BG30" s="20">
        <f t="shared" si="7"/>
        <v>184.37139305479852</v>
      </c>
      <c r="BH30" s="59">
        <f t="shared" si="8"/>
        <v>474.03805972146517</v>
      </c>
      <c r="BI30" s="59">
        <f ca="1">AVERAGE(OFFSET($BH$3,0,0,'Données projet'!$E$11+1,1))-AVERAGE(OFFSET($H$3,0,0,'Données projet'!$E$11+1,1))</f>
        <v>300.63505444445104</v>
      </c>
      <c r="BJ30" s="59">
        <f t="shared" si="38"/>
        <v>266.32508105927997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53.355220903090874</v>
      </c>
      <c r="CA30" s="13">
        <f t="shared" si="39"/>
        <v>15.476957621966136</v>
      </c>
      <c r="CB30" s="20">
        <f t="shared" si="10"/>
        <v>119.88271093114093</v>
      </c>
      <c r="CC30" s="59">
        <f t="shared" si="11"/>
        <v>409.54937759780762</v>
      </c>
      <c r="CD30" s="59">
        <f ca="1">AVERAGE(OFFSET($CC$3,0,0,'Données projet'!$E$12+1,1))-AVERAGE(OFFSET($H$3,0,0,'Données projet'!$E$12+1,1))</f>
        <v>361.26385625423757</v>
      </c>
      <c r="CE30" s="59">
        <f t="shared" si="40"/>
        <v>222.05197404028576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6.8</v>
      </c>
      <c r="CT30" s="12">
        <f>IF('Données projet'!$A$140&gt;35,CT29+CS30-DB29,IF(A30&lt;'Données projet'!$A$140,$CQ$205^A30,IF(A30='Données projet'!$A$140,'Données projet'!$B$140,CT29+CS30-DB29)))</f>
        <v>175.60000000000005</v>
      </c>
      <c r="CU30" s="17">
        <f>CT30*VLOOKUP('Données projet'!$B$13,Paramètres!$A$1:$I$89,3,0)*VLOOKUP('Données projet'!$B$13,Paramètres!$A$1:$I$89,5,0)</f>
        <v>158.88288000000006</v>
      </c>
      <c r="CV30" s="13">
        <f t="shared" si="41"/>
        <v>40.590443217000178</v>
      </c>
      <c r="CW30" s="20">
        <f t="shared" si="13"/>
        <v>347.41603793627536</v>
      </c>
      <c r="CX30" s="59">
        <f t="shared" si="14"/>
        <v>637.08270460294204</v>
      </c>
      <c r="CY30" s="59">
        <f ca="1">AVERAGE(OFFSET($CX$3,0,0,'Données projet'!$E$13+1,1))-AVERAGE(OFFSET($H$3,0,0,'Données projet'!$E$13+1,1))</f>
        <v>302.6937347295995</v>
      </c>
      <c r="CZ30" s="59">
        <f t="shared" si="42"/>
        <v>423.44006663873375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54.229896655600555</v>
      </c>
      <c r="DQ30" s="13">
        <f t="shared" si="43"/>
        <v>15.700932555652479</v>
      </c>
      <c r="DR30" s="20">
        <f t="shared" si="16"/>
        <v>121.79619420959904</v>
      </c>
      <c r="DS30" s="59">
        <f t="shared" si="17"/>
        <v>411.46286087626572</v>
      </c>
      <c r="DT30" s="59">
        <f ca="1">AVERAGE(OFFSET($DS$3,0,0,'Données projet'!$E$14+1,1))-AVERAGE(OFFSET($H$3,0,0,'Données projet'!$E$14+1,1))</f>
        <v>366.51581861366333</v>
      </c>
      <c r="DU30" s="59">
        <f t="shared" si="44"/>
        <v>225.01415116995503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478.4288813739571</v>
      </c>
      <c r="EO30" s="59">
        <f ca="1">AVERAGE(OFFSET($EN$3,0,0,'Données projet'!$E$15+1,1))-AVERAGE(OFFSET($H$3,0,0,'Données projet'!$E$15+1,1))</f>
        <v>288.80569134263209</v>
      </c>
      <c r="EP30" s="59">
        <f t="shared" si="46"/>
        <v>283.48738729114024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8.5188630530015317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8.5188630530015317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19.393589743589743</v>
      </c>
      <c r="FE30" s="12">
        <f>IF('Données projet'!$A$218&gt;35,FE29+FD30-FM29,IF(A30&lt;'Données projet'!$A$218,$FB$205^A30,IF(A30='Données projet'!$A$218,'Données projet'!$B$218,FE29+FD30-FM29)))</f>
        <v>221.82435897435903</v>
      </c>
      <c r="FF30" s="17">
        <f>FE30*VLOOKUP('Données projet'!$B$16,Paramètres!$A$1:$I$89,3,0)*VLOOKUP('Données projet'!$B$16,Paramètres!$A$1:$I$89,5,0)</f>
        <v>132.6509666666667</v>
      </c>
      <c r="FG30" s="13">
        <f t="shared" si="47"/>
        <v>34.608198355283058</v>
      </c>
      <c r="FH30" s="20">
        <f t="shared" si="22"/>
        <v>291.30971241322919</v>
      </c>
      <c r="FI30" s="59">
        <f t="shared" si="23"/>
        <v>580.97637907989588</v>
      </c>
      <c r="FJ30" s="59">
        <f ca="1">AVERAGE(OFFSET($FI$3,0,0,'Données projet'!$E$16+1,1))-AVERAGE(OFFSET($H$3,0,0,'Données projet'!$E$16+1,1))</f>
        <v>323.17232038705157</v>
      </c>
      <c r="FK30" s="59">
        <f t="shared" si="48"/>
        <v>402.34685738619197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11.510519191253341</v>
      </c>
      <c r="FR30" s="21">
        <f>EXP(-LN(2)/25)*FR29+(1-EXP(-LN(2)/25))/(LN(2)/25)*Calculateur!FM30*Calculateur!FO30*VLOOKUP('Données projet'!$B$16,Paramètres!$A$1:$I$89,3,0)*0.475*44/12</f>
        <v>17.827744959001087</v>
      </c>
      <c r="FS30" s="21">
        <f>EXP(-LN(2)/2)*FS29+(1-EXP(-LN(2)/2))/(LN(2)/2)*FM30*FP30*VLOOKUP('Données projet'!$B$16,Paramètres!$A$1:$I$89,3,0)*0.475*44/12</f>
        <v>4.4840008786999128</v>
      </c>
      <c r="FT30" s="22">
        <f t="shared" si="24"/>
        <v>33.822265028954341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11.5</v>
      </c>
      <c r="FZ30" s="12">
        <f>IF('Données projet'!$A$244&gt;35,FZ29+FY30-GH29,IF(A30&lt;'Données projet'!$A$244,$FW$205^A30,IF(A30='Données projet'!$A$244,'Données projet'!$B$244,FZ29+FY30-GH29)))</f>
        <v>108.99999999999996</v>
      </c>
      <c r="GA30" s="17">
        <f>FZ30*VLOOKUP('Données projet'!$B$17,Paramètres!$A$1:$I$89,3,0)*VLOOKUP('Données projet'!$B$17,Paramètres!$A$1:$I$89,5,0)</f>
        <v>88.420799999999971</v>
      </c>
      <c r="GB30" s="13">
        <f t="shared" si="49"/>
        <v>24.183968471983022</v>
      </c>
      <c r="GC30" s="20">
        <f t="shared" si="25"/>
        <v>196.11997175537036</v>
      </c>
      <c r="GD30" s="59">
        <f t="shared" si="26"/>
        <v>485.78663842203707</v>
      </c>
      <c r="GE30" s="59">
        <f ca="1">AVERAGE(OFFSET($GD$3,0,0,'Données projet'!$E$17+1,1))-AVERAGE(OFFSET($H$3,0,0,'Données projet'!$E$17+1,1))</f>
        <v>298.96480270023716</v>
      </c>
      <c r="GF30" s="59">
        <f t="shared" si="50"/>
        <v>293.11447542333889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10.919993755382432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10.919993755382432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12.589743589743586</v>
      </c>
      <c r="GU30" s="12">
        <f>IF('Données projet'!$A$270&gt;35,GU29+GT30-HC29,IF(A30&lt;'Données projet'!$A$270,$GR$205^A30,IF(A30='Données projet'!$A$270,'Données projet'!$B$270,GU29+GT30-HC29)))</f>
        <v>163.62307692307695</v>
      </c>
      <c r="GV30" s="17">
        <f>GU30*VLOOKUP('Données projet'!$B$18,Paramètres!$A$1:$I$89,3,0)*VLOOKUP('Données projet'!$B$18,Paramètres!$A$1:$I$89,5,0)</f>
        <v>93.592400000000026</v>
      </c>
      <c r="GW30" s="13">
        <f t="shared" si="51"/>
        <v>25.429641927776828</v>
      </c>
      <c r="GX30" s="20">
        <f t="shared" si="28"/>
        <v>207.29672302421133</v>
      </c>
      <c r="GY30" s="59">
        <f t="shared" si="29"/>
        <v>496.96338969087799</v>
      </c>
      <c r="GZ30" s="59">
        <f ca="1">AVERAGE(OFFSET($GY$3,0,0,'Données projet'!$E$18+1,1))-AVERAGE(OFFSET($H$3,0,0,'Données projet'!$E$18+1,1))</f>
        <v>320.76883487964511</v>
      </c>
      <c r="HA30" s="59">
        <f t="shared" si="52"/>
        <v>290.51177680335746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14.263815972871759</v>
      </c>
      <c r="HI30" s="21">
        <f>EXP(-LN(2)/2)*HI29+(1-EXP(-LN(2)/2))/(LN(2)/2)*HC30*HF30*VLOOKUP('Données projet'!$B$18,Paramètres!$A$1:$I$89,3,0)*0.475*44/12</f>
        <v>4.3640635541405102</v>
      </c>
      <c r="HJ30" s="22">
        <f t="shared" si="30"/>
        <v>18.627879527012269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89.72709076880507</v>
      </c>
      <c r="AK31" s="13">
        <f t="shared" si="35"/>
        <v>24.499394230010086</v>
      </c>
      <c r="AL31" s="20">
        <f t="shared" si="4"/>
        <v>198.94446137293639</v>
      </c>
      <c r="AM31" s="59">
        <f t="shared" si="5"/>
        <v>489.83335026182522</v>
      </c>
      <c r="AN31" s="59">
        <f ca="1">AVERAGE(OFFSET($AM$3,0,0,'Données projet'!$E$10+1,1))-AVERAGE(OFFSET($H$3,0,0,'Données projet'!$E$10+1,1))</f>
        <v>425.47148407510412</v>
      </c>
      <c r="AO31" s="59">
        <f t="shared" si="36"/>
        <v>308.54448799922471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</v>
      </c>
      <c r="BD31" s="12">
        <f>IF('Données projet'!$A$88&gt;35,BD30+BC31-BL30,IF(A31&lt;'Données projet'!$A$88,$BA$205^A31,IF(A31='Données projet'!$A$88,'Données projet'!$B$88,BD30+BC31-BL30)))</f>
        <v>103</v>
      </c>
      <c r="BE31" s="13">
        <f>BD31*VLOOKUP('Données projet'!$B$11,Paramètres!$A$1:$I$89,3,0)*VLOOKUP('Données projet'!$B$11,Paramètres!$A$1:$I$89,5,0)</f>
        <v>89.980800000000016</v>
      </c>
      <c r="BF31" s="13">
        <f t="shared" si="37"/>
        <v>24.560594358746648</v>
      </c>
      <c r="BG31" s="20">
        <f t="shared" si="7"/>
        <v>199.49292850815041</v>
      </c>
      <c r="BH31" s="59">
        <f t="shared" si="8"/>
        <v>490.3818173970393</v>
      </c>
      <c r="BI31" s="59">
        <f ca="1">AVERAGE(OFFSET($BH$3,0,0,'Données projet'!$E$11+1,1))-AVERAGE(OFFSET($H$3,0,0,'Données projet'!$E$11+1,1))</f>
        <v>300.63505444445104</v>
      </c>
      <c r="BJ31" s="59">
        <f t="shared" si="38"/>
        <v>266.32508105927997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61.936180825183811</v>
      </c>
      <c r="CA31" s="13">
        <f t="shared" si="39"/>
        <v>17.656887749544079</v>
      </c>
      <c r="CB31" s="20">
        <f t="shared" si="10"/>
        <v>138.62459443431774</v>
      </c>
      <c r="CC31" s="59">
        <f t="shared" si="11"/>
        <v>429.51348332320663</v>
      </c>
      <c r="CD31" s="59">
        <f ca="1">AVERAGE(OFFSET($CC$3,0,0,'Données projet'!$E$12+1,1))-AVERAGE(OFFSET($H$3,0,0,'Données projet'!$E$12+1,1))</f>
        <v>361.26385625423757</v>
      </c>
      <c r="CE31" s="59">
        <f t="shared" si="40"/>
        <v>222.05197404028576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6.8</v>
      </c>
      <c r="CT31" s="12">
        <f>IF('Données projet'!$A$140&gt;35,CT30+CS31-DB30,IF(A31&lt;'Données projet'!$A$140,$CQ$205^A31,IF(A31='Données projet'!$A$140,'Données projet'!$B$140,CT30+CS31-DB30)))</f>
        <v>182.40000000000006</v>
      </c>
      <c r="CU31" s="17">
        <f>CT31*VLOOKUP('Données projet'!$B$13,Paramètres!$A$1:$I$89,3,0)*VLOOKUP('Données projet'!$B$13,Paramètres!$A$1:$I$89,5,0)</f>
        <v>165.03552000000005</v>
      </c>
      <c r="CV31" s="13">
        <f t="shared" si="41"/>
        <v>41.976234598846517</v>
      </c>
      <c r="CW31" s="20">
        <f t="shared" si="13"/>
        <v>360.54547259299108</v>
      </c>
      <c r="CX31" s="59">
        <f t="shared" si="14"/>
        <v>651.43436148187993</v>
      </c>
      <c r="CY31" s="59">
        <f ca="1">AVERAGE(OFFSET($CX$3,0,0,'Données projet'!$E$13+1,1))-AVERAGE(OFFSET($H$3,0,0,'Données projet'!$E$13+1,1))</f>
        <v>302.6937347295995</v>
      </c>
      <c r="CZ31" s="59">
        <f t="shared" si="42"/>
        <v>423.44006663873375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62.951528051826173</v>
      </c>
      <c r="DQ31" s="13">
        <f t="shared" si="43"/>
        <v>17.91240956199632</v>
      </c>
      <c r="DR31" s="20">
        <f t="shared" si="16"/>
        <v>140.8380246774075</v>
      </c>
      <c r="DS31" s="59">
        <f t="shared" si="17"/>
        <v>431.72691356629639</v>
      </c>
      <c r="DT31" s="59">
        <f ca="1">AVERAGE(OFFSET($DS$3,0,0,'Données projet'!$E$14+1,1))-AVERAGE(OFFSET($H$3,0,0,'Données projet'!$E$14+1,1))</f>
        <v>366.51581861366333</v>
      </c>
      <c r="DU31" s="59">
        <f t="shared" si="44"/>
        <v>225.01415116995503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499.04430950327833</v>
      </c>
      <c r="EO31" s="59">
        <f ca="1">AVERAGE(OFFSET($EN$3,0,0,'Données projet'!$E$15+1,1))-AVERAGE(OFFSET($H$3,0,0,'Données projet'!$E$15+1,1))</f>
        <v>288.80569134263209</v>
      </c>
      <c r="EP31" s="59">
        <f t="shared" si="46"/>
        <v>283.48738729114024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8.2859142948296665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8.2859142948296665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19.393589743589743</v>
      </c>
      <c r="FE31" s="12">
        <f>IF('Données projet'!$A$218&gt;35,FE30+FD31-FM30,IF(A31&lt;'Données projet'!$A$218,$FB$205^A31,IF(A31='Données projet'!$A$218,'Données projet'!$B$218,FE30+FD31-FM30)))</f>
        <v>241.21794871794879</v>
      </c>
      <c r="FF31" s="17">
        <f>FE31*VLOOKUP('Données projet'!$B$16,Paramètres!$A$1:$I$89,3,0)*VLOOKUP('Données projet'!$B$16,Paramètres!$A$1:$I$89,5,0)</f>
        <v>144.24833333333339</v>
      </c>
      <c r="FG31" s="13">
        <f t="shared" si="47"/>
        <v>37.268539287745227</v>
      </c>
      <c r="FH31" s="20">
        <f t="shared" si="22"/>
        <v>316.14188648171188</v>
      </c>
      <c r="FI31" s="59">
        <f t="shared" si="23"/>
        <v>607.03077537060074</v>
      </c>
      <c r="FJ31" s="59">
        <f ca="1">AVERAGE(OFFSET($FI$3,0,0,'Données projet'!$E$16+1,1))-AVERAGE(OFFSET($H$3,0,0,'Données projet'!$E$16+1,1))</f>
        <v>323.17232038705157</v>
      </c>
      <c r="FK31" s="59">
        <f t="shared" si="48"/>
        <v>402.34685738619197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11.28480493063633</v>
      </c>
      <c r="FR31" s="21">
        <f>EXP(-LN(2)/25)*FR30+(1-EXP(-LN(2)/25))/(LN(2)/25)*Calculateur!FM31*Calculateur!FO31*VLOOKUP('Données projet'!$B$16,Paramètres!$A$1:$I$89,3,0)*0.475*44/12</f>
        <v>17.340244335576841</v>
      </c>
      <c r="FS31" s="21">
        <f>EXP(-LN(2)/2)*FS30+(1-EXP(-LN(2)/2))/(LN(2)/2)*FM31*FP31*VLOOKUP('Données projet'!$B$16,Paramètres!$A$1:$I$89,3,0)*0.475*44/12</f>
        <v>3.1706674281751464</v>
      </c>
      <c r="FT31" s="22">
        <f t="shared" si="24"/>
        <v>31.795716694388318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11.5</v>
      </c>
      <c r="FZ31" s="12">
        <f>IF('Données projet'!$A$244&gt;35,FZ30+FY31-GH30,IF(A31&lt;'Données projet'!$A$244,$FW$205^A31,IF(A31='Données projet'!$A$244,'Données projet'!$B$244,FZ30+FY31-GH30)))</f>
        <v>120.49999999999996</v>
      </c>
      <c r="GA31" s="17">
        <f>FZ31*VLOOKUP('Données projet'!$B$17,Paramètres!$A$1:$I$89,3,0)*VLOOKUP('Données projet'!$B$17,Paramètres!$A$1:$I$89,5,0)</f>
        <v>97.749599999999973</v>
      </c>
      <c r="GB31" s="13">
        <f t="shared" si="49"/>
        <v>26.425162646358601</v>
      </c>
      <c r="GC31" s="20">
        <f t="shared" si="25"/>
        <v>216.27104494240783</v>
      </c>
      <c r="GD31" s="59">
        <f t="shared" si="26"/>
        <v>507.15993383129671</v>
      </c>
      <c r="GE31" s="59">
        <f ca="1">AVERAGE(OFFSET($GD$3,0,0,'Données projet'!$E$17+1,1))-AVERAGE(OFFSET($H$3,0,0,'Données projet'!$E$17+1,1))</f>
        <v>298.96480270023716</v>
      </c>
      <c r="GF31" s="59">
        <f t="shared" si="50"/>
        <v>293.11447542333889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10.621385951883985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10.621385951883985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12.589743589743586</v>
      </c>
      <c r="GU31" s="12">
        <f>IF('Données projet'!$A$270&gt;35,GU30+GT31-HC30,IF(A31&lt;'Données projet'!$A$270,$GR$205^A31,IF(A31='Données projet'!$A$270,'Données projet'!$B$270,GU30+GT31-HC30)))</f>
        <v>176.21282051282054</v>
      </c>
      <c r="GV31" s="17">
        <f>GU31*VLOOKUP('Données projet'!$B$18,Paramètres!$A$1:$I$89,3,0)*VLOOKUP('Données projet'!$B$18,Paramètres!$A$1:$I$89,5,0)</f>
        <v>100.79373333333336</v>
      </c>
      <c r="GW31" s="13">
        <f t="shared" si="51"/>
        <v>27.151006473207783</v>
      </c>
      <c r="GX31" s="20">
        <f t="shared" si="28"/>
        <v>222.83708849639251</v>
      </c>
      <c r="GY31" s="59">
        <f t="shared" si="29"/>
        <v>513.72597738528134</v>
      </c>
      <c r="GZ31" s="59">
        <f ca="1">AVERAGE(OFFSET($GY$3,0,0,'Données projet'!$E$18+1,1))-AVERAGE(OFFSET($H$3,0,0,'Données projet'!$E$18+1,1))</f>
        <v>320.76883487964511</v>
      </c>
      <c r="HA31" s="59">
        <f t="shared" si="52"/>
        <v>290.51177680335746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13.873771174992099</v>
      </c>
      <c r="HI31" s="21">
        <f>EXP(-LN(2)/2)*HI30+(1-EXP(-LN(2)/2))/(LN(2)/2)*HC31*HF31*VLOOKUP('Données projet'!$B$18,Paramètres!$A$1:$I$89,3,0)*0.475*44/12</f>
        <v>3.0858589326618207</v>
      </c>
      <c r="HJ31" s="22">
        <f t="shared" si="30"/>
        <v>16.959630107653918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105.30650917776822</v>
      </c>
      <c r="AK32" s="13">
        <f t="shared" si="35"/>
        <v>28.222370840964146</v>
      </c>
      <c r="AL32" s="20">
        <f t="shared" si="4"/>
        <v>232.56279936595885</v>
      </c>
      <c r="AM32" s="59">
        <f t="shared" si="5"/>
        <v>524.67391047706997</v>
      </c>
      <c r="AN32" s="59">
        <f ca="1">AVERAGE(OFFSET($AM$3,0,0,'Données projet'!$E$10+1,1))-AVERAGE(OFFSET($H$3,0,0,'Données projet'!$E$10+1,1))</f>
        <v>425.47148407510412</v>
      </c>
      <c r="AO32" s="59">
        <f t="shared" si="36"/>
        <v>308.54448799922471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111</v>
      </c>
      <c r="BE32" s="13">
        <f>BD32*VLOOKUP('Données projet'!$B$11,Paramètres!$A$1:$I$89,3,0)*VLOOKUP('Données projet'!$B$11,Paramètres!$A$1:$I$89,5,0)</f>
        <v>96.969600000000014</v>
      </c>
      <c r="BF32" s="13">
        <f t="shared" si="37"/>
        <v>26.238758642904337</v>
      </c>
      <c r="BG32" s="20">
        <f t="shared" si="7"/>
        <v>214.58789130305843</v>
      </c>
      <c r="BH32" s="59">
        <f t="shared" si="8"/>
        <v>506.69900241416957</v>
      </c>
      <c r="BI32" s="59">
        <f ca="1">AVERAGE(OFFSET($BH$3,0,0,'Données projet'!$E$11+1,1))-AVERAGE(OFFSET($H$3,0,0,'Données projet'!$E$11+1,1))</f>
        <v>300.63505444445104</v>
      </c>
      <c r="BJ32" s="59">
        <f t="shared" si="38"/>
        <v>266.32508105927997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71.897190758095846</v>
      </c>
      <c r="CA32" s="13">
        <f t="shared" si="39"/>
        <v>20.143861126654318</v>
      </c>
      <c r="CB32" s="20">
        <f t="shared" si="10"/>
        <v>160.30483203260653</v>
      </c>
      <c r="CC32" s="59">
        <f t="shared" si="11"/>
        <v>452.41594314371764</v>
      </c>
      <c r="CD32" s="59">
        <f ca="1">AVERAGE(OFFSET($CC$3,0,0,'Données projet'!$E$12+1,1))-AVERAGE(OFFSET($H$3,0,0,'Données projet'!$E$12+1,1))</f>
        <v>361.26385625423757</v>
      </c>
      <c r="CE32" s="59">
        <f t="shared" si="40"/>
        <v>222.05197404028576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6.8</v>
      </c>
      <c r="CT32" s="12">
        <f>IF('Données projet'!$A$140&gt;35,CT31+CS32-DB31,IF(A32&lt;'Données projet'!$A$140,$CQ$205^A32,IF(A32='Données projet'!$A$140,'Données projet'!$B$140,CT31+CS32-DB31)))</f>
        <v>189.20000000000007</v>
      </c>
      <c r="CU32" s="17">
        <f>CT32*VLOOKUP('Données projet'!$B$13,Paramètres!$A$1:$I$89,3,0)*VLOOKUP('Données projet'!$B$13,Paramètres!$A$1:$I$89,5,0)</f>
        <v>171.18816000000007</v>
      </c>
      <c r="CV32" s="13">
        <f t="shared" si="41"/>
        <v>43.356023936000852</v>
      </c>
      <c r="CW32" s="20">
        <f t="shared" si="13"/>
        <v>373.66445368853493</v>
      </c>
      <c r="CX32" s="59">
        <f t="shared" si="14"/>
        <v>665.77556479964608</v>
      </c>
      <c r="CY32" s="59">
        <f ca="1">AVERAGE(OFFSET($CX$3,0,0,'Données projet'!$E$13+1,1))-AVERAGE(OFFSET($H$3,0,0,'Données projet'!$E$13+1,1))</f>
        <v>302.6937347295995</v>
      </c>
      <c r="CZ32" s="59">
        <f t="shared" si="42"/>
        <v>423.44006663873375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73.075833229540052</v>
      </c>
      <c r="DQ32" s="13">
        <f t="shared" si="43"/>
        <v>20.435373197064454</v>
      </c>
      <c r="DR32" s="20">
        <f t="shared" si="16"/>
        <v>162.86535119300285</v>
      </c>
      <c r="DS32" s="59">
        <f t="shared" si="17"/>
        <v>454.97646230411397</v>
      </c>
      <c r="DT32" s="59">
        <f ca="1">AVERAGE(OFFSET($DS$3,0,0,'Données projet'!$E$14+1,1))-AVERAGE(OFFSET($H$3,0,0,'Données projet'!$E$14+1,1))</f>
        <v>366.51581861366333</v>
      </c>
      <c r="DU32" s="59">
        <f t="shared" si="44"/>
        <v>225.01415116995503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519.61801770943021</v>
      </c>
      <c r="EO32" s="59">
        <f ca="1">AVERAGE(OFFSET($EN$3,0,0,'Données projet'!$E$15+1,1))-AVERAGE(OFFSET($H$3,0,0,'Données projet'!$E$15+1,1))</f>
        <v>288.80569134263209</v>
      </c>
      <c r="EP32" s="59">
        <f t="shared" si="46"/>
        <v>283.48738729114024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8.0593355327002545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8.0593355327002545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19.393589743589743</v>
      </c>
      <c r="FE32" s="12">
        <f>IF('Données projet'!$A$218&gt;35,FE31+FD32-FM31,IF(A32&lt;'Données projet'!$A$218,$FB$205^A32,IF(A32='Données projet'!$A$218,'Données projet'!$B$218,FE31+FD32-FM31)))</f>
        <v>260.61153846153854</v>
      </c>
      <c r="FF32" s="17">
        <f>FE32*VLOOKUP('Données projet'!$B$16,Paramètres!$A$1:$I$89,3,0)*VLOOKUP('Données projet'!$B$16,Paramètres!$A$1:$I$89,5,0)</f>
        <v>155.84570000000005</v>
      </c>
      <c r="FG32" s="13">
        <f t="shared" si="47"/>
        <v>39.904071626695313</v>
      </c>
      <c r="FH32" s="20">
        <f t="shared" si="22"/>
        <v>340.93085224982775</v>
      </c>
      <c r="FI32" s="59">
        <f t="shared" si="23"/>
        <v>633.04196336093889</v>
      </c>
      <c r="FJ32" s="59">
        <f ca="1">AVERAGE(OFFSET($FI$3,0,0,'Données projet'!$E$16+1,1))-AVERAGE(OFFSET($H$3,0,0,'Données projet'!$E$16+1,1))</f>
        <v>323.17232038705157</v>
      </c>
      <c r="FK32" s="59">
        <f t="shared" si="48"/>
        <v>402.34685738619197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11.063516788997914</v>
      </c>
      <c r="FR32" s="21">
        <f>EXP(-LN(2)/25)*FR31+(1-EXP(-LN(2)/25))/(LN(2)/25)*Calculateur!FM32*Calculateur!FO32*VLOOKUP('Données projet'!$B$16,Paramètres!$A$1:$I$89,3,0)*0.475*44/12</f>
        <v>16.866074442336675</v>
      </c>
      <c r="FS32" s="21">
        <f>EXP(-LN(2)/2)*FS31+(1-EXP(-LN(2)/2))/(LN(2)/2)*FM32*FP32*VLOOKUP('Données projet'!$B$16,Paramètres!$A$1:$I$89,3,0)*0.475*44/12</f>
        <v>2.2420004393499569</v>
      </c>
      <c r="FT32" s="22">
        <f t="shared" si="24"/>
        <v>30.171591670684549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11.5</v>
      </c>
      <c r="FZ32" s="12">
        <f>IF('Données projet'!$A$244&gt;35,FZ31+FY32-GH31,IF(A32&lt;'Données projet'!$A$244,$FW$205^A32,IF(A32='Données projet'!$A$244,'Données projet'!$B$244,FZ31+FY32-GH31)))</f>
        <v>131.99999999999994</v>
      </c>
      <c r="GA32" s="17">
        <f>FZ32*VLOOKUP('Données projet'!$B$17,Paramètres!$A$1:$I$89,3,0)*VLOOKUP('Données projet'!$B$17,Paramètres!$A$1:$I$89,5,0)</f>
        <v>107.07839999999996</v>
      </c>
      <c r="GB32" s="13">
        <f t="shared" si="49"/>
        <v>28.64155810910178</v>
      </c>
      <c r="GC32" s="20">
        <f t="shared" si="25"/>
        <v>236.37892704001885</v>
      </c>
      <c r="GD32" s="59">
        <f t="shared" si="26"/>
        <v>528.49003815112997</v>
      </c>
      <c r="GE32" s="59">
        <f ca="1">AVERAGE(OFFSET($GD$3,0,0,'Données projet'!$E$17+1,1))-AVERAGE(OFFSET($H$3,0,0,'Données projet'!$E$17+1,1))</f>
        <v>298.96480270023716</v>
      </c>
      <c r="GF32" s="59">
        <f t="shared" si="50"/>
        <v>293.11447542333889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10.330943594475306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10.330943594475306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12.589743589743586</v>
      </c>
      <c r="GU32" s="12">
        <f>IF('Données projet'!$A$270&gt;35,GU31+GT32-HC31,IF(A32&lt;'Données projet'!$A$270,$GR$205^A32,IF(A32='Données projet'!$A$270,'Données projet'!$B$270,GU31+GT32-HC31)))</f>
        <v>188.80256410256413</v>
      </c>
      <c r="GV32" s="17">
        <f>GU32*VLOOKUP('Données projet'!$B$18,Paramètres!$A$1:$I$89,3,0)*VLOOKUP('Données projet'!$B$18,Paramètres!$A$1:$I$89,5,0)</f>
        <v>107.99506666666669</v>
      </c>
      <c r="GW32" s="13">
        <f t="shared" si="51"/>
        <v>28.858102114638232</v>
      </c>
      <c r="GX32" s="20">
        <f t="shared" si="28"/>
        <v>238.35260229410608</v>
      </c>
      <c r="GY32" s="59">
        <f t="shared" si="29"/>
        <v>530.46371340521728</v>
      </c>
      <c r="GZ32" s="59">
        <f ca="1">AVERAGE(OFFSET($GY$3,0,0,'Données projet'!$E$18+1,1))-AVERAGE(OFFSET($H$3,0,0,'Données projet'!$E$18+1,1))</f>
        <v>320.76883487964511</v>
      </c>
      <c r="HA32" s="59">
        <f t="shared" si="52"/>
        <v>290.51177680335746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13.494392172622023</v>
      </c>
      <c r="HI32" s="21">
        <f>EXP(-LN(2)/2)*HI31+(1-EXP(-LN(2)/2))/(LN(2)/2)*HC32*HF32*VLOOKUP('Données projet'!$B$18,Paramètres!$A$1:$I$89,3,0)*0.475*44/12</f>
        <v>2.1820317770702551</v>
      </c>
      <c r="HJ32" s="22">
        <f t="shared" si="30"/>
        <v>15.676423949692278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123.59099999999999</v>
      </c>
      <c r="AK33" s="13">
        <f t="shared" si="35"/>
        <v>32.511098372760657</v>
      </c>
      <c r="AL33" s="20">
        <f t="shared" si="4"/>
        <v>271.87782133255809</v>
      </c>
      <c r="AM33" s="59">
        <f t="shared" si="5"/>
        <v>565.2111546658914</v>
      </c>
      <c r="AN33" s="59">
        <f ca="1">AVERAGE(OFFSET($AM$3,0,0,'Données projet'!$E$10+1,1))-AVERAGE(OFFSET($H$3,0,0,'Données projet'!$E$10+1,1))</f>
        <v>425.47148407510412</v>
      </c>
      <c r="AO33" s="59">
        <f t="shared" si="36"/>
        <v>308.54448799922471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</v>
      </c>
      <c r="BB33" s="12">
        <f>VLOOKUP(A33,'Données projet'!$A$87:$I$107,9,0)</f>
        <v>8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119</v>
      </c>
      <c r="BE33" s="13">
        <f>BD33*VLOOKUP('Données projet'!$B$11,Paramètres!$A$1:$I$89,3,0)*VLOOKUP('Données projet'!$B$11,Paramètres!$A$1:$I$89,5,0)</f>
        <v>103.9584</v>
      </c>
      <c r="BF33" s="13">
        <f t="shared" si="37"/>
        <v>27.902890560352166</v>
      </c>
      <c r="BG33" s="20">
        <f t="shared" si="7"/>
        <v>229.65841439261331</v>
      </c>
      <c r="BH33" s="59">
        <f t="shared" si="8"/>
        <v>522.99174772594665</v>
      </c>
      <c r="BI33" s="59">
        <f ca="1">AVERAGE(OFFSET($BH$3,0,0,'Données projet'!$E$11+1,1))-AVERAGE(OFFSET($H$3,0,0,'Données projet'!$E$11+1,1))</f>
        <v>300.63505444445104</v>
      </c>
      <c r="BJ33" s="59">
        <f t="shared" si="38"/>
        <v>266.32508105927997</v>
      </c>
      <c r="BK33" s="15">
        <f>IF(ISNA(VLOOKUP(A33,'Données projet'!$A$87:$I$107,3,0)),0,VLOOKUP(A33,'Données projet'!$A$87:$I$107,3,0))</f>
        <v>3</v>
      </c>
      <c r="BL33" s="15" t="str">
        <f>IF(ISNA(VLOOKUP(A33,'Données projet'!$A$87:$I$107,4,0)),0,VLOOKUP(A33,'Données projet'!$A$87:$I$107,4,0))</f>
        <v>20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83.4602</v>
      </c>
      <c r="CA33" s="13">
        <f t="shared" si="39"/>
        <v>22.981124807819615</v>
      </c>
      <c r="CB33" s="20">
        <f t="shared" si="10"/>
        <v>185.38530737361916</v>
      </c>
      <c r="CC33" s="59">
        <f t="shared" si="11"/>
        <v>478.71864070695244</v>
      </c>
      <c r="CD33" s="59">
        <f ca="1">AVERAGE(OFFSET($CC$3,0,0,'Données projet'!$E$12+1,1))-AVERAGE(OFFSET($H$3,0,0,'Données projet'!$E$12+1,1))</f>
        <v>361.26385625423757</v>
      </c>
      <c r="CE33" s="59">
        <f t="shared" si="40"/>
        <v>222.05197404028576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196</v>
      </c>
      <c r="CR33" s="12">
        <f>VLOOKUP(A33,'Données projet'!$A$139:$I$159,9,0)</f>
        <v>6.8</v>
      </c>
      <c r="CS33" s="12">
        <f t="array" ref="CS33">INDEX(CR:CR,MIN(IF(ISNUMBER(CR33:CR229),ROW(CR33:CR229),"")))</f>
        <v>6.8</v>
      </c>
      <c r="CT33" s="12">
        <f>IF('Données projet'!$A$140&gt;35,CT32+CS33-DB32,IF(A33&lt;'Données projet'!$A$140,$CQ$205^A33,IF(A33='Données projet'!$A$140,'Données projet'!$B$140,CT32+CS33-DB32)))</f>
        <v>196.00000000000009</v>
      </c>
      <c r="CU33" s="17">
        <f>CT33*VLOOKUP('Données projet'!$B$13,Paramètres!$A$1:$I$89,3,0)*VLOOKUP('Données projet'!$B$13,Paramètres!$A$1:$I$89,5,0)</f>
        <v>177.34080000000006</v>
      </c>
      <c r="CV33" s="13">
        <f t="shared" si="41"/>
        <v>44.730051658603102</v>
      </c>
      <c r="CW33" s="20">
        <f t="shared" si="13"/>
        <v>386.77339997206712</v>
      </c>
      <c r="CX33" s="59">
        <f t="shared" si="14"/>
        <v>680.10673330540044</v>
      </c>
      <c r="CY33" s="59">
        <f ca="1">AVERAGE(OFFSET($CX$3,0,0,'Données projet'!$E$13+1,1))-AVERAGE(OFFSET($H$3,0,0,'Données projet'!$E$13+1,1))</f>
        <v>302.6937347295995</v>
      </c>
      <c r="CZ33" s="59">
        <f t="shared" si="42"/>
        <v>423.44006663873375</v>
      </c>
      <c r="DA33" s="15">
        <f>IF(ISNA(VLOOKUP(A33,'Données projet'!$A$139:$I$159,3,0)),0,VLOOKUP(A33,'Données projet'!$A$139:$I$159,3,0))</f>
        <v>6</v>
      </c>
      <c r="DB33" s="15">
        <f>IF(ISNA(VLOOKUP(A33,'Données projet'!$A$139:$I$159,4,0)),0,VLOOKUP(A33,'Données projet'!$A$139:$I$159,4,0))</f>
        <v>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0.15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1.1955495772214559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1.1955495772214559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84.828400000000002</v>
      </c>
      <c r="DQ33" s="13">
        <f t="shared" si="43"/>
        <v>23.313696365524446</v>
      </c>
      <c r="DR33" s="20">
        <f t="shared" si="16"/>
        <v>188.34748450328843</v>
      </c>
      <c r="DS33" s="59">
        <f t="shared" si="17"/>
        <v>481.68081783662171</v>
      </c>
      <c r="DT33" s="59">
        <f ca="1">AVERAGE(OFFSET($DS$3,0,0,'Données projet'!$E$14+1,1))-AVERAGE(OFFSET($H$3,0,0,'Données projet'!$E$14+1,1))</f>
        <v>366.51581861366333</v>
      </c>
      <c r="DU33" s="59">
        <f t="shared" si="44"/>
        <v>225.01415116995503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540.15405395780692</v>
      </c>
      <c r="EO33" s="59">
        <f ca="1">AVERAGE(OFFSET($EN$3,0,0,'Données projet'!$E$15+1,1))-AVERAGE(OFFSET($H$3,0,0,'Données projet'!$E$15+1,1))</f>
        <v>288.80569134263209</v>
      </c>
      <c r="EP33" s="59">
        <f t="shared" si="46"/>
        <v>283.48738729114024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7.8389525787365306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7.8389525787365306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19.393589743589743</v>
      </c>
      <c r="FE33" s="12">
        <f>IF('Données projet'!$A$218&gt;35,FE32+FD33-FM32,IF(A33&lt;'Données projet'!$A$218,$FB$205^A33,IF(A33='Données projet'!$A$218,'Données projet'!$B$218,FE32+FD33-FM32)))</f>
        <v>280.0051282051283</v>
      </c>
      <c r="FF33" s="17">
        <f>FE33*VLOOKUP('Données projet'!$B$16,Paramètres!$A$1:$I$89,3,0)*VLOOKUP('Données projet'!$B$16,Paramètres!$A$1:$I$89,5,0)</f>
        <v>167.44306666666677</v>
      </c>
      <c r="FG33" s="13">
        <f t="shared" si="47"/>
        <v>42.516851449807113</v>
      </c>
      <c r="FH33" s="20">
        <f t="shared" si="22"/>
        <v>365.68019071952534</v>
      </c>
      <c r="FI33" s="59">
        <f t="shared" si="23"/>
        <v>659.01352405285866</v>
      </c>
      <c r="FJ33" s="59">
        <f ca="1">AVERAGE(OFFSET($FI$3,0,0,'Données projet'!$E$16+1,1))-AVERAGE(OFFSET($H$3,0,0,'Données projet'!$E$16+1,1))</f>
        <v>323.17232038705157</v>
      </c>
      <c r="FK33" s="59">
        <f t="shared" si="48"/>
        <v>402.34685738619197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10.846567972844589</v>
      </c>
      <c r="FR33" s="21">
        <f>EXP(-LN(2)/25)*FR32+(1-EXP(-LN(2)/25))/(LN(2)/25)*Calculateur!FM33*Calculateur!FO33*VLOOKUP('Données projet'!$B$16,Paramètres!$A$1:$I$89,3,0)*0.475*44/12</f>
        <v>16.404870749762672</v>
      </c>
      <c r="FS33" s="21">
        <f>EXP(-LN(2)/2)*FS32+(1-EXP(-LN(2)/2))/(LN(2)/2)*FM33*FP33*VLOOKUP('Données projet'!$B$16,Paramètres!$A$1:$I$89,3,0)*0.475*44/12</f>
        <v>1.5853337140875734</v>
      </c>
      <c r="FT33" s="22">
        <f t="shared" si="24"/>
        <v>28.836772436694837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11.5</v>
      </c>
      <c r="FZ33" s="12">
        <f>IF('Données projet'!$A$244&gt;35,FZ32+FY33-GH32,IF(A33&lt;'Données projet'!$A$244,$FW$205^A33,IF(A33='Données projet'!$A$244,'Données projet'!$B$244,FZ32+FY33-GH32)))</f>
        <v>143.49999999999994</v>
      </c>
      <c r="GA33" s="17">
        <f>FZ33*VLOOKUP('Données projet'!$B$17,Paramètres!$A$1:$I$89,3,0)*VLOOKUP('Données projet'!$B$17,Paramètres!$A$1:$I$89,5,0)</f>
        <v>116.40719999999996</v>
      </c>
      <c r="GB33" s="13">
        <f t="shared" si="49"/>
        <v>30.835561008615706</v>
      </c>
      <c r="GC33" s="20">
        <f t="shared" si="25"/>
        <v>256.44780875667226</v>
      </c>
      <c r="GD33" s="59">
        <f t="shared" si="26"/>
        <v>549.78114209000557</v>
      </c>
      <c r="GE33" s="59">
        <f ca="1">AVERAGE(OFFSET($GD$3,0,0,'Données projet'!$E$17+1,1))-AVERAGE(OFFSET($H$3,0,0,'Données projet'!$E$17+1,1))</f>
        <v>298.96480270023716</v>
      </c>
      <c r="GF33" s="59">
        <f t="shared" si="50"/>
        <v>293.11447542333889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10.048443398603666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10.048443398603666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201.3923076923077</v>
      </c>
      <c r="GS33" s="12">
        <f>VLOOKUP(A33,'Données projet'!$A$269:$I$289,9,0)</f>
        <v>12.589743589743586</v>
      </c>
      <c r="GT33" s="12">
        <f t="array" ref="GT33">INDEX(GS:GS,MIN(IF(ISNUMBER(GS33:GS229),ROW(GS33:GS229),"")))</f>
        <v>12.589743589743586</v>
      </c>
      <c r="GU33" s="12">
        <f>IF('Données projet'!$A$270&gt;35,GU32+GT33-HC32,IF(A33&lt;'Données projet'!$A$270,$GR$205^A33,IF(A33='Données projet'!$A$270,'Données projet'!$B$270,GU32+GT33-HC32)))</f>
        <v>201.39230769230772</v>
      </c>
      <c r="GV33" s="17">
        <f>GU33*VLOOKUP('Données projet'!$B$18,Paramètres!$A$1:$I$89,3,0)*VLOOKUP('Données projet'!$B$18,Paramètres!$A$1:$I$89,5,0)</f>
        <v>115.19640000000001</v>
      </c>
      <c r="GW33" s="13">
        <f t="shared" si="51"/>
        <v>30.551988595229211</v>
      </c>
      <c r="GX33" s="20">
        <f t="shared" si="28"/>
        <v>253.84511013669089</v>
      </c>
      <c r="GY33" s="59">
        <f t="shared" si="29"/>
        <v>547.17844347002415</v>
      </c>
      <c r="GZ33" s="59">
        <f ca="1">AVERAGE(OFFSET($GY$3,0,0,'Données projet'!$E$18+1,1))-AVERAGE(OFFSET($H$3,0,0,'Données projet'!$E$18+1,1))</f>
        <v>320.76883487964511</v>
      </c>
      <c r="HA33" s="59">
        <f t="shared" si="52"/>
        <v>290.51177680335746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35.430769230769229</v>
      </c>
      <c r="HD33" s="16">
        <f>IF(ISNA(VLOOKUP(A33,'Données projet'!$A$269:$I$289,5,0)),0%,VLOOKUP(A33,'Données projet'!$A$269:$I$289,5,0)*VLOOKUP('Données projet'!$B$18,Paramètres!$A$1:$I$89,7,0))</f>
        <v>0.315</v>
      </c>
      <c r="HE33" s="16">
        <f>IF(ISNA(VLOOKUP(A33,'Données projet'!$A$269:$I$289,6,0)),0%,VLOOKUP(A33,'Données projet'!$A$269:$I$289,6,0)*VLOOKUP('Données projet'!$B$18,Paramètres!$A$1:$I$89,7,0))</f>
        <v>7.6500000000000012E-2</v>
      </c>
      <c r="HF33" s="16">
        <f>IF(ISNA(VLOOKUP(A33,'Données projet'!$A$269:$I$289,7,0)),0%,VLOOKUP(A33,'Données projet'!$A$269:$I$289,7,0))</f>
        <v>0.13</v>
      </c>
      <c r="HG33" s="21">
        <f>EXP(-LN(2)/35)*HG32+(1-EXP(-LN(2)/35))/(LN(2)/35)*HC33*HD33*VLOOKUP('Données projet'!$B$18,Paramètres!$A$1:$I$89,3,0)*0.475*44/12</f>
        <v>8.4686760521117677</v>
      </c>
      <c r="HH33" s="21">
        <f>EXP(-LN(2)/25)*HH32+(1-EXP(-LN(2)/25))/(LN(2)/25)*Calculateur!HC33*Calculateur!HE33*VLOOKUP('Données projet'!$B$18,Paramètres!$A$1:$I$89,3,0)*0.475*44/12</f>
        <v>15.17396785202947</v>
      </c>
      <c r="HI33" s="21">
        <f>EXP(-LN(2)/2)*HI32+(1-EXP(-LN(2)/2))/(LN(2)/2)*HC33*HF33*VLOOKUP('Données projet'!$B$18,Paramètres!$A$1:$I$89,3,0)*0.475*44/12</f>
        <v>4.5259449088276584</v>
      </c>
      <c r="HJ33" s="22">
        <f t="shared" si="30"/>
        <v>28.168588812968895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131.76020000000003</v>
      </c>
      <c r="AK34" s="13">
        <f t="shared" si="35"/>
        <v>34.402770960054035</v>
      </c>
      <c r="AL34" s="20">
        <f t="shared" si="4"/>
        <v>289.40050775542744</v>
      </c>
      <c r="AM34" s="59">
        <f t="shared" si="5"/>
        <v>582.73384108876076</v>
      </c>
      <c r="AN34" s="59">
        <f ca="1">AVERAGE(OFFSET($AM$3,0,0,'Données projet'!$E$10+1,1))-AVERAGE(OFFSET($H$3,0,0,'Données projet'!$E$10+1,1))</f>
        <v>425.47148407510412</v>
      </c>
      <c r="AO34" s="59">
        <f t="shared" si="36"/>
        <v>308.54448799922471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106.2</v>
      </c>
      <c r="BE34" s="13">
        <f>BD34*VLOOKUP('Données projet'!$B$11,Paramètres!$A$1:$I$89,3,0)*VLOOKUP('Données projet'!$B$11,Paramètres!$A$1:$I$89,5,0)</f>
        <v>92.776320000000013</v>
      </c>
      <c r="BF34" s="13">
        <f t="shared" si="37"/>
        <v>25.233617967655977</v>
      </c>
      <c r="BG34" s="20">
        <f t="shared" si="7"/>
        <v>205.53397529366751</v>
      </c>
      <c r="BH34" s="59">
        <f t="shared" si="8"/>
        <v>498.86730862700085</v>
      </c>
      <c r="BI34" s="59">
        <f ca="1">AVERAGE(OFFSET($BH$3,0,0,'Données projet'!$E$11+1,1))-AVERAGE(OFFSET($H$3,0,0,'Données projet'!$E$11+1,1))</f>
        <v>300.63505444445104</v>
      </c>
      <c r="BJ34" s="59">
        <f t="shared" si="38"/>
        <v>266.32508105927997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5.3369963369963358</v>
      </c>
      <c r="BY34" s="12">
        <f>IF('Données projet'!$A$114&gt;35,BY33+BX34-CG33,IF(A34&lt;'Données projet'!$A$114,$BV$205^A34,IF(A34='Données projet'!$A$114,'Données projet'!$B$114,BY33+BX34-CG33)))</f>
        <v>93.04212454212454</v>
      </c>
      <c r="BZ34" s="13">
        <f>BY34*VLOOKUP('Données projet'!$B$12,Paramètres!$A$1:$I$89,3,0)*VLOOKUP('Données projet'!$B$12,Paramètres!$A$1:$I$89,5,0)</f>
        <v>88.538885714285712</v>
      </c>
      <c r="CA34" s="13">
        <f t="shared" si="39"/>
        <v>24.212504429889805</v>
      </c>
      <c r="CB34" s="20">
        <f t="shared" si="10"/>
        <v>196.37533783443902</v>
      </c>
      <c r="CC34" s="59">
        <f t="shared" si="11"/>
        <v>489.70867116777231</v>
      </c>
      <c r="CD34" s="59">
        <f ca="1">AVERAGE(OFFSET($CC$3,0,0,'Données projet'!$E$12+1,1))-AVERAGE(OFFSET($H$3,0,0,'Données projet'!$E$12+1,1))</f>
        <v>361.26385625423757</v>
      </c>
      <c r="CE34" s="59">
        <f t="shared" si="40"/>
        <v>222.05197404028576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5.6</v>
      </c>
      <c r="CT34" s="12">
        <f>IF('Données projet'!$A$140&gt;35,CT33+CS34-DB33,IF(A34&lt;'Données projet'!$A$140,$CQ$205^A34,IF(A34='Données projet'!$A$140,'Données projet'!$B$140,CT33+CS34-DB33)))</f>
        <v>193.60000000000008</v>
      </c>
      <c r="CU34" s="17">
        <f>CT34*VLOOKUP('Données projet'!$B$13,Paramètres!$A$1:$I$89,3,0)*VLOOKUP('Données projet'!$B$13,Paramètres!$A$1:$I$89,5,0)</f>
        <v>175.16928000000007</v>
      </c>
      <c r="CV34" s="13">
        <f t="shared" si="41"/>
        <v>44.245744278741803</v>
      </c>
      <c r="CW34" s="20">
        <f t="shared" si="13"/>
        <v>382.14783395214209</v>
      </c>
      <c r="CX34" s="59">
        <f t="shared" si="14"/>
        <v>675.48116728547541</v>
      </c>
      <c r="CY34" s="59">
        <f ca="1">AVERAGE(OFFSET($CX$3,0,0,'Données projet'!$E$13+1,1))-AVERAGE(OFFSET($H$3,0,0,'Données projet'!$E$13+1,1))</f>
        <v>302.6937347295995</v>
      </c>
      <c r="CZ34" s="59">
        <f t="shared" si="42"/>
        <v>423.44006663873375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1.1628572111611155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1.1628572111611155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89.990342857142863</v>
      </c>
      <c r="DQ34" s="13">
        <f t="shared" si="43"/>
        <v>24.562895909050297</v>
      </c>
      <c r="DR34" s="20">
        <f t="shared" si="16"/>
        <v>199.51355751778638</v>
      </c>
      <c r="DS34" s="59">
        <f t="shared" si="17"/>
        <v>492.84689085111972</v>
      </c>
      <c r="DT34" s="59">
        <f ca="1">AVERAGE(OFFSET($DS$3,0,0,'Données projet'!$E$14+1,1))-AVERAGE(OFFSET($H$3,0,0,'Données projet'!$E$14+1,1))</f>
        <v>366.51581861366333</v>
      </c>
      <c r="DU34" s="59">
        <f t="shared" si="44"/>
        <v>225.01415116995503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559.43355826633729</v>
      </c>
      <c r="EO34" s="59">
        <f ca="1">AVERAGE(OFFSET($EN$3,0,0,'Données projet'!$E$15+1,1))-AVERAGE(OFFSET($H$3,0,0,'Données projet'!$E$15+1,1))</f>
        <v>288.80569134263209</v>
      </c>
      <c r="EP34" s="59">
        <f t="shared" si="46"/>
        <v>283.48738729114024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35</v>
      </c>
      <c r="ES34" s="16">
        <f>IF(ISNA(VLOOKUP(A34,'Données projet'!$A$191:$I$211,5,0)),0%,VLOOKUP(A34,'Données projet'!$A$191:$I$211,5,0)*VLOOKUP('Données projet'!$B$15,Paramètres!$A$1:$I$89,7,0))</f>
        <v>0.129</v>
      </c>
      <c r="ET34" s="16">
        <f>IF(ISNA(VLOOKUP(A34,'Données projet'!$A$191:$I$211,6,0)),0%,VLOOKUP(A34,'Données projet'!$A$191:$I$211,6,0)*VLOOKUP('Données projet'!$B$15,Paramètres!$A$1:$I$89,7,0))</f>
        <v>0.17200000000000001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3.8931350356011905</v>
      </c>
      <c r="EW34" s="21">
        <f>EXP(-LN(2)/25)*EW33+(1-EXP(-LN(2)/25))/(LN(2)/25)*Calculateur!ER34*Calculateur!ET34*VLOOKUP('Données projet'!$B$15,Paramètres!$A$1:$I$89,3,0)*0.475*44/12</f>
        <v>12.795004380992092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16.68813941659328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19.393589743589743</v>
      </c>
      <c r="FE34" s="12">
        <f>IF('Données projet'!$A$218&gt;35,FE33+FD34-FM33,IF(A34&lt;'Données projet'!$A$218,$FB$205^A34,IF(A34='Données projet'!$A$218,'Données projet'!$B$218,FE33+FD34-FM33)))</f>
        <v>299.39871794871806</v>
      </c>
      <c r="FF34" s="17">
        <f>FE34*VLOOKUP('Données projet'!$B$16,Paramètres!$A$1:$I$89,3,0)*VLOOKUP('Données projet'!$B$16,Paramètres!$A$1:$I$89,5,0)</f>
        <v>179.04043333333343</v>
      </c>
      <c r="FG34" s="13">
        <f t="shared" si="47"/>
        <v>45.108633894312518</v>
      </c>
      <c r="FH34" s="20">
        <f t="shared" si="22"/>
        <v>390.39295875481668</v>
      </c>
      <c r="FI34" s="59">
        <f t="shared" si="23"/>
        <v>683.72629208814999</v>
      </c>
      <c r="FJ34" s="59">
        <f ca="1">AVERAGE(OFFSET($FI$3,0,0,'Données projet'!$E$16+1,1))-AVERAGE(OFFSET($H$3,0,0,'Données projet'!$E$16+1,1))</f>
        <v>323.17232038705157</v>
      </c>
      <c r="FK34" s="59">
        <f t="shared" si="48"/>
        <v>402.34685738619197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10.633873390650319</v>
      </c>
      <c r="FR34" s="21">
        <f>EXP(-LN(2)/25)*FR33+(1-EXP(-LN(2)/25))/(LN(2)/25)*Calculateur!FM34*Calculateur!FO34*VLOOKUP('Données projet'!$B$16,Paramètres!$A$1:$I$89,3,0)*0.475*44/12</f>
        <v>15.956278696415753</v>
      </c>
      <c r="FS34" s="21">
        <f>EXP(-LN(2)/2)*FS33+(1-EXP(-LN(2)/2))/(LN(2)/2)*FM34*FP34*VLOOKUP('Données projet'!$B$16,Paramètres!$A$1:$I$89,3,0)*0.475*44/12</f>
        <v>1.1210002196749784</v>
      </c>
      <c r="FT34" s="22">
        <f t="shared" si="24"/>
        <v>27.711152306741052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>
        <f>VLOOKUP(A34,'Données projet'!$A$243:$I$263,2,0)</f>
        <v>155</v>
      </c>
      <c r="FX34" s="12">
        <f>VLOOKUP(A34,'Données projet'!$A$243:$I$263,9,0)</f>
        <v>11.5</v>
      </c>
      <c r="FY34" s="12">
        <f t="array" ref="FY34">INDEX(FX:FX,MIN(IF(ISNUMBER(FX34:FX230),ROW(FX34:FX230),"")))</f>
        <v>11.5</v>
      </c>
      <c r="FZ34" s="12">
        <f>IF('Données projet'!$A$244&gt;35,FZ33+FY34-GH33,IF(A34&lt;'Données projet'!$A$244,$FW$205^A34,IF(A34='Données projet'!$A$244,'Données projet'!$B$244,FZ33+FY34-GH33)))</f>
        <v>154.99999999999994</v>
      </c>
      <c r="GA34" s="17">
        <f>FZ34*VLOOKUP('Données projet'!$B$17,Paramètres!$A$1:$I$89,3,0)*VLOOKUP('Données projet'!$B$17,Paramètres!$A$1:$I$89,5,0)</f>
        <v>125.73599999999998</v>
      </c>
      <c r="GB34" s="13">
        <f t="shared" si="49"/>
        <v>33.0091698918201</v>
      </c>
      <c r="GC34" s="20">
        <f t="shared" si="25"/>
        <v>276.4811708949199</v>
      </c>
      <c r="GD34" s="59">
        <f t="shared" si="26"/>
        <v>569.81450422825321</v>
      </c>
      <c r="GE34" s="59">
        <f ca="1">AVERAGE(OFFSET($GD$3,0,0,'Données projet'!$E$17+1,1))-AVERAGE(OFFSET($H$3,0,0,'Données projet'!$E$17+1,1))</f>
        <v>298.96480270023716</v>
      </c>
      <c r="GF34" s="59">
        <f t="shared" si="50"/>
        <v>293.11447542333889</v>
      </c>
      <c r="GG34" s="15">
        <f>IF(ISNA(VLOOKUP(A34,'Données projet'!$A$243:$I$263,3,0)),0,VLOOKUP(A34,'Données projet'!$A$243:$I$263,3,0))</f>
        <v>4</v>
      </c>
      <c r="GH34" s="15">
        <f>IF(ISNA(VLOOKUP(A34,'Données projet'!$A$243:$I$263,4,0)),0,VLOOKUP(A34,'Données projet'!$A$243:$I$263,4,0))</f>
        <v>35</v>
      </c>
      <c r="GI34" s="16">
        <f>IF(ISNA(VLOOKUP(A34,'Données projet'!$A$243:$I$263,5,0)),0%,VLOOKUP(A34,'Données projet'!$A$243:$I$263,5,0)*VLOOKUP('Données projet'!$B$17,Paramètres!$A$1:$I$89,7,0))</f>
        <v>0.159</v>
      </c>
      <c r="GJ34" s="16">
        <f>IF(ISNA(VLOOKUP(A34,'Données projet'!$A$243:$I$263,6,0)),0%,VLOOKUP(A34,'Données projet'!$A$243:$I$263,6,0)*VLOOKUP('Données projet'!$B$17,Paramètres!$A$1:$I$89,7,0))</f>
        <v>0.21200000000000002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4.9904558874962239</v>
      </c>
      <c r="GM34" s="21">
        <f>EXP(-LN(2)/25)*GM33+(1-EXP(-LN(2)/25))/(LN(2)/25)*Calculateur!GH34*Calculateur!GJ34*VLOOKUP('Données projet'!$B$17,Paramètres!$A$1:$I$89,3,0)*0.475*44/12</f>
        <v>16.401410266983351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21.391866154479576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12.134615384615387</v>
      </c>
      <c r="GU34" s="12">
        <f>IF('Données projet'!$A$270&gt;35,GU33+GT34-HC33,IF(A34&lt;'Données projet'!$A$270,$GR$205^A34,IF(A34='Données projet'!$A$270,'Données projet'!$B$270,GU33+GT34-HC33)))</f>
        <v>178.09615384615387</v>
      </c>
      <c r="GV34" s="17">
        <f>GU34*VLOOKUP('Données projet'!$B$18,Paramètres!$A$1:$I$89,3,0)*VLOOKUP('Données projet'!$B$18,Paramètres!$A$1:$I$89,5,0)</f>
        <v>101.87100000000002</v>
      </c>
      <c r="GW34" s="13">
        <f t="shared" si="51"/>
        <v>27.407255468271032</v>
      </c>
      <c r="GX34" s="20">
        <f t="shared" si="28"/>
        <v>225.15962827390544</v>
      </c>
      <c r="GY34" s="59">
        <f t="shared" si="29"/>
        <v>518.49296160723873</v>
      </c>
      <c r="GZ34" s="59">
        <f ca="1">AVERAGE(OFFSET($GY$3,0,0,'Données projet'!$E$18+1,1))-AVERAGE(OFFSET($H$3,0,0,'Données projet'!$E$18+1,1))</f>
        <v>320.76883487964511</v>
      </c>
      <c r="HA34" s="59">
        <f t="shared" si="52"/>
        <v>290.51177680335746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8.3026104801122091</v>
      </c>
      <c r="HH34" s="21">
        <f>EXP(-LN(2)/25)*HH33+(1-EXP(-LN(2)/25))/(LN(2)/25)*Calculateur!HC34*Calculateur!HE34*VLOOKUP('Données projet'!$B$18,Paramètres!$A$1:$I$89,3,0)*0.475*44/12</f>
        <v>14.759034903151436</v>
      </c>
      <c r="HI34" s="21">
        <f>EXP(-LN(2)/2)*HI33+(1-EXP(-LN(2)/2))/(LN(2)/2)*HC34*HF34*VLOOKUP('Données projet'!$B$18,Paramètres!$A$1:$I$89,3,0)*0.475*44/12</f>
        <v>3.2003263363087679</v>
      </c>
      <c r="HJ34" s="22">
        <f t="shared" si="30"/>
        <v>26.261971719572415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139.92940000000002</v>
      </c>
      <c r="AK35" s="13">
        <f t="shared" si="35"/>
        <v>36.280831551634627</v>
      </c>
      <c r="AL35" s="20">
        <f t="shared" si="4"/>
        <v>306.89948661909699</v>
      </c>
      <c r="AM35" s="59">
        <f t="shared" si="5"/>
        <v>600.2328199524303</v>
      </c>
      <c r="AN35" s="59">
        <f ca="1">AVERAGE(OFFSET($AM$3,0,0,'Données projet'!$E$10+1,1))-AVERAGE(OFFSET($H$3,0,0,'Données projet'!$E$10+1,1))</f>
        <v>425.47148407510412</v>
      </c>
      <c r="AO35" s="59">
        <f t="shared" si="36"/>
        <v>308.54448799922471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113.4</v>
      </c>
      <c r="BE35" s="13">
        <f>BD35*VLOOKUP('Données projet'!$B$11,Paramètres!$A$1:$I$89,3,0)*VLOOKUP('Données projet'!$B$11,Paramètres!$A$1:$I$89,5,0)</f>
        <v>99.066240000000022</v>
      </c>
      <c r="BF35" s="13">
        <f t="shared" si="37"/>
        <v>26.739420789378705</v>
      </c>
      <c r="BG35" s="20">
        <f t="shared" si="7"/>
        <v>219.11152587483457</v>
      </c>
      <c r="BH35" s="59">
        <f t="shared" si="8"/>
        <v>512.44485920816783</v>
      </c>
      <c r="BI35" s="59">
        <f ca="1">AVERAGE(OFFSET($BH$3,0,0,'Données projet'!$E$11+1,1))-AVERAGE(OFFSET($H$3,0,0,'Données projet'!$E$11+1,1))</f>
        <v>300.63505444445104</v>
      </c>
      <c r="BJ35" s="59">
        <f t="shared" si="38"/>
        <v>266.32508105927997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5.3369963369963358</v>
      </c>
      <c r="BY35" s="12">
        <f>IF('Données projet'!$A$114&gt;35,BY34+BX35-CG34,IF(A35&lt;'Données projet'!$A$114,$BV$205^A35,IF(A35='Données projet'!$A$114,'Données projet'!$B$114,BY34+BX35-CG34)))</f>
        <v>98.379120879120876</v>
      </c>
      <c r="BZ35" s="13">
        <f>BY35*VLOOKUP('Données projet'!$B$12,Paramètres!$A$1:$I$89,3,0)*VLOOKUP('Données projet'!$B$12,Paramètres!$A$1:$I$89,5,0)</f>
        <v>93.617571428571438</v>
      </c>
      <c r="CA35" s="13">
        <f t="shared" si="39"/>
        <v>25.435684981217531</v>
      </c>
      <c r="CB35" s="20">
        <f t="shared" si="10"/>
        <v>207.35108824704912</v>
      </c>
      <c r="CC35" s="59">
        <f t="shared" si="11"/>
        <v>500.68442158038243</v>
      </c>
      <c r="CD35" s="59">
        <f ca="1">AVERAGE(OFFSET($CC$3,0,0,'Données projet'!$E$12+1,1))-AVERAGE(OFFSET($H$3,0,0,'Données projet'!$E$12+1,1))</f>
        <v>361.26385625423757</v>
      </c>
      <c r="CE35" s="59">
        <f t="shared" si="40"/>
        <v>222.05197404028576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5.6</v>
      </c>
      <c r="CT35" s="12">
        <f>IF('Données projet'!$A$140&gt;35,CT34+CS35-DB34,IF(A35&lt;'Données projet'!$A$140,$CQ$205^A35,IF(A35='Données projet'!$A$140,'Données projet'!$B$140,CT34+CS35-DB34)))</f>
        <v>199.20000000000007</v>
      </c>
      <c r="CU35" s="17">
        <f>CT35*VLOOKUP('Données projet'!$B$13,Paramètres!$A$1:$I$89,3,0)*VLOOKUP('Données projet'!$B$13,Paramètres!$A$1:$I$89,5,0)</f>
        <v>180.23616000000004</v>
      </c>
      <c r="CV35" s="13">
        <f t="shared" si="41"/>
        <v>45.374723405565959</v>
      </c>
      <c r="CW35" s="20">
        <f t="shared" si="13"/>
        <v>392.93895526469413</v>
      </c>
      <c r="CX35" s="59">
        <f t="shared" si="14"/>
        <v>686.27228859802744</v>
      </c>
      <c r="CY35" s="59">
        <f ca="1">AVERAGE(OFFSET($CX$3,0,0,'Données projet'!$E$13+1,1))-AVERAGE(OFFSET($H$3,0,0,'Données projet'!$E$13+1,1))</f>
        <v>302.6937347295995</v>
      </c>
      <c r="CZ35" s="59">
        <f t="shared" si="42"/>
        <v>423.44006663873375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1.1310588195699118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1.1310588195699118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95.152285714285725</v>
      </c>
      <c r="DQ35" s="13">
        <f t="shared" si="43"/>
        <v>25.803777728906475</v>
      </c>
      <c r="DR35" s="20">
        <f t="shared" si="16"/>
        <v>210.66514383022638</v>
      </c>
      <c r="DS35" s="59">
        <f t="shared" si="17"/>
        <v>503.9984771635597</v>
      </c>
      <c r="DT35" s="59">
        <f ca="1">AVERAGE(OFFSET($DS$3,0,0,'Données projet'!$E$14+1,1))-AVERAGE(OFFSET($H$3,0,0,'Données projet'!$E$14+1,1))</f>
        <v>366.51581861366333</v>
      </c>
      <c r="DU35" s="59">
        <f t="shared" si="44"/>
        <v>225.01415116995503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11.333333333333334</v>
      </c>
      <c r="EJ35" s="12">
        <f>IF('Données projet'!$A$192&gt;35,EJ34+EI35-ER34,IF(A35&lt;'Données projet'!$A$192,$EG$205^A35,IF(A35='Données projet'!$A$192,'Données projet'!$B$192,EJ34+EI35-ER34)))</f>
        <v>131.33333333333329</v>
      </c>
      <c r="EK35" s="17">
        <f>EJ35*VLOOKUP('Données projet'!$B$15,Paramètres!$A$1:$I$89,3,0)*VLOOKUP('Données projet'!$B$15,Paramètres!$A$1:$I$89,5,0)</f>
        <v>102.43999999999997</v>
      </c>
      <c r="EL35" s="13">
        <f t="shared" si="45"/>
        <v>27.542475814398081</v>
      </c>
      <c r="EM35" s="20">
        <f t="shared" si="19"/>
        <v>226.38614537674326</v>
      </c>
      <c r="EN35" s="59">
        <f t="shared" si="20"/>
        <v>519.7194787100766</v>
      </c>
      <c r="EO35" s="59">
        <f ca="1">AVERAGE(OFFSET($EN$3,0,0,'Données projet'!$E$15+1,1))-AVERAGE(OFFSET($H$3,0,0,'Données projet'!$E$15+1,1))</f>
        <v>288.80569134263209</v>
      </c>
      <c r="EP35" s="59">
        <f t="shared" si="46"/>
        <v>283.48738729114024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3.8167930321309527</v>
      </c>
      <c r="EW35" s="21">
        <f>EXP(-LN(2)/25)*EW34+(1-EXP(-LN(2)/25))/(LN(2)/25)*Calculateur!ER35*Calculateur!ET35*VLOOKUP('Données projet'!$B$15,Paramètres!$A$1:$I$89,3,0)*0.475*44/12</f>
        <v>12.445124313333826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16.261917345464781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>
        <f>VLOOKUP(A35,'Données projet'!$A$217:$I$237,2,0)</f>
        <v>318.7923076923077</v>
      </c>
      <c r="FC35" s="12">
        <f>VLOOKUP(A35,'Données projet'!$A$217:$I$237,9,0)</f>
        <v>19.393589743589743</v>
      </c>
      <c r="FD35" s="12">
        <f t="array" ref="FD35">INDEX(FC:FC,MIN(IF(ISNUMBER(FC35:FC231),ROW(FC35:FC231),"")))</f>
        <v>19.393589743589743</v>
      </c>
      <c r="FE35" s="12">
        <f>IF('Données projet'!$A$218&gt;35,FE34+FD35-FM34,IF(A35&lt;'Données projet'!$A$218,$FB$205^A35,IF(A35='Données projet'!$A$218,'Données projet'!$B$218,FE34+FD35-FM34)))</f>
        <v>318.79230769230782</v>
      </c>
      <c r="FF35" s="17">
        <f>FE35*VLOOKUP('Données projet'!$B$16,Paramètres!$A$1:$I$89,3,0)*VLOOKUP('Données projet'!$B$16,Paramètres!$A$1:$I$89,5,0)</f>
        <v>190.63780000000008</v>
      </c>
      <c r="FG35" s="13">
        <f t="shared" si="47"/>
        <v>47.680933861376609</v>
      </c>
      <c r="FH35" s="20">
        <f t="shared" si="22"/>
        <v>415.07179480856439</v>
      </c>
      <c r="FI35" s="59">
        <f t="shared" si="23"/>
        <v>708.40512814189765</v>
      </c>
      <c r="FJ35" s="59">
        <f ca="1">AVERAGE(OFFSET($FI$3,0,0,'Données projet'!$E$16+1,1))-AVERAGE(OFFSET($H$3,0,0,'Données projet'!$E$16+1,1))</f>
        <v>323.17232038705157</v>
      </c>
      <c r="FK35" s="59">
        <f t="shared" si="48"/>
        <v>402.34685738619197</v>
      </c>
      <c r="FL35" s="15">
        <f>IF(ISNA(VLOOKUP(A35,'Données projet'!$A$217:$I$237,3,0)),0,VLOOKUP(A35,'Données projet'!$A$217:$I$237,3,0))</f>
        <v>4</v>
      </c>
      <c r="FM35" s="15">
        <f>IF(ISNA(VLOOKUP(A35,'Données projet'!$A$217:$I$237,4,0)),0,VLOOKUP(A35,'Données projet'!$A$217:$I$237,4,0))</f>
        <v>64.523076923076914</v>
      </c>
      <c r="FN35" s="16">
        <f>IF(ISNA(VLOOKUP(A35,'Données projet'!$A$217:$I$237,5,0)),0%,VLOOKUP(A35,'Données projet'!$A$217:$I$237,5,0)*VLOOKUP('Données projet'!$B$16,Paramètres!$A$1:$I$89,7,0))</f>
        <v>0.315</v>
      </c>
      <c r="FO35" s="16">
        <f>IF(ISNA(VLOOKUP(A35,'Données projet'!$A$217:$I$237,6,0)),0%,VLOOKUP(A35,'Données projet'!$A$217:$I$237,6,0)*VLOOKUP('Données projet'!$B$16,Paramètres!$A$1:$I$89,7,0))</f>
        <v>7.5600000000000001E-2</v>
      </c>
      <c r="FP35" s="16">
        <f>IF(ISNA(VLOOKUP(A35,'Données projet'!$A$217:$I$237,7,0)),0%,VLOOKUP(A35,'Données projet'!$A$217:$I$237,7,0))</f>
        <v>0.13200000000000001</v>
      </c>
      <c r="FQ35" s="21">
        <f>EXP(-LN(2)/35)*FQ34+(1-EXP(-LN(2)/35))/(LN(2)/35)*FM35*FN35*VLOOKUP('Données projet'!$B$16,Paramètres!$A$1:$I$89,3,0)*0.475*44/12</f>
        <v>26.548695242558715</v>
      </c>
      <c r="FR35" s="21">
        <f>EXP(-LN(2)/25)*FR34+(1-EXP(-LN(2)/25))/(LN(2)/25)*Calculateur!FM35*Calculateur!FO35*VLOOKUP('Données projet'!$B$16,Paramètres!$A$1:$I$89,3,0)*0.475*44/12</f>
        <v>19.374320264649796</v>
      </c>
      <c r="FS35" s="21">
        <f>EXP(-LN(2)/2)*FS34+(1-EXP(-LN(2)/2))/(LN(2)/2)*FM35*FP35*VLOOKUP('Données projet'!$B$16,Paramètres!$A$1:$I$89,3,0)*0.475*44/12</f>
        <v>6.5593451485188776</v>
      </c>
      <c r="FT35" s="22">
        <f t="shared" si="24"/>
        <v>52.482360655727391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11.333333333333334</v>
      </c>
      <c r="FZ35" s="12">
        <f>IF('Données projet'!$A$244&gt;35,FZ34+FY35-GH34,IF(A35&lt;'Données projet'!$A$244,$FW$205^A35,IF(A35='Données projet'!$A$244,'Données projet'!$B$244,FZ34+FY35-GH34)))</f>
        <v>131.33333333333329</v>
      </c>
      <c r="GA35" s="17">
        <f>FZ35*VLOOKUP('Données projet'!$B$17,Paramètres!$A$1:$I$89,3,0)*VLOOKUP('Données projet'!$B$17,Paramètres!$A$1:$I$89,5,0)</f>
        <v>106.53759999999997</v>
      </c>
      <c r="GB35" s="13">
        <f t="shared" si="49"/>
        <v>28.513703898555363</v>
      </c>
      <c r="GC35" s="20">
        <f t="shared" si="25"/>
        <v>235.21435428998385</v>
      </c>
      <c r="GD35" s="59">
        <f t="shared" si="26"/>
        <v>528.54768762331719</v>
      </c>
      <c r="GE35" s="59">
        <f ca="1">AVERAGE(OFFSET($GD$3,0,0,'Données projet'!$E$17+1,1))-AVERAGE(OFFSET($H$3,0,0,'Données projet'!$E$17+1,1))</f>
        <v>298.96480270023716</v>
      </c>
      <c r="GF35" s="59">
        <f t="shared" si="50"/>
        <v>293.11447542333889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4.8925960914199562</v>
      </c>
      <c r="GM35" s="21">
        <f>EXP(-LN(2)/25)*GM34+(1-EXP(-LN(2)/25))/(LN(2)/25)*Calculateur!GH35*Calculateur!GJ35*VLOOKUP('Données projet'!$B$17,Paramètres!$A$1:$I$89,3,0)*0.475*44/12</f>
        <v>15.952912840720012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20.845508932139968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12.134615384615387</v>
      </c>
      <c r="GU35" s="12">
        <f>IF('Données projet'!$A$270&gt;35,GU34+GT35-HC34,IF(A35&lt;'Données projet'!$A$270,$GR$205^A35,IF(A35='Données projet'!$A$270,'Données projet'!$B$270,GU34+GT35-HC34)))</f>
        <v>190.23076923076925</v>
      </c>
      <c r="GV35" s="17">
        <f>GU35*VLOOKUP('Données projet'!$B$18,Paramètres!$A$1:$I$89,3,0)*VLOOKUP('Données projet'!$B$18,Paramètres!$A$1:$I$89,5,0)</f>
        <v>108.81200000000003</v>
      </c>
      <c r="GW35" s="13">
        <f t="shared" si="51"/>
        <v>29.050905860099927</v>
      </c>
      <c r="GX35" s="20">
        <f t="shared" si="28"/>
        <v>240.11122770634071</v>
      </c>
      <c r="GY35" s="59">
        <f t="shared" si="29"/>
        <v>533.444561039674</v>
      </c>
      <c r="GZ35" s="59">
        <f ca="1">AVERAGE(OFFSET($GY$3,0,0,'Données projet'!$E$18+1,1))-AVERAGE(OFFSET($H$3,0,0,'Données projet'!$E$18+1,1))</f>
        <v>320.76883487964511</v>
      </c>
      <c r="HA35" s="59">
        <f t="shared" si="52"/>
        <v>290.51177680335746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8.1398013526895632</v>
      </c>
      <c r="HH35" s="21">
        <f>EXP(-LN(2)/25)*HH34+(1-EXP(-LN(2)/25))/(LN(2)/25)*Calculateur!HC35*Calculateur!HE35*VLOOKUP('Données projet'!$B$18,Paramètres!$A$1:$I$89,3,0)*0.475*44/12</f>
        <v>14.355448317580846</v>
      </c>
      <c r="HI35" s="21">
        <f>EXP(-LN(2)/2)*HI34+(1-EXP(-LN(2)/2))/(LN(2)/2)*HC35*HF35*VLOOKUP('Données projet'!$B$18,Paramètres!$A$1:$I$89,3,0)*0.475*44/12</f>
        <v>2.2629724544138292</v>
      </c>
      <c r="HJ35" s="22">
        <f t="shared" si="30"/>
        <v>24.758222124684242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148.09860000000003</v>
      </c>
      <c r="AK36" s="13">
        <f t="shared" si="35"/>
        <v>38.146165355224731</v>
      </c>
      <c r="AL36" s="20">
        <f t="shared" si="4"/>
        <v>324.37629966034979</v>
      </c>
      <c r="AM36" s="59">
        <f t="shared" si="5"/>
        <v>617.70963299368304</v>
      </c>
      <c r="AN36" s="59">
        <f ca="1">AVERAGE(OFFSET($AM$3,0,0,'Données projet'!$E$10+1,1))-AVERAGE(OFFSET($H$3,0,0,'Données projet'!$E$10+1,1))</f>
        <v>425.47148407510412</v>
      </c>
      <c r="AO36" s="59">
        <f t="shared" si="36"/>
        <v>308.54448799922471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120.60000000000001</v>
      </c>
      <c r="BE36" s="13">
        <f>BD36*VLOOKUP('Données projet'!$B$11,Paramètres!$A$1:$I$89,3,0)*VLOOKUP('Données projet'!$B$11,Paramètres!$A$1:$I$89,5,0)</f>
        <v>105.35616000000003</v>
      </c>
      <c r="BF36" s="13">
        <f t="shared" si="37"/>
        <v>28.234128165723941</v>
      </c>
      <c r="BG36" s="20">
        <f t="shared" si="7"/>
        <v>232.66975188863589</v>
      </c>
      <c r="BH36" s="59">
        <f t="shared" si="8"/>
        <v>526.00308522196917</v>
      </c>
      <c r="BI36" s="59">
        <f ca="1">AVERAGE(OFFSET($BH$3,0,0,'Données projet'!$E$11+1,1))-AVERAGE(OFFSET($H$3,0,0,'Données projet'!$E$11+1,1))</f>
        <v>300.63505444445104</v>
      </c>
      <c r="BJ36" s="59">
        <f t="shared" si="38"/>
        <v>266.32508105927997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5.3369963369963358</v>
      </c>
      <c r="BY36" s="12">
        <f>IF('Données projet'!$A$114&gt;35,BY35+BX36-CG35,IF(A36&lt;'Données projet'!$A$114,$BV$205^A36,IF(A36='Données projet'!$A$114,'Données projet'!$B$114,BY35+BX36-CG35)))</f>
        <v>103.71611721611721</v>
      </c>
      <c r="BZ36" s="13">
        <f>BY36*VLOOKUP('Données projet'!$B$12,Paramètres!$A$1:$I$89,3,0)*VLOOKUP('Données projet'!$B$12,Paramètres!$A$1:$I$89,5,0)</f>
        <v>98.696257142857135</v>
      </c>
      <c r="CA36" s="13">
        <f t="shared" si="39"/>
        <v>26.651161963830063</v>
      </c>
      <c r="CB36" s="20">
        <f t="shared" si="10"/>
        <v>218.31342161081352</v>
      </c>
      <c r="CC36" s="59">
        <f t="shared" si="11"/>
        <v>511.64675494414683</v>
      </c>
      <c r="CD36" s="59">
        <f ca="1">AVERAGE(OFFSET($CC$3,0,0,'Données projet'!$E$12+1,1))-AVERAGE(OFFSET($H$3,0,0,'Données projet'!$E$12+1,1))</f>
        <v>361.26385625423757</v>
      </c>
      <c r="CE36" s="59">
        <f t="shared" si="40"/>
        <v>222.05197404028576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5.6</v>
      </c>
      <c r="CT36" s="12">
        <f>IF('Données projet'!$A$140&gt;35,CT35+CS36-DB35,IF(A36&lt;'Données projet'!$A$140,$CQ$205^A36,IF(A36='Données projet'!$A$140,'Données projet'!$B$140,CT35+CS36-DB35)))</f>
        <v>204.80000000000007</v>
      </c>
      <c r="CU36" s="17">
        <f>CT36*VLOOKUP('Données projet'!$B$13,Paramètres!$A$1:$I$89,3,0)*VLOOKUP('Données projet'!$B$13,Paramètres!$A$1:$I$89,5,0)</f>
        <v>185.30304000000007</v>
      </c>
      <c r="CV36" s="13">
        <f t="shared" si="41"/>
        <v>46.50001371071059</v>
      </c>
      <c r="CW36" s="20">
        <f t="shared" si="13"/>
        <v>403.7236518794877</v>
      </c>
      <c r="CX36" s="59">
        <f t="shared" si="14"/>
        <v>697.05698521282102</v>
      </c>
      <c r="CY36" s="59">
        <f ca="1">AVERAGE(OFFSET($CX$3,0,0,'Données projet'!$E$13+1,1))-AVERAGE(OFFSET($H$3,0,0,'Données projet'!$E$13+1,1))</f>
        <v>302.6937347295995</v>
      </c>
      <c r="CZ36" s="59">
        <f t="shared" si="42"/>
        <v>423.44006663873375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1.1001299566689744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1.1001299566689744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100.31422857142856</v>
      </c>
      <c r="DQ36" s="13">
        <f t="shared" si="43"/>
        <v>27.036844497782397</v>
      </c>
      <c r="DR36" s="20">
        <f t="shared" si="16"/>
        <v>221.80311892887573</v>
      </c>
      <c r="DS36" s="59">
        <f t="shared" si="17"/>
        <v>515.1364522622091</v>
      </c>
      <c r="DT36" s="59">
        <f ca="1">AVERAGE(OFFSET($DS$3,0,0,'Données projet'!$E$14+1,1))-AVERAGE(OFFSET($H$3,0,0,'Données projet'!$E$14+1,1))</f>
        <v>366.51581861366333</v>
      </c>
      <c r="DU36" s="59">
        <f t="shared" si="44"/>
        <v>225.01415116995503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11.333333333333334</v>
      </c>
      <c r="EJ36" s="12">
        <f>IF('Données projet'!$A$192&gt;35,EJ35+EI36-ER35,IF(A36&lt;'Données projet'!$A$192,$EG$205^A36,IF(A36='Données projet'!$A$192,'Données projet'!$B$192,EJ35+EI36-ER35)))</f>
        <v>142.66666666666663</v>
      </c>
      <c r="EK36" s="17">
        <f>EJ36*VLOOKUP('Données projet'!$B$15,Paramètres!$A$1:$I$89,3,0)*VLOOKUP('Données projet'!$B$15,Paramètres!$A$1:$I$89,5,0)</f>
        <v>111.27999999999997</v>
      </c>
      <c r="EL36" s="13">
        <f t="shared" si="45"/>
        <v>29.63235919562165</v>
      </c>
      <c r="EM36" s="20">
        <f t="shared" si="19"/>
        <v>245.42235893237435</v>
      </c>
      <c r="EN36" s="59">
        <f t="shared" si="20"/>
        <v>538.75569226570769</v>
      </c>
      <c r="EO36" s="59">
        <f ca="1">AVERAGE(OFFSET($EN$3,0,0,'Données projet'!$E$15+1,1))-AVERAGE(OFFSET($H$3,0,0,'Données projet'!$E$15+1,1))</f>
        <v>288.80569134263209</v>
      </c>
      <c r="EP36" s="59">
        <f t="shared" si="46"/>
        <v>283.48738729114024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3.7419480487847419</v>
      </c>
      <c r="EW36" s="21">
        <f>EXP(-LN(2)/25)*EW35+(1-EXP(-LN(2)/25))/(LN(2)/25)*Calculateur!ER36*Calculateur!ET36*VLOOKUP('Données projet'!$B$15,Paramètres!$A$1:$I$89,3,0)*0.475*44/12</f>
        <v>12.104811734525068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15.84675978330981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18.055769230769229</v>
      </c>
      <c r="FE36" s="12">
        <f>IF('Données projet'!$A$218&gt;35,FE35+FD36-FM35,IF(A36&lt;'Données projet'!$A$218,$FB$205^A36,IF(A36='Données projet'!$A$218,'Données projet'!$B$218,FE35+FD36-FM35)))</f>
        <v>272.3250000000001</v>
      </c>
      <c r="FF36" s="17">
        <f>FE36*VLOOKUP('Données projet'!$B$16,Paramètres!$A$1:$I$89,3,0)*VLOOKUP('Données projet'!$B$16,Paramètres!$A$1:$I$89,5,0)</f>
        <v>162.85035000000008</v>
      </c>
      <c r="FG36" s="13">
        <f t="shared" si="47"/>
        <v>41.484757610477807</v>
      </c>
      <c r="FH36" s="20">
        <f t="shared" si="22"/>
        <v>355.88364575491568</v>
      </c>
      <c r="FI36" s="59">
        <f t="shared" si="23"/>
        <v>649.21697908824899</v>
      </c>
      <c r="FJ36" s="59">
        <f ca="1">AVERAGE(OFFSET($FI$3,0,0,'Données projet'!$E$16+1,1))-AVERAGE(OFFSET($H$3,0,0,'Données projet'!$E$16+1,1))</f>
        <v>323.17232038705157</v>
      </c>
      <c r="FK36" s="59">
        <f t="shared" si="48"/>
        <v>402.34685738619197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26.0280915219573</v>
      </c>
      <c r="FR36" s="21">
        <f>EXP(-LN(2)/25)*FR35+(1-EXP(-LN(2)/25))/(LN(2)/25)*Calculateur!FM36*Calculateur!FO36*VLOOKUP('Données projet'!$B$16,Paramètres!$A$1:$I$89,3,0)*0.475*44/12</f>
        <v>18.844528458161726</v>
      </c>
      <c r="FS36" s="21">
        <f>EXP(-LN(2)/2)*FS35+(1-EXP(-LN(2)/2))/(LN(2)/2)*FM36*FP36*VLOOKUP('Données projet'!$B$16,Paramètres!$A$1:$I$89,3,0)*0.475*44/12</f>
        <v>4.6381574346607808</v>
      </c>
      <c r="FT36" s="22">
        <f t="shared" si="24"/>
        <v>49.51077741477981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11.333333333333334</v>
      </c>
      <c r="FZ36" s="12">
        <f>IF('Données projet'!$A$244&gt;35,FZ35+FY36-GH35,IF(A36&lt;'Données projet'!$A$244,$FW$205^A36,IF(A36='Données projet'!$A$244,'Données projet'!$B$244,FZ35+FY36-GH35)))</f>
        <v>142.66666666666663</v>
      </c>
      <c r="GA36" s="17">
        <f>FZ36*VLOOKUP('Données projet'!$B$17,Paramètres!$A$1:$I$89,3,0)*VLOOKUP('Données projet'!$B$17,Paramètres!$A$1:$I$89,5,0)</f>
        <v>115.73119999999999</v>
      </c>
      <c r="GB36" s="13">
        <f t="shared" si="49"/>
        <v>30.677282667446153</v>
      </c>
      <c r="GC36" s="20">
        <f t="shared" si="25"/>
        <v>254.99477397913537</v>
      </c>
      <c r="GD36" s="59">
        <f t="shared" si="26"/>
        <v>548.32810731246866</v>
      </c>
      <c r="GE36" s="59">
        <f ca="1">AVERAGE(OFFSET($GD$3,0,0,'Données projet'!$E$17+1,1))-AVERAGE(OFFSET($H$3,0,0,'Données projet'!$E$17+1,1))</f>
        <v>298.96480270023716</v>
      </c>
      <c r="GF36" s="59">
        <f t="shared" si="50"/>
        <v>293.11447542333889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4.7966552662561623</v>
      </c>
      <c r="GM36" s="21">
        <f>EXP(-LN(2)/25)*GM35+(1-EXP(-LN(2)/25))/(LN(2)/25)*Calculateur!GH36*Calculateur!GJ36*VLOOKUP('Données projet'!$B$17,Paramètres!$A$1:$I$89,3,0)*0.475*44/12</f>
        <v>15.516679600163299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20.31333486641946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12.134615384615387</v>
      </c>
      <c r="GU36" s="12">
        <f>IF('Données projet'!$A$270&gt;35,GU35+GT36-HC35,IF(A36&lt;'Données projet'!$A$270,$GR$205^A36,IF(A36='Données projet'!$A$270,'Données projet'!$B$270,GU35+GT36-HC35)))</f>
        <v>202.36538461538464</v>
      </c>
      <c r="GV36" s="17">
        <f>GU36*VLOOKUP('Données projet'!$B$18,Paramètres!$A$1:$I$89,3,0)*VLOOKUP('Données projet'!$B$18,Paramètres!$A$1:$I$89,5,0)</f>
        <v>115.75300000000001</v>
      </c>
      <c r="GW36" s="13">
        <f t="shared" si="51"/>
        <v>30.682388585867784</v>
      </c>
      <c r="GX36" s="20">
        <f t="shared" si="28"/>
        <v>255.04163512038642</v>
      </c>
      <c r="GY36" s="59">
        <f t="shared" si="29"/>
        <v>548.3749684537197</v>
      </c>
      <c r="GZ36" s="59">
        <f ca="1">AVERAGE(OFFSET($GY$3,0,0,'Données projet'!$E$18+1,1))-AVERAGE(OFFSET($H$3,0,0,'Données projet'!$E$18+1,1))</f>
        <v>320.76883487964511</v>
      </c>
      <c r="HA36" s="59">
        <f t="shared" si="52"/>
        <v>290.51177680335746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7.9801848129519142</v>
      </c>
      <c r="HH36" s="21">
        <f>EXP(-LN(2)/25)*HH35+(1-EXP(-LN(2)/25))/(LN(2)/25)*Calculateur!HC36*Calculateur!HE36*VLOOKUP('Données projet'!$B$18,Paramètres!$A$1:$I$89,3,0)*0.475*44/12</f>
        <v>13.962897828416381</v>
      </c>
      <c r="HI36" s="21">
        <f>EXP(-LN(2)/2)*HI35+(1-EXP(-LN(2)/2))/(LN(2)/2)*HC36*HF36*VLOOKUP('Données projet'!$B$18,Paramètres!$A$1:$I$89,3,0)*0.475*44/12</f>
        <v>1.600163168154384</v>
      </c>
      <c r="HJ36" s="22">
        <f t="shared" si="30"/>
        <v>23.543245809522681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156.26780000000002</v>
      </c>
      <c r="AK37" s="13">
        <f t="shared" si="35"/>
        <v>39.999554405940785</v>
      </c>
      <c r="AL37" s="20">
        <f t="shared" si="4"/>
        <v>341.83230892368027</v>
      </c>
      <c r="AM37" s="59">
        <f t="shared" si="5"/>
        <v>635.16564225701359</v>
      </c>
      <c r="AN37" s="59">
        <f ca="1">AVERAGE(OFFSET($AM$3,0,0,'Données projet'!$E$10+1,1))-AVERAGE(OFFSET($H$3,0,0,'Données projet'!$E$10+1,1))</f>
        <v>425.47148407510412</v>
      </c>
      <c r="AO37" s="59">
        <f t="shared" si="36"/>
        <v>308.54448799922471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127.80000000000001</v>
      </c>
      <c r="BE37" s="13">
        <f>BD37*VLOOKUP('Données projet'!$B$11,Paramètres!$A$1:$I$89,3,0)*VLOOKUP('Données projet'!$B$11,Paramètres!$A$1:$I$89,5,0)</f>
        <v>111.64608000000003</v>
      </c>
      <c r="BF37" s="13">
        <f t="shared" si="37"/>
        <v>29.718477955114288</v>
      </c>
      <c r="BG37" s="20">
        <f t="shared" si="7"/>
        <v>246.20993843849078</v>
      </c>
      <c r="BH37" s="59">
        <f t="shared" si="8"/>
        <v>539.54327177182404</v>
      </c>
      <c r="BI37" s="59">
        <f ca="1">AVERAGE(OFFSET($BH$3,0,0,'Données projet'!$E$11+1,1))-AVERAGE(OFFSET($H$3,0,0,'Données projet'!$E$11+1,1))</f>
        <v>300.63505444445104</v>
      </c>
      <c r="BJ37" s="59">
        <f t="shared" si="38"/>
        <v>266.32508105927997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5.3369963369963358</v>
      </c>
      <c r="BY37" s="12">
        <f>IF('Données projet'!$A$114&gt;35,BY36+BX37-CG36,IF(A37&lt;'Données projet'!$A$114,$BV$205^A37,IF(A37='Données projet'!$A$114,'Données projet'!$B$114,BY36+BX37-CG36)))</f>
        <v>109.05311355311355</v>
      </c>
      <c r="BZ37" s="13">
        <f>BY37*VLOOKUP('Données projet'!$B$12,Paramètres!$A$1:$I$89,3,0)*VLOOKUP('Données projet'!$B$12,Paramètres!$A$1:$I$89,5,0)</f>
        <v>103.77494285714286</v>
      </c>
      <c r="CA37" s="13">
        <f t="shared" si="39"/>
        <v>27.859377004589561</v>
      </c>
      <c r="CB37" s="20">
        <f t="shared" si="10"/>
        <v>229.26310709251729</v>
      </c>
      <c r="CC37" s="59">
        <f t="shared" si="11"/>
        <v>522.59644042585057</v>
      </c>
      <c r="CD37" s="59">
        <f ca="1">AVERAGE(OFFSET($CC$3,0,0,'Données projet'!$E$12+1,1))-AVERAGE(OFFSET($H$3,0,0,'Données projet'!$E$12+1,1))</f>
        <v>361.26385625423757</v>
      </c>
      <c r="CE37" s="59">
        <f t="shared" si="40"/>
        <v>222.05197404028576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5.6</v>
      </c>
      <c r="CT37" s="12">
        <f>IF('Données projet'!$A$140&gt;35,CT36+CS37-DB36,IF(A37&lt;'Données projet'!$A$140,$CQ$205^A37,IF(A37='Données projet'!$A$140,'Données projet'!$B$140,CT36+CS37-DB36)))</f>
        <v>210.40000000000006</v>
      </c>
      <c r="CU37" s="17">
        <f>CT37*VLOOKUP('Données projet'!$B$13,Paramètres!$A$1:$I$89,3,0)*VLOOKUP('Données projet'!$B$13,Paramètres!$A$1:$I$89,5,0)</f>
        <v>190.36992000000004</v>
      </c>
      <c r="CV37" s="13">
        <f t="shared" si="41"/>
        <v>47.621727650589136</v>
      </c>
      <c r="CW37" s="20">
        <f t="shared" si="13"/>
        <v>414.50211965810945</v>
      </c>
      <c r="CX37" s="59">
        <f t="shared" si="14"/>
        <v>707.83545299144271</v>
      </c>
      <c r="CY37" s="59">
        <f ca="1">AVERAGE(OFFSET($CX$3,0,0,'Données projet'!$E$13+1,1))-AVERAGE(OFFSET($H$3,0,0,'Données projet'!$E$13+1,1))</f>
        <v>302.6937347295995</v>
      </c>
      <c r="CZ37" s="59">
        <f t="shared" si="42"/>
        <v>423.44006663873375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1.0700468451505412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1.0700468451505412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105.47617142857143</v>
      </c>
      <c r="DQ37" s="13">
        <f t="shared" si="43"/>
        <v>28.262544233547384</v>
      </c>
      <c r="DR37" s="20">
        <f t="shared" si="16"/>
        <v>232.92826311152359</v>
      </c>
      <c r="DS37" s="59">
        <f t="shared" si="17"/>
        <v>526.26159644485688</v>
      </c>
      <c r="DT37" s="59">
        <f ca="1">AVERAGE(OFFSET($DS$3,0,0,'Données projet'!$E$14+1,1))-AVERAGE(OFFSET($H$3,0,0,'Données projet'!$E$14+1,1))</f>
        <v>366.51581861366333</v>
      </c>
      <c r="DU37" s="59">
        <f t="shared" si="44"/>
        <v>225.01415116995503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11.333333333333334</v>
      </c>
      <c r="EJ37" s="12">
        <f>IF('Données projet'!$A$192&gt;35,EJ36+EI37-ER36,IF(A37&lt;'Données projet'!$A$192,$EG$205^A37,IF(A37='Données projet'!$A$192,'Données projet'!$B$192,EJ36+EI37-ER36)))</f>
        <v>153.99999999999997</v>
      </c>
      <c r="EK37" s="17">
        <f>EJ37*VLOOKUP('Données projet'!$B$15,Paramètres!$A$1:$I$89,3,0)*VLOOKUP('Données projet'!$B$15,Paramètres!$A$1:$I$89,5,0)</f>
        <v>120.11999999999998</v>
      </c>
      <c r="EL37" s="13">
        <f t="shared" si="45"/>
        <v>31.702985695201871</v>
      </c>
      <c r="EM37" s="20">
        <f t="shared" si="19"/>
        <v>264.42503341914323</v>
      </c>
      <c r="EN37" s="59">
        <f t="shared" si="20"/>
        <v>557.7583667524766</v>
      </c>
      <c r="EO37" s="59">
        <f ca="1">AVERAGE(OFFSET($EN$3,0,0,'Données projet'!$E$15+1,1))-AVERAGE(OFFSET($H$3,0,0,'Données projet'!$E$15+1,1))</f>
        <v>288.80569134263209</v>
      </c>
      <c r="EP37" s="59">
        <f t="shared" si="46"/>
        <v>283.48738729114024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3.6685707299110182</v>
      </c>
      <c r="EW37" s="21">
        <f>EXP(-LN(2)/25)*EW36+(1-EXP(-LN(2)/25))/(LN(2)/25)*Calculateur!ER37*Calculateur!ET37*VLOOKUP('Données projet'!$B$15,Paramètres!$A$1:$I$89,3,0)*0.475*44/12</f>
        <v>11.773805021080097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15.442375750991115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18.055769230769229</v>
      </c>
      <c r="FE37" s="12">
        <f>IF('Données projet'!$A$218&gt;35,FE36+FD37-FM36,IF(A37&lt;'Données projet'!$A$218,$FB$205^A37,IF(A37='Données projet'!$A$218,'Données projet'!$B$218,FE36+FD37-FM36)))</f>
        <v>290.38076923076932</v>
      </c>
      <c r="FF37" s="17">
        <f>FE37*VLOOKUP('Données projet'!$B$16,Paramètres!$A$1:$I$89,3,0)*VLOOKUP('Données projet'!$B$16,Paramètres!$A$1:$I$89,5,0)</f>
        <v>173.64770000000004</v>
      </c>
      <c r="FG37" s="13">
        <f t="shared" si="47"/>
        <v>43.905974872685142</v>
      </c>
      <c r="FH37" s="20">
        <f t="shared" si="22"/>
        <v>378.90598373659333</v>
      </c>
      <c r="FI37" s="59">
        <f t="shared" si="23"/>
        <v>672.23931706992664</v>
      </c>
      <c r="FJ37" s="59">
        <f ca="1">AVERAGE(OFFSET($FI$3,0,0,'Données projet'!$E$16+1,1))-AVERAGE(OFFSET($H$3,0,0,'Données projet'!$E$16+1,1))</f>
        <v>323.17232038705157</v>
      </c>
      <c r="FK37" s="59">
        <f t="shared" si="48"/>
        <v>402.34685738619197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25.517696522779964</v>
      </c>
      <c r="FR37" s="21">
        <f>EXP(-LN(2)/25)*FR36+(1-EXP(-LN(2)/25))/(LN(2)/25)*Calculateur!FM37*Calculateur!FO37*VLOOKUP('Données projet'!$B$16,Paramètres!$A$1:$I$89,3,0)*0.475*44/12</f>
        <v>18.329223836482612</v>
      </c>
      <c r="FS37" s="21">
        <f>EXP(-LN(2)/2)*FS36+(1-EXP(-LN(2)/2))/(LN(2)/2)*FM37*FP37*VLOOKUP('Données projet'!$B$16,Paramètres!$A$1:$I$89,3,0)*0.475*44/12</f>
        <v>3.2796725742594397</v>
      </c>
      <c r="FT37" s="22">
        <f t="shared" si="24"/>
        <v>47.126592933522019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11.333333333333334</v>
      </c>
      <c r="FZ37" s="12">
        <f>IF('Données projet'!$A$244&gt;35,FZ36+FY37-GH36,IF(A37&lt;'Données projet'!$A$244,$FW$205^A37,IF(A37='Données projet'!$A$244,'Données projet'!$B$244,FZ36+FY37-GH36)))</f>
        <v>153.99999999999997</v>
      </c>
      <c r="GA37" s="17">
        <f>FZ37*VLOOKUP('Données projet'!$B$17,Paramètres!$A$1:$I$89,3,0)*VLOOKUP('Données projet'!$B$17,Paramètres!$A$1:$I$89,5,0)</f>
        <v>124.92479999999998</v>
      </c>
      <c r="GB37" s="13">
        <f t="shared" si="49"/>
        <v>32.820925500842712</v>
      </c>
      <c r="GC37" s="20">
        <f t="shared" si="25"/>
        <v>274.74047191396772</v>
      </c>
      <c r="GD37" s="59">
        <f t="shared" si="26"/>
        <v>568.07380524730104</v>
      </c>
      <c r="GE37" s="59">
        <f ca="1">AVERAGE(OFFSET($GD$3,0,0,'Données projet'!$E$17+1,1))-AVERAGE(OFFSET($H$3,0,0,'Données projet'!$E$17+1,1))</f>
        <v>298.96480270023716</v>
      </c>
      <c r="GF37" s="59">
        <f t="shared" si="50"/>
        <v>293.11447542333889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4.7025957821557052</v>
      </c>
      <c r="GM37" s="21">
        <f>EXP(-LN(2)/25)*GM36+(1-EXP(-LN(2)/25))/(LN(2)/25)*Calculateur!GH37*Calculateur!GJ37*VLOOKUP('Données projet'!$B$17,Paramètres!$A$1:$I$89,3,0)*0.475*44/12</f>
        <v>15.092375180510118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19.794970962665822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12.134615384615387</v>
      </c>
      <c r="GU37" s="12">
        <f>IF('Données projet'!$A$270&gt;35,GU36+GT37-HC36,IF(A37&lt;'Données projet'!$A$270,$GR$205^A37,IF(A37='Données projet'!$A$270,'Données projet'!$B$270,GU36+GT37-HC36)))</f>
        <v>214.50000000000003</v>
      </c>
      <c r="GV37" s="17">
        <f>GU37*VLOOKUP('Données projet'!$B$18,Paramètres!$A$1:$I$89,3,0)*VLOOKUP('Données projet'!$B$18,Paramètres!$A$1:$I$89,5,0)</f>
        <v>122.69400000000002</v>
      </c>
      <c r="GW37" s="13">
        <f t="shared" si="51"/>
        <v>32.302516360650685</v>
      </c>
      <c r="GX37" s="20">
        <f t="shared" si="28"/>
        <v>269.95226599479992</v>
      </c>
      <c r="GY37" s="59">
        <f t="shared" si="29"/>
        <v>563.28559932813323</v>
      </c>
      <c r="GZ37" s="59">
        <f ca="1">AVERAGE(OFFSET($GY$3,0,0,'Données projet'!$E$18+1,1))-AVERAGE(OFFSET($H$3,0,0,'Données projet'!$E$18+1,1))</f>
        <v>320.76883487964511</v>
      </c>
      <c r="HA37" s="59">
        <f t="shared" si="52"/>
        <v>290.51177680335746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7.8236982562020438</v>
      </c>
      <c r="HH37" s="21">
        <f>EXP(-LN(2)/25)*HH36+(1-EXP(-LN(2)/25))/(LN(2)/25)*Calculateur!HC37*Calculateur!HE37*VLOOKUP('Données projet'!$B$18,Paramètres!$A$1:$I$89,3,0)*0.475*44/12</f>
        <v>13.581081653021451</v>
      </c>
      <c r="HI37" s="21">
        <f>EXP(-LN(2)/2)*HI36+(1-EXP(-LN(2)/2))/(LN(2)/2)*HC37*HF37*VLOOKUP('Données projet'!$B$18,Paramètres!$A$1:$I$89,3,0)*0.475*44/12</f>
        <v>1.1314862272069146</v>
      </c>
      <c r="HJ37" s="22">
        <f t="shared" si="30"/>
        <v>22.53626613643041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164.43700000000001</v>
      </c>
      <c r="AK38" s="13">
        <f t="shared" si="35"/>
        <v>41.841694355997333</v>
      </c>
      <c r="AL38" s="20">
        <f t="shared" si="4"/>
        <v>359.26872600336202</v>
      </c>
      <c r="AM38" s="59">
        <f t="shared" si="5"/>
        <v>652.60205933669533</v>
      </c>
      <c r="AN38" s="59">
        <f ca="1">AVERAGE(OFFSET($AM$3,0,0,'Données projet'!$E$10+1,1))-AVERAGE(OFFSET($H$3,0,0,'Données projet'!$E$10+1,1))</f>
        <v>425.47148407510412</v>
      </c>
      <c r="AO38" s="59">
        <f t="shared" si="36"/>
        <v>308.54448799922471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135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135</v>
      </c>
      <c r="BE38" s="13">
        <f>BD38*VLOOKUP('Données projet'!$B$11,Paramètres!$A$1:$I$89,3,0)*VLOOKUP('Données projet'!$B$11,Paramètres!$A$1:$I$89,5,0)</f>
        <v>117.93600000000002</v>
      </c>
      <c r="BF38" s="13">
        <f t="shared" si="37"/>
        <v>31.1931201812605</v>
      </c>
      <c r="BG38" s="20">
        <f t="shared" si="7"/>
        <v>259.73321764902875</v>
      </c>
      <c r="BH38" s="59">
        <f t="shared" si="8"/>
        <v>553.06655098236206</v>
      </c>
      <c r="BI38" s="59">
        <f ca="1">AVERAGE(OFFSET($BH$3,0,0,'Données projet'!$E$11+1,1))-AVERAGE(OFFSET($H$3,0,0,'Données projet'!$E$11+1,1))</f>
        <v>300.63505444445104</v>
      </c>
      <c r="BJ38" s="59">
        <f t="shared" si="38"/>
        <v>266.32508105927997</v>
      </c>
      <c r="BK38" s="15">
        <f>IF(ISNA(VLOOKUP(A38,'Données projet'!$A$87:$I$107,3,0)),0,VLOOKUP(A38,'Données projet'!$A$87:$I$107,3,0))</f>
        <v>4</v>
      </c>
      <c r="BL38" s="15" t="str">
        <f>IF(ISNA(VLOOKUP(A38,'Données projet'!$A$87:$I$107,4,0)),0,VLOOKUP(A38,'Données projet'!$A$87:$I$107,4,0))</f>
        <v>20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5.3369963369963358</v>
      </c>
      <c r="BY38" s="12">
        <f>IF('Données projet'!$A$114&gt;35,BY37+BX38-CG37,IF(A38&lt;'Données projet'!$A$114,$BV$205^A38,IF(A38='Données projet'!$A$114,'Données projet'!$B$114,BY37+BX38-CG37)))</f>
        <v>114.39010989010988</v>
      </c>
      <c r="BZ38" s="13">
        <f>BY38*VLOOKUP('Données projet'!$B$12,Paramètres!$A$1:$I$89,3,0)*VLOOKUP('Données projet'!$B$12,Paramètres!$A$1:$I$89,5,0)</f>
        <v>108.85362857142857</v>
      </c>
      <c r="CA38" s="13">
        <f t="shared" si="39"/>
        <v>29.060726062346895</v>
      </c>
      <c r="CB38" s="20">
        <f t="shared" si="10"/>
        <v>240.20083432049225</v>
      </c>
      <c r="CC38" s="59">
        <f t="shared" si="11"/>
        <v>533.53416765382553</v>
      </c>
      <c r="CD38" s="59">
        <f ca="1">AVERAGE(OFFSET($CC$3,0,0,'Données projet'!$E$12+1,1))-AVERAGE(OFFSET($H$3,0,0,'Données projet'!$E$12+1,1))</f>
        <v>361.26385625423757</v>
      </c>
      <c r="CE38" s="59">
        <f t="shared" si="40"/>
        <v>222.05197404028576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216</v>
      </c>
      <c r="CR38" s="12">
        <f>VLOOKUP(A38,'Données projet'!$A$139:$I$159,9,0)</f>
        <v>5.6</v>
      </c>
      <c r="CS38" s="12">
        <f t="array" ref="CS38">INDEX(CR:CR,MIN(IF(ISNUMBER(CR38:CR234),ROW(CR38:CR234),"")))</f>
        <v>5.6</v>
      </c>
      <c r="CT38" s="12">
        <f>IF('Données projet'!$A$140&gt;35,CT37+CS38-DB37,IF(A38&lt;'Données projet'!$A$140,$CQ$205^A38,IF(A38='Données projet'!$A$140,'Données projet'!$B$140,CT37+CS38-DB37)))</f>
        <v>216.00000000000006</v>
      </c>
      <c r="CU38" s="17">
        <f>CT38*VLOOKUP('Données projet'!$B$13,Paramètres!$A$1:$I$89,3,0)*VLOOKUP('Données projet'!$B$13,Paramètres!$A$1:$I$89,5,0)</f>
        <v>195.43680000000006</v>
      </c>
      <c r="CV38" s="13">
        <f t="shared" si="41"/>
        <v>48.739971354487849</v>
      </c>
      <c r="CW38" s="20">
        <f t="shared" si="13"/>
        <v>425.27454344239982</v>
      </c>
      <c r="CX38" s="59">
        <f t="shared" si="14"/>
        <v>718.60787677573308</v>
      </c>
      <c r="CY38" s="59">
        <f ca="1">AVERAGE(OFFSET($CX$3,0,0,'Données projet'!$E$13+1,1))-AVERAGE(OFFSET($H$3,0,0,'Données projet'!$E$13+1,1))</f>
        <v>302.6937347295995</v>
      </c>
      <c r="CZ38" s="59">
        <f t="shared" si="42"/>
        <v>423.44006663873375</v>
      </c>
      <c r="DA38" s="15">
        <f>IF(ISNA(VLOOKUP(A38,'Données projet'!$A$139:$I$159,3,0)),0,VLOOKUP(A38,'Données projet'!$A$139:$I$159,3,0))</f>
        <v>7</v>
      </c>
      <c r="DB38" s="15">
        <f>IF(ISNA(VLOOKUP(A38,'Données projet'!$A$139:$I$159,4,0)),0,VLOOKUP(A38,'Données projet'!$A$139:$I$159,4,0))</f>
        <v>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0.15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2.0868922379673558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2.0868922379673558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110.63811428571428</v>
      </c>
      <c r="DQ38" s="13">
        <f t="shared" si="43"/>
        <v>29.481278625174436</v>
      </c>
      <c r="DR38" s="20">
        <f t="shared" si="16"/>
        <v>244.04127598646448</v>
      </c>
      <c r="DS38" s="59">
        <f t="shared" si="17"/>
        <v>537.37460931979786</v>
      </c>
      <c r="DT38" s="59">
        <f ca="1">AVERAGE(OFFSET($DS$3,0,0,'Données projet'!$E$14+1,1))-AVERAGE(OFFSET($H$3,0,0,'Données projet'!$E$14+1,1))</f>
        <v>366.51581861366333</v>
      </c>
      <c r="DU38" s="59">
        <f t="shared" si="44"/>
        <v>225.01415116995503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11.333333333333334</v>
      </c>
      <c r="EJ38" s="12">
        <f>IF('Données projet'!$A$192&gt;35,EJ37+EI38-ER37,IF(A38&lt;'Données projet'!$A$192,$EG$205^A38,IF(A38='Données projet'!$A$192,'Données projet'!$B$192,EJ37+EI38-ER37)))</f>
        <v>165.33333333333331</v>
      </c>
      <c r="EK38" s="17">
        <f>EJ38*VLOOKUP('Données projet'!$B$15,Paramètres!$A$1:$I$89,3,0)*VLOOKUP('Données projet'!$B$15,Paramètres!$A$1:$I$89,5,0)</f>
        <v>128.95999999999998</v>
      </c>
      <c r="EL38" s="13">
        <f t="shared" si="45"/>
        <v>33.755933643031135</v>
      </c>
      <c r="EM38" s="20">
        <f t="shared" si="19"/>
        <v>283.39691776161254</v>
      </c>
      <c r="EN38" s="59">
        <f t="shared" si="20"/>
        <v>576.73025109494586</v>
      </c>
      <c r="EO38" s="59">
        <f ca="1">AVERAGE(OFFSET($EN$3,0,0,'Données projet'!$E$15+1,1))-AVERAGE(OFFSET($H$3,0,0,'Données projet'!$E$15+1,1))</f>
        <v>288.80569134263209</v>
      </c>
      <c r="EP38" s="59">
        <f t="shared" si="46"/>
        <v>283.48738729114024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3.596632295504663</v>
      </c>
      <c r="EW38" s="21">
        <f>EXP(-LN(2)/25)*EW37+(1-EXP(-LN(2)/25))/(LN(2)/25)*Calculateur!ER38*Calculateur!ET38*VLOOKUP('Données projet'!$B$15,Paramètres!$A$1:$I$89,3,0)*0.475*44/12</f>
        <v>11.451849703621166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15.04848199912583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18.055769230769229</v>
      </c>
      <c r="FE38" s="12">
        <f>IF('Données projet'!$A$218&gt;35,FE37+FD38-FM37,IF(A38&lt;'Données projet'!$A$218,$FB$205^A38,IF(A38='Données projet'!$A$218,'Données projet'!$B$218,FE37+FD38-FM37)))</f>
        <v>308.43653846153853</v>
      </c>
      <c r="FF38" s="17">
        <f>FE38*VLOOKUP('Données projet'!$B$16,Paramètres!$A$1:$I$89,3,0)*VLOOKUP('Données projet'!$B$16,Paramètres!$A$1:$I$89,5,0)</f>
        <v>184.44505000000007</v>
      </c>
      <c r="FG38" s="13">
        <f t="shared" si="47"/>
        <v>46.309719450497106</v>
      </c>
      <c r="FH38" s="20">
        <f t="shared" si="22"/>
        <v>401.89789012628256</v>
      </c>
      <c r="FI38" s="59">
        <f t="shared" si="23"/>
        <v>695.23122345961588</v>
      </c>
      <c r="FJ38" s="59">
        <f ca="1">AVERAGE(OFFSET($FI$3,0,0,'Données projet'!$E$16+1,1))-AVERAGE(OFFSET($H$3,0,0,'Données projet'!$E$16+1,1))</f>
        <v>323.17232038705157</v>
      </c>
      <c r="FK38" s="59">
        <f t="shared" si="48"/>
        <v>402.34685738619197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25.017310058226286</v>
      </c>
      <c r="FR38" s="21">
        <f>EXP(-LN(2)/25)*FR37+(1-EXP(-LN(2)/25))/(LN(2)/25)*Calculateur!FM38*Calculateur!FO38*VLOOKUP('Données projet'!$B$16,Paramètres!$A$1:$I$89,3,0)*0.475*44/12</f>
        <v>17.828010246782004</v>
      </c>
      <c r="FS38" s="21">
        <f>EXP(-LN(2)/2)*FS37+(1-EXP(-LN(2)/2))/(LN(2)/2)*FM38*FP38*VLOOKUP('Données projet'!$B$16,Paramètres!$A$1:$I$89,3,0)*0.475*44/12</f>
        <v>2.3190787173303908</v>
      </c>
      <c r="FT38" s="22">
        <f t="shared" si="24"/>
        <v>45.164399022338678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11.333333333333334</v>
      </c>
      <c r="FZ38" s="12">
        <f>IF('Données projet'!$A$244&gt;35,FZ37+FY38-GH37,IF(A38&lt;'Données projet'!$A$244,$FW$205^A38,IF(A38='Données projet'!$A$244,'Données projet'!$B$244,FZ37+FY38-GH37)))</f>
        <v>165.33333333333331</v>
      </c>
      <c r="GA38" s="17">
        <f>FZ38*VLOOKUP('Données projet'!$B$17,Paramètres!$A$1:$I$89,3,0)*VLOOKUP('Données projet'!$B$17,Paramètres!$A$1:$I$89,5,0)</f>
        <v>134.11840000000001</v>
      </c>
      <c r="GB38" s="13">
        <f t="shared" si="49"/>
        <v>34.946266385156008</v>
      </c>
      <c r="GC38" s="20">
        <f t="shared" si="25"/>
        <v>294.45429395414675</v>
      </c>
      <c r="GD38" s="59">
        <f t="shared" si="26"/>
        <v>587.78762728748006</v>
      </c>
      <c r="GE38" s="59">
        <f ca="1">AVERAGE(OFFSET($GD$3,0,0,'Données projet'!$E$17+1,1))-AVERAGE(OFFSET($H$3,0,0,'Données projet'!$E$17+1,1))</f>
        <v>298.96480270023716</v>
      </c>
      <c r="GF38" s="59">
        <f t="shared" si="50"/>
        <v>293.11447542333889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4.610380747167838</v>
      </c>
      <c r="GM38" s="21">
        <f>EXP(-LN(2)/25)*GM37+(1-EXP(-LN(2)/25))/(LN(2)/25)*Calculateur!GH38*Calculateur!GJ38*VLOOKUP('Données projet'!$B$17,Paramètres!$A$1:$I$89,3,0)*0.475*44/12</f>
        <v>14.679673387525552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19.290054134693392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12.134615384615387</v>
      </c>
      <c r="GU38" s="12">
        <f>IF('Données projet'!$A$270&gt;35,GU37+GT38-HC37,IF(A38&lt;'Données projet'!$A$270,$GR$205^A38,IF(A38='Données projet'!$A$270,'Données projet'!$B$270,GU37+GT38-HC37)))</f>
        <v>226.63461538461542</v>
      </c>
      <c r="GV38" s="17">
        <f>GU38*VLOOKUP('Données projet'!$B$18,Paramètres!$A$1:$I$89,3,0)*VLOOKUP('Données projet'!$B$18,Paramètres!$A$1:$I$89,5,0)</f>
        <v>129.63500000000002</v>
      </c>
      <c r="GW38" s="13">
        <f t="shared" si="51"/>
        <v>33.912004752659435</v>
      </c>
      <c r="GX38" s="20">
        <f t="shared" si="28"/>
        <v>284.84436661088188</v>
      </c>
      <c r="GY38" s="59">
        <f t="shared" si="29"/>
        <v>578.17769994421519</v>
      </c>
      <c r="GZ38" s="59">
        <f ca="1">AVERAGE(OFFSET($GY$3,0,0,'Données projet'!$E$18+1,1))-AVERAGE(OFFSET($H$3,0,0,'Données projet'!$E$18+1,1))</f>
        <v>320.76883487964511</v>
      </c>
      <c r="HA38" s="59">
        <f t="shared" si="52"/>
        <v>290.51177680335746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7.670280305382664</v>
      </c>
      <c r="HH38" s="21">
        <f>EXP(-LN(2)/25)*HH37+(1-EXP(-LN(2)/25))/(LN(2)/25)*Calculateur!HC38*Calculateur!HE38*VLOOKUP('Données projet'!$B$18,Paramètres!$A$1:$I$89,3,0)*0.475*44/12</f>
        <v>13.209706261021536</v>
      </c>
      <c r="HI38" s="21">
        <f>EXP(-LN(2)/2)*HI37+(1-EXP(-LN(2)/2))/(LN(2)/2)*HC38*HF38*VLOOKUP('Données projet'!$B$18,Paramètres!$A$1:$I$89,3,0)*0.475*44/12</f>
        <v>0.80008158407719199</v>
      </c>
      <c r="HJ38" s="22">
        <f t="shared" si="30"/>
        <v>21.680068150481389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112.43050000000004</v>
      </c>
      <c r="AK39" s="13">
        <f t="shared" si="35"/>
        <v>29.902898919263393</v>
      </c>
      <c r="AL39" s="20">
        <f t="shared" si="4"/>
        <v>247.89733645105048</v>
      </c>
      <c r="AM39" s="59">
        <f t="shared" si="5"/>
        <v>541.23066978438374</v>
      </c>
      <c r="AN39" s="59">
        <f ca="1">AVERAGE(OFFSET($AM$3,0,0,'Données projet'!$E$10+1,1))-AVERAGE(OFFSET($H$3,0,0,'Données projet'!$E$10+1,1))</f>
        <v>425.47148407510412</v>
      </c>
      <c r="AO39" s="59">
        <f t="shared" si="36"/>
        <v>308.54448799922471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122</v>
      </c>
      <c r="BE39" s="13">
        <f>BD39*VLOOKUP('Données projet'!$B$11,Paramètres!$A$1:$I$89,3,0)*VLOOKUP('Données projet'!$B$11,Paramètres!$A$1:$I$89,5,0)</f>
        <v>106.57920000000001</v>
      </c>
      <c r="BF39" s="13">
        <f t="shared" si="37"/>
        <v>28.523541515222938</v>
      </c>
      <c r="BG39" s="20">
        <f t="shared" si="7"/>
        <v>235.30394147234665</v>
      </c>
      <c r="BH39" s="59">
        <f t="shared" si="8"/>
        <v>528.63727480567991</v>
      </c>
      <c r="BI39" s="59">
        <f ca="1">AVERAGE(OFFSET($BH$3,0,0,'Données projet'!$E$11+1,1))-AVERAGE(OFFSET($H$3,0,0,'Données projet'!$E$11+1,1))</f>
        <v>300.63505444445104</v>
      </c>
      <c r="BJ39" s="59">
        <f t="shared" si="38"/>
        <v>266.32508105927997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5.3369963369963358</v>
      </c>
      <c r="BY39" s="12">
        <f>IF('Données projet'!$A$114&gt;35,BY38+BX39-CG38,IF(A39&lt;'Données projet'!$A$114,$BV$205^A39,IF(A39='Données projet'!$A$114,'Données projet'!$B$114,BY38+BX39-CG38)))</f>
        <v>119.72710622710622</v>
      </c>
      <c r="BZ39" s="13">
        <f>BY39*VLOOKUP('Données projet'!$B$12,Paramètres!$A$1:$I$89,3,0)*VLOOKUP('Données projet'!$B$12,Paramètres!$A$1:$I$89,5,0)</f>
        <v>113.93231428571427</v>
      </c>
      <c r="CA39" s="13">
        <f t="shared" si="39"/>
        <v>30.25556606009021</v>
      </c>
      <c r="CB39" s="20">
        <f t="shared" si="10"/>
        <v>251.12722493560943</v>
      </c>
      <c r="CC39" s="59">
        <f t="shared" si="11"/>
        <v>544.4605582689428</v>
      </c>
      <c r="CD39" s="59">
        <f ca="1">AVERAGE(OFFSET($CC$3,0,0,'Données projet'!$E$12+1,1))-AVERAGE(OFFSET($H$3,0,0,'Données projet'!$E$12+1,1))</f>
        <v>361.26385625423757</v>
      </c>
      <c r="CE39" s="59">
        <f t="shared" si="40"/>
        <v>222.05197404028576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4.8</v>
      </c>
      <c r="CT39" s="12">
        <f>IF('Données projet'!$A$140&gt;35,CT38+CS39-DB38,IF(A39&lt;'Données projet'!$A$140,$CQ$205^A39,IF(A39='Données projet'!$A$140,'Données projet'!$B$140,CT38+CS39-DB38)))</f>
        <v>213.80000000000007</v>
      </c>
      <c r="CU39" s="17">
        <f>CT39*VLOOKUP('Données projet'!$B$13,Paramètres!$A$1:$I$89,3,0)*VLOOKUP('Données projet'!$B$13,Paramètres!$A$1:$I$89,5,0)</f>
        <v>193.44624000000005</v>
      </c>
      <c r="CV39" s="13">
        <f t="shared" si="41"/>
        <v>48.301068656218547</v>
      </c>
      <c r="CW39" s="20">
        <f t="shared" si="13"/>
        <v>421.04322924291404</v>
      </c>
      <c r="CX39" s="59">
        <f t="shared" si="14"/>
        <v>714.37656257624735</v>
      </c>
      <c r="CY39" s="59">
        <f ca="1">AVERAGE(OFFSET($CX$3,0,0,'Données projet'!$E$13+1,1))-AVERAGE(OFFSET($H$3,0,0,'Données projet'!$E$13+1,1))</f>
        <v>302.6937347295995</v>
      </c>
      <c r="CZ39" s="59">
        <f t="shared" si="42"/>
        <v>423.44006663873375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2.0298260599752451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2.0298260599752451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115.80005714285714</v>
      </c>
      <c r="DQ39" s="13">
        <f t="shared" si="43"/>
        <v>30.693409760865983</v>
      </c>
      <c r="DR39" s="20">
        <f t="shared" si="16"/>
        <v>255.14278819065109</v>
      </c>
      <c r="DS39" s="59">
        <f t="shared" si="17"/>
        <v>548.47612152398438</v>
      </c>
      <c r="DT39" s="59">
        <f ca="1">AVERAGE(OFFSET($DS$3,0,0,'Données projet'!$E$14+1,1))-AVERAGE(OFFSET($H$3,0,0,'Données projet'!$E$14+1,1))</f>
        <v>366.51581861366333</v>
      </c>
      <c r="DU39" s="59">
        <f t="shared" si="44"/>
        <v>225.01415116995503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11.333333333333334</v>
      </c>
      <c r="EJ39" s="12">
        <f>IF('Données projet'!$A$192&gt;35,EJ38+EI39-ER38,IF(A39&lt;'Données projet'!$A$192,$EG$205^A39,IF(A39='Données projet'!$A$192,'Données projet'!$B$192,EJ38+EI39-ER38)))</f>
        <v>176.66666666666666</v>
      </c>
      <c r="EK39" s="17">
        <f>EJ39*VLOOKUP('Données projet'!$B$15,Paramètres!$A$1:$I$89,3,0)*VLOOKUP('Données projet'!$B$15,Paramètres!$A$1:$I$89,5,0)</f>
        <v>137.80000000000001</v>
      </c>
      <c r="EL39" s="13">
        <f t="shared" si="45"/>
        <v>35.792552736298617</v>
      </c>
      <c r="EM39" s="20">
        <f t="shared" si="19"/>
        <v>302.34036268238674</v>
      </c>
      <c r="EN39" s="59">
        <f t="shared" si="20"/>
        <v>595.67369601572</v>
      </c>
      <c r="EO39" s="59">
        <f ca="1">AVERAGE(OFFSET($EN$3,0,0,'Données projet'!$E$15+1,1))-AVERAGE(OFFSET($H$3,0,0,'Données projet'!$E$15+1,1))</f>
        <v>288.80569134263209</v>
      </c>
      <c r="EP39" s="59">
        <f t="shared" si="46"/>
        <v>283.48738729114024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3.526104529918904</v>
      </c>
      <c r="EW39" s="21">
        <f>EXP(-LN(2)/25)*EW38+(1-EXP(-LN(2)/25))/(LN(2)/25)*Calculateur!ER39*Calculateur!ET39*VLOOKUP('Données projet'!$B$15,Paramètres!$A$1:$I$89,3,0)*0.475*44/12</f>
        <v>11.138698271249043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14.664802801167946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18.055769230769229</v>
      </c>
      <c r="FE39" s="12">
        <f>IF('Données projet'!$A$218&gt;35,FE38+FD39-FM38,IF(A39&lt;'Données projet'!$A$218,$FB$205^A39,IF(A39='Données projet'!$A$218,'Données projet'!$B$218,FE38+FD39-FM38)))</f>
        <v>326.49230769230775</v>
      </c>
      <c r="FF39" s="17">
        <f>FE39*VLOOKUP('Données projet'!$B$16,Paramètres!$A$1:$I$89,3,0)*VLOOKUP('Données projet'!$B$16,Paramètres!$A$1:$I$89,5,0)</f>
        <v>195.24240000000006</v>
      </c>
      <c r="FG39" s="13">
        <f t="shared" si="47"/>
        <v>48.697130705157392</v>
      </c>
      <c r="FH39" s="20">
        <f t="shared" si="22"/>
        <v>424.86134931148257</v>
      </c>
      <c r="FI39" s="59">
        <f t="shared" si="23"/>
        <v>718.19468264481588</v>
      </c>
      <c r="FJ39" s="59">
        <f ca="1">AVERAGE(OFFSET($FI$3,0,0,'Données projet'!$E$16+1,1))-AVERAGE(OFFSET($H$3,0,0,'Données projet'!$E$16+1,1))</f>
        <v>323.17232038705157</v>
      </c>
      <c r="FK39" s="59">
        <f t="shared" si="48"/>
        <v>402.34685738619197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24.526735867036898</v>
      </c>
      <c r="FR39" s="21">
        <f>EXP(-LN(2)/25)*FR38+(1-EXP(-LN(2)/25))/(LN(2)/25)*Calculateur!FM39*Calculateur!FO39*VLOOKUP('Données projet'!$B$16,Paramètres!$A$1:$I$89,3,0)*0.475*44/12</f>
        <v>17.340502369049439</v>
      </c>
      <c r="FS39" s="21">
        <f>EXP(-LN(2)/2)*FS38+(1-EXP(-LN(2)/2))/(LN(2)/2)*FM39*FP39*VLOOKUP('Données projet'!$B$16,Paramètres!$A$1:$I$89,3,0)*0.475*44/12</f>
        <v>1.6398362871297201</v>
      </c>
      <c r="FT39" s="22">
        <f t="shared" si="24"/>
        <v>43.507074523216055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11.333333333333334</v>
      </c>
      <c r="FZ39" s="12">
        <f>IF('Données projet'!$A$244&gt;35,FZ38+FY39-GH38,IF(A39&lt;'Données projet'!$A$244,$FW$205^A39,IF(A39='Données projet'!$A$244,'Données projet'!$B$244,FZ38+FY39-GH38)))</f>
        <v>176.66666666666666</v>
      </c>
      <c r="GA39" s="17">
        <f>FZ39*VLOOKUP('Données projet'!$B$17,Paramètres!$A$1:$I$89,3,0)*VLOOKUP('Données projet'!$B$17,Paramètres!$A$1:$I$89,5,0)</f>
        <v>143.31199999999998</v>
      </c>
      <c r="GB39" s="13">
        <f t="shared" si="49"/>
        <v>37.054702611837413</v>
      </c>
      <c r="GC39" s="20">
        <f t="shared" si="25"/>
        <v>314.13867371561679</v>
      </c>
      <c r="GD39" s="59">
        <f t="shared" si="26"/>
        <v>607.4720070489501</v>
      </c>
      <c r="GE39" s="59">
        <f ca="1">AVERAGE(OFFSET($GD$3,0,0,'Données projet'!$E$17+1,1))-AVERAGE(OFFSET($H$3,0,0,'Données projet'!$E$17+1,1))</f>
        <v>298.96480270023716</v>
      </c>
      <c r="GF39" s="59">
        <f t="shared" si="50"/>
        <v>293.11447542333889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4.5199739927704652</v>
      </c>
      <c r="GM39" s="21">
        <f>EXP(-LN(2)/25)*GM38+(1-EXP(-LN(2)/25))/(LN(2)/25)*Calculateur!GH39*Calculateur!GJ39*VLOOKUP('Données projet'!$B$17,Paramètres!$A$1:$I$89,3,0)*0.475*44/12</f>
        <v>14.278256946773194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18.798230939543657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>
        <f>VLOOKUP(A39,'Données projet'!$A$269:$I$289,2,0)</f>
        <v>238.76923076923077</v>
      </c>
      <c r="GS39" s="12">
        <f>VLOOKUP(A39,'Données projet'!$A$269:$I$289,9,0)</f>
        <v>12.134615384615387</v>
      </c>
      <c r="GT39" s="12">
        <f t="array" ref="GT39">INDEX(GS:GS,MIN(IF(ISNUMBER(GS39:GS235),ROW(GS39:GS235),"")))</f>
        <v>12.134615384615387</v>
      </c>
      <c r="GU39" s="12">
        <f>IF('Données projet'!$A$270&gt;35,GU38+GT39-HC38,IF(A39&lt;'Données projet'!$A$270,$GR$205^A39,IF(A39='Données projet'!$A$270,'Données projet'!$B$270,GU38+GT39-HC38)))</f>
        <v>238.7692307692308</v>
      </c>
      <c r="GV39" s="17">
        <f>GU39*VLOOKUP('Données projet'!$B$18,Paramètres!$A$1:$I$89,3,0)*VLOOKUP('Données projet'!$B$18,Paramètres!$A$1:$I$89,5,0)</f>
        <v>136.57600000000002</v>
      </c>
      <c r="GW39" s="13">
        <f t="shared" si="51"/>
        <v>35.511488375527719</v>
      </c>
      <c r="GX39" s="20">
        <f t="shared" si="28"/>
        <v>299.71904225404415</v>
      </c>
      <c r="GY39" s="59">
        <f t="shared" si="29"/>
        <v>593.05237558737747</v>
      </c>
      <c r="GZ39" s="59">
        <f ca="1">AVERAGE(OFFSET($GY$3,0,0,'Données projet'!$E$18+1,1))-AVERAGE(OFFSET($H$3,0,0,'Données projet'!$E$18+1,1))</f>
        <v>320.76883487964511</v>
      </c>
      <c r="HA39" s="59">
        <f t="shared" si="52"/>
        <v>290.51177680335746</v>
      </c>
      <c r="HB39" s="15">
        <f>IF(ISNA(VLOOKUP(A39,'Données projet'!$A$269:$I$289,3,0)),0,VLOOKUP(A39,'Données projet'!$A$269:$I$289,3,0))</f>
        <v>4</v>
      </c>
      <c r="HC39" s="15">
        <f>IF(ISNA(VLOOKUP(A39,'Données projet'!$A$269:$I$289,4,0)),0,VLOOKUP(A39,'Données projet'!$A$269:$I$289,4,0))</f>
        <v>35.084615384615383</v>
      </c>
      <c r="HD39" s="16">
        <f>IF(ISNA(VLOOKUP(A39,'Données projet'!$A$269:$I$289,5,0)),0%,VLOOKUP(A39,'Données projet'!$A$269:$I$289,5,0)*VLOOKUP('Données projet'!$B$18,Paramètres!$A$1:$I$89,7,0))</f>
        <v>0.315</v>
      </c>
      <c r="HE39" s="16">
        <f>IF(ISNA(VLOOKUP(A39,'Données projet'!$A$269:$I$289,6,0)),0%,VLOOKUP(A39,'Données projet'!$A$269:$I$289,6,0)*VLOOKUP('Données projet'!$B$18,Paramètres!$A$1:$I$89,7,0))</f>
        <v>7.6500000000000012E-2</v>
      </c>
      <c r="HF39" s="16">
        <f>IF(ISNA(VLOOKUP(A39,'Données projet'!$A$269:$I$289,7,0)),0%,VLOOKUP(A39,'Données projet'!$A$269:$I$289,7,0))</f>
        <v>0.13</v>
      </c>
      <c r="HG39" s="21">
        <f>EXP(-LN(2)/35)*HG38+(1-EXP(-LN(2)/35))/(LN(2)/35)*HC39*HD39*VLOOKUP('Données projet'!$B$18,Paramètres!$A$1:$I$89,3,0)*0.475*44/12</f>
        <v>15.905809014029145</v>
      </c>
      <c r="HH39" s="21">
        <f>EXP(-LN(2)/25)*HH38+(1-EXP(-LN(2)/25))/(LN(2)/25)*Calculateur!HC39*Calculateur!HE39*VLOOKUP('Données projet'!$B$18,Paramètres!$A$1:$I$89,3,0)*0.475*44/12</f>
        <v>14.877052335500855</v>
      </c>
      <c r="HI39" s="21">
        <f>EXP(-LN(2)/2)*HI38+(1-EXP(-LN(2)/2))/(LN(2)/2)*HC39*HF39*VLOOKUP('Données projet'!$B$18,Paramètres!$A$1:$I$89,3,0)*0.475*44/12</f>
        <v>3.5196148967618734</v>
      </c>
      <c r="HJ39" s="22">
        <f t="shared" si="30"/>
        <v>34.302476246291874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121.87500000000003</v>
      </c>
      <c r="AK40" s="13">
        <f t="shared" si="35"/>
        <v>32.111916865075052</v>
      </c>
      <c r="AL40" s="20">
        <f t="shared" si="4"/>
        <v>268.19388020667242</v>
      </c>
      <c r="AM40" s="59">
        <f t="shared" si="5"/>
        <v>561.52721354000573</v>
      </c>
      <c r="AN40" s="59">
        <f ca="1">AVERAGE(OFFSET($AM$3,0,0,'Données projet'!$E$10+1,1))-AVERAGE(OFFSET($H$3,0,0,'Données projet'!$E$10+1,1))</f>
        <v>425.47148407510412</v>
      </c>
      <c r="AO40" s="59">
        <f t="shared" si="36"/>
        <v>308.54448799922471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129</v>
      </c>
      <c r="BE40" s="13">
        <f>BD40*VLOOKUP('Données projet'!$B$11,Paramètres!$A$1:$I$89,3,0)*VLOOKUP('Données projet'!$B$11,Paramètres!$A$1:$I$89,5,0)</f>
        <v>112.69440000000002</v>
      </c>
      <c r="BF40" s="13">
        <f t="shared" si="37"/>
        <v>29.964909381330632</v>
      </c>
      <c r="BG40" s="20">
        <f t="shared" si="7"/>
        <v>248.46496383915087</v>
      </c>
      <c r="BH40" s="59">
        <f t="shared" si="8"/>
        <v>541.79829717248413</v>
      </c>
      <c r="BI40" s="59">
        <f ca="1">AVERAGE(OFFSET($BH$3,0,0,'Données projet'!$E$11+1,1))-AVERAGE(OFFSET($H$3,0,0,'Données projet'!$E$11+1,1))</f>
        <v>300.63505444445104</v>
      </c>
      <c r="BJ40" s="59">
        <f t="shared" si="38"/>
        <v>266.32508105927997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5.3369963369963358</v>
      </c>
      <c r="BY40" s="12">
        <f>IF('Données projet'!$A$114&gt;35,BY39+BX40-CG39,IF(A40&lt;'Données projet'!$A$114,$BV$205^A40,IF(A40='Données projet'!$A$114,'Données projet'!$B$114,BY39+BX40-CG39)))</f>
        <v>125.06410256410255</v>
      </c>
      <c r="BZ40" s="13">
        <f>BY40*VLOOKUP('Données projet'!$B$12,Paramètres!$A$1:$I$89,3,0)*VLOOKUP('Données projet'!$B$12,Paramètres!$A$1:$I$89,5,0)</f>
        <v>119.01100000000001</v>
      </c>
      <c r="CA40" s="13">
        <f t="shared" si="39"/>
        <v>31.44422030114589</v>
      </c>
      <c r="CB40" s="20">
        <f t="shared" si="10"/>
        <v>262.04284202449577</v>
      </c>
      <c r="CC40" s="59">
        <f t="shared" si="11"/>
        <v>555.37617535782908</v>
      </c>
      <c r="CD40" s="59">
        <f ca="1">AVERAGE(OFFSET($CC$3,0,0,'Données projet'!$E$12+1,1))-AVERAGE(OFFSET($H$3,0,0,'Données projet'!$E$12+1,1))</f>
        <v>361.26385625423757</v>
      </c>
      <c r="CE40" s="59">
        <f t="shared" si="40"/>
        <v>222.05197404028576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4.8</v>
      </c>
      <c r="CT40" s="12">
        <f>IF('Données projet'!$A$140&gt;35,CT39+CS40-DB39,IF(A40&lt;'Données projet'!$A$140,$CQ$205^A40,IF(A40='Données projet'!$A$140,'Données projet'!$B$140,CT39+CS40-DB39)))</f>
        <v>218.60000000000008</v>
      </c>
      <c r="CU40" s="17">
        <f>CT40*VLOOKUP('Données projet'!$B$13,Paramètres!$A$1:$I$89,3,0)*VLOOKUP('Données projet'!$B$13,Paramètres!$A$1:$I$89,5,0)</f>
        <v>197.78928000000008</v>
      </c>
      <c r="CV40" s="13">
        <f t="shared" si="41"/>
        <v>49.258004531609942</v>
      </c>
      <c r="CW40" s="20">
        <f t="shared" si="13"/>
        <v>430.27402055922079</v>
      </c>
      <c r="CX40" s="59">
        <f t="shared" si="14"/>
        <v>723.6073538925541</v>
      </c>
      <c r="CY40" s="59">
        <f ca="1">AVERAGE(OFFSET($CX$3,0,0,'Données projet'!$E$13+1,1))-AVERAGE(OFFSET($H$3,0,0,'Données projet'!$E$13+1,1))</f>
        <v>302.6937347295995</v>
      </c>
      <c r="CZ40" s="59">
        <f t="shared" si="42"/>
        <v>423.44006663873375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1.9743203596213088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1.9743203596213088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120.96199999999999</v>
      </c>
      <c r="DQ40" s="13">
        <f t="shared" si="43"/>
        <v>31.899265622635451</v>
      </c>
      <c r="DR40" s="20">
        <f t="shared" si="16"/>
        <v>266.23337095942338</v>
      </c>
      <c r="DS40" s="59">
        <f t="shared" si="17"/>
        <v>559.56670429275664</v>
      </c>
      <c r="DT40" s="59">
        <f ca="1">AVERAGE(OFFSET($DS$3,0,0,'Données projet'!$E$14+1,1))-AVERAGE(OFFSET($H$3,0,0,'Données projet'!$E$14+1,1))</f>
        <v>366.51581861366333</v>
      </c>
      <c r="DU40" s="59">
        <f t="shared" si="44"/>
        <v>225.01415116995503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11.333333333333334</v>
      </c>
      <c r="EI40" s="12">
        <f t="array" ref="EI40">INDEX(EH:EH,MIN(IF(ISNUMBER(EH40:EH236),ROW(EH40:EH236),"")))</f>
        <v>11.333333333333334</v>
      </c>
      <c r="EJ40" s="12">
        <f>IF('Données projet'!$A$192&gt;35,EJ39+EI40-ER39,IF(A40&lt;'Données projet'!$A$192,$EG$205^A40,IF(A40='Données projet'!$A$192,'Données projet'!$B$192,EJ39+EI40-ER39)))</f>
        <v>188</v>
      </c>
      <c r="EK40" s="17">
        <f>EJ40*VLOOKUP('Données projet'!$B$15,Paramètres!$A$1:$I$89,3,0)*VLOOKUP('Données projet'!$B$15,Paramètres!$A$1:$I$89,5,0)</f>
        <v>146.64000000000001</v>
      </c>
      <c r="EL40" s="13">
        <f t="shared" si="45"/>
        <v>37.814009712703054</v>
      </c>
      <c r="EM40" s="20">
        <f t="shared" si="19"/>
        <v>321.25740024962448</v>
      </c>
      <c r="EN40" s="59">
        <f t="shared" si="20"/>
        <v>614.5907335829578</v>
      </c>
      <c r="EO40" s="59">
        <f ca="1">AVERAGE(OFFSET($EN$3,0,0,'Données projet'!$E$15+1,1))-AVERAGE(OFFSET($H$3,0,0,'Données projet'!$E$15+1,1))</f>
        <v>288.80569134263209</v>
      </c>
      <c r="EP40" s="59">
        <f t="shared" si="46"/>
        <v>283.48738729114024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0.129</v>
      </c>
      <c r="ET40" s="16">
        <f>IF(ISNA(VLOOKUP(A40,'Données projet'!$A$191:$I$211,6,0)),0%,VLOOKUP(A40,'Données projet'!$A$191:$I$211,6,0)*VLOOKUP('Données projet'!$B$15,Paramètres!$A$1:$I$89,7,0))</f>
        <v>0.17200000000000001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7.4613272359883887</v>
      </c>
      <c r="EW40" s="21">
        <f>EXP(-LN(2)/25)*EW39+(1-EXP(-LN(2)/25))/(LN(2)/25)*Calculateur!ER40*Calculateur!ET40*VLOOKUP('Données projet'!$B$15,Paramètres!$A$1:$I$89,3,0)*0.475*44/12</f>
        <v>16.152244307524015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23.613571543512403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18.055769230769229</v>
      </c>
      <c r="FE40" s="12">
        <f>IF('Données projet'!$A$218&gt;35,FE39+FD40-FM39,IF(A40&lt;'Données projet'!$A$218,$FB$205^A40,IF(A40='Données projet'!$A$218,'Données projet'!$B$218,FE39+FD40-FM39)))</f>
        <v>344.54807692307696</v>
      </c>
      <c r="FF40" s="17">
        <f>FE40*VLOOKUP('Données projet'!$B$16,Paramètres!$A$1:$I$89,3,0)*VLOOKUP('Données projet'!$B$16,Paramètres!$A$1:$I$89,5,0)</f>
        <v>206.03975000000003</v>
      </c>
      <c r="FG40" s="13">
        <f t="shared" si="47"/>
        <v>51.069214862008621</v>
      </c>
      <c r="FH40" s="20">
        <f t="shared" si="22"/>
        <v>447.79811380133168</v>
      </c>
      <c r="FI40" s="59">
        <f t="shared" si="23"/>
        <v>741.131447134665</v>
      </c>
      <c r="FJ40" s="59">
        <f ca="1">AVERAGE(OFFSET($FI$3,0,0,'Données projet'!$E$16+1,1))-AVERAGE(OFFSET($H$3,0,0,'Données projet'!$E$16+1,1))</f>
        <v>323.17232038705157</v>
      </c>
      <c r="FK40" s="59">
        <f t="shared" si="48"/>
        <v>402.34685738619197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24.045781536516021</v>
      </c>
      <c r="FR40" s="21">
        <f>EXP(-LN(2)/25)*FR39+(1-EXP(-LN(2)/25))/(LN(2)/25)*Calculateur!FM40*Calculateur!FO40*VLOOKUP('Données projet'!$B$16,Paramètres!$A$1:$I$89,3,0)*0.475*44/12</f>
        <v>16.866325419870396</v>
      </c>
      <c r="FS40" s="21">
        <f>EXP(-LN(2)/2)*FS39+(1-EXP(-LN(2)/2))/(LN(2)/2)*FM40*FP40*VLOOKUP('Données projet'!$B$16,Paramètres!$A$1:$I$89,3,0)*0.475*44/12</f>
        <v>1.1595393586651956</v>
      </c>
      <c r="FT40" s="22">
        <f t="shared" si="24"/>
        <v>42.071646315051609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>
        <f>VLOOKUP(A40,'Données projet'!$A$243:$I$263,2,0)</f>
        <v>188</v>
      </c>
      <c r="FX40" s="12">
        <f>VLOOKUP(A40,'Données projet'!$A$243:$I$263,9,0)</f>
        <v>11.333333333333334</v>
      </c>
      <c r="FY40" s="12">
        <f t="array" ref="FY40">INDEX(FX:FX,MIN(IF(ISNUMBER(FX40:FX236),ROW(FX40:FX236),"")))</f>
        <v>11.333333333333334</v>
      </c>
      <c r="FZ40" s="12">
        <f>IF('Données projet'!$A$244&gt;35,FZ39+FY40-GH39,IF(A40&lt;'Données projet'!$A$244,$FW$205^A40,IF(A40='Données projet'!$A$244,'Données projet'!$B$244,FZ39+FY40-GH39)))</f>
        <v>188</v>
      </c>
      <c r="GA40" s="17">
        <f>FZ40*VLOOKUP('Données projet'!$B$17,Paramètres!$A$1:$I$89,3,0)*VLOOKUP('Données projet'!$B$17,Paramètres!$A$1:$I$89,5,0)</f>
        <v>152.50560000000002</v>
      </c>
      <c r="GB40" s="13">
        <f t="shared" si="49"/>
        <v>39.147442061162216</v>
      </c>
      <c r="GC40" s="20">
        <f t="shared" si="25"/>
        <v>333.79571492319093</v>
      </c>
      <c r="GD40" s="59">
        <f t="shared" si="26"/>
        <v>627.12904825652424</v>
      </c>
      <c r="GE40" s="59">
        <f ca="1">AVERAGE(OFFSET($GD$3,0,0,'Données projet'!$E$17+1,1))-AVERAGE(OFFSET($H$3,0,0,'Données projet'!$E$17+1,1))</f>
        <v>298.96480270023716</v>
      </c>
      <c r="GF40" s="59">
        <f t="shared" si="50"/>
        <v>293.11447542333889</v>
      </c>
      <c r="GG40" s="15">
        <f>IF(ISNA(VLOOKUP(A40,'Données projet'!$A$243:$I$263,3,0)),0,VLOOKUP(A40,'Données projet'!$A$243:$I$263,3,0))</f>
        <v>5</v>
      </c>
      <c r="GH40" s="15">
        <f>IF(ISNA(VLOOKUP(A40,'Données projet'!$A$243:$I$263,4,0)),0,VLOOKUP(A40,'Données projet'!$A$243:$I$263,4,0))</f>
        <v>36</v>
      </c>
      <c r="GI40" s="16">
        <f>IF(ISNA(VLOOKUP(A40,'Données projet'!$A$243:$I$263,5,0)),0%,VLOOKUP(A40,'Données projet'!$A$243:$I$263,5,0)*VLOOKUP('Données projet'!$B$17,Paramètres!$A$1:$I$89,7,0))</f>
        <v>0.159</v>
      </c>
      <c r="GJ40" s="16">
        <f>IF(ISNA(VLOOKUP(A40,'Données projet'!$A$243:$I$263,6,0)),0%,VLOOKUP(A40,'Données projet'!$A$243:$I$263,6,0)*VLOOKUP('Données projet'!$B$17,Paramètres!$A$1:$I$89,7,0))</f>
        <v>0.21200000000000002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9.5643804011088385</v>
      </c>
      <c r="GM40" s="21">
        <f>EXP(-LN(2)/25)*GM39+(1-EXP(-LN(2)/25))/(LN(2)/25)*Calculateur!GH40*Calculateur!GJ40*VLOOKUP('Données projet'!$B$17,Paramètres!$A$1:$I$89,3,0)*0.475*44/12</f>
        <v>20.704923400714506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30.269303801823344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11.380219780219781</v>
      </c>
      <c r="GU40" s="12">
        <f>IF('Données projet'!$A$270&gt;35,GU39+GT40-HC39,IF(A40&lt;'Données projet'!$A$270,$GR$205^A40,IF(A40='Données projet'!$A$270,'Données projet'!$B$270,GU39+GT40-HC39)))</f>
        <v>215.06483516483522</v>
      </c>
      <c r="GV40" s="17">
        <f>GU40*VLOOKUP('Données projet'!$B$18,Paramètres!$A$1:$I$89,3,0)*VLOOKUP('Données projet'!$B$18,Paramètres!$A$1:$I$89,5,0)</f>
        <v>123.01708571428574</v>
      </c>
      <c r="GW40" s="13">
        <f t="shared" si="51"/>
        <v>32.377664804933538</v>
      </c>
      <c r="GX40" s="20">
        <f t="shared" si="28"/>
        <v>270.6458571543069</v>
      </c>
      <c r="GY40" s="59">
        <f t="shared" si="29"/>
        <v>563.97919048764015</v>
      </c>
      <c r="GZ40" s="59">
        <f ca="1">AVERAGE(OFFSET($GY$3,0,0,'Données projet'!$E$18+1,1))-AVERAGE(OFFSET($H$3,0,0,'Données projet'!$E$18+1,1))</f>
        <v>320.76883487964511</v>
      </c>
      <c r="HA40" s="59">
        <f t="shared" si="52"/>
        <v>290.51177680335746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15.59390580084958</v>
      </c>
      <c r="HH40" s="21">
        <f>EXP(-LN(2)/25)*HH39+(1-EXP(-LN(2)/25))/(LN(2)/25)*Calculateur!HC40*Calculateur!HE40*VLOOKUP('Données projet'!$B$18,Paramètres!$A$1:$I$89,3,0)*0.475*44/12</f>
        <v>14.470238557036403</v>
      </c>
      <c r="HI40" s="21">
        <f>EXP(-LN(2)/2)*HI39+(1-EXP(-LN(2)/2))/(LN(2)/2)*HC40*HF40*VLOOKUP('Données projet'!$B$18,Paramètres!$A$1:$I$89,3,0)*0.475*44/12</f>
        <v>2.4887435606655113</v>
      </c>
      <c r="HJ40" s="22">
        <f t="shared" si="30"/>
        <v>32.552887918551491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131.31950000000003</v>
      </c>
      <c r="AK41" s="13">
        <f t="shared" si="35"/>
        <v>34.301077605333901</v>
      </c>
      <c r="AL41" s="20">
        <f t="shared" si="4"/>
        <v>288.45583932928992</v>
      </c>
      <c r="AM41" s="59">
        <f t="shared" si="5"/>
        <v>581.78917266262329</v>
      </c>
      <c r="AN41" s="59">
        <f ca="1">AVERAGE(OFFSET($AM$3,0,0,'Données projet'!$E$10+1,1))-AVERAGE(OFFSET($H$3,0,0,'Données projet'!$E$10+1,1))</f>
        <v>425.47148407510412</v>
      </c>
      <c r="AO41" s="59">
        <f t="shared" si="36"/>
        <v>308.54448799922471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136</v>
      </c>
      <c r="BE41" s="13">
        <f>BD41*VLOOKUP('Données projet'!$B$11,Paramètres!$A$1:$I$89,3,0)*VLOOKUP('Données projet'!$B$11,Paramètres!$A$1:$I$89,5,0)</f>
        <v>118.80960000000002</v>
      </c>
      <c r="BF41" s="13">
        <f t="shared" si="37"/>
        <v>31.39719715333722</v>
      </c>
      <c r="BG41" s="20">
        <f t="shared" si="7"/>
        <v>261.61017170872901</v>
      </c>
      <c r="BH41" s="59">
        <f t="shared" si="8"/>
        <v>554.94350504206227</v>
      </c>
      <c r="BI41" s="59">
        <f ca="1">AVERAGE(OFFSET($BH$3,0,0,'Données projet'!$E$11+1,1))-AVERAGE(OFFSET($H$3,0,0,'Données projet'!$E$11+1,1))</f>
        <v>300.63505444445104</v>
      </c>
      <c r="BJ41" s="59">
        <f t="shared" si="38"/>
        <v>266.32508105927997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5.3369963369963358</v>
      </c>
      <c r="BY41" s="12">
        <f>IF('Données projet'!$A$114&gt;35,BY40+BX41-CG40,IF(A41&lt;'Données projet'!$A$114,$BV$205^A41,IF(A41='Données projet'!$A$114,'Données projet'!$B$114,BY40+BX41-CG40)))</f>
        <v>130.40109890109889</v>
      </c>
      <c r="BZ41" s="13">
        <f>BY41*VLOOKUP('Données projet'!$B$12,Paramètres!$A$1:$I$89,3,0)*VLOOKUP('Données projet'!$B$12,Paramètres!$A$1:$I$89,5,0)</f>
        <v>124.08968571428571</v>
      </c>
      <c r="CA41" s="13">
        <f t="shared" si="39"/>
        <v>32.626982934783221</v>
      </c>
      <c r="CB41" s="20">
        <f t="shared" si="10"/>
        <v>272.94819789712841</v>
      </c>
      <c r="CC41" s="59">
        <f t="shared" si="11"/>
        <v>566.28153123046172</v>
      </c>
      <c r="CD41" s="59">
        <f ca="1">AVERAGE(OFFSET($CC$3,0,0,'Données projet'!$E$12+1,1))-AVERAGE(OFFSET($H$3,0,0,'Données projet'!$E$12+1,1))</f>
        <v>361.26385625423757</v>
      </c>
      <c r="CE41" s="59">
        <f t="shared" si="40"/>
        <v>222.05197404028576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4.8</v>
      </c>
      <c r="CT41" s="12">
        <f>IF('Données projet'!$A$140&gt;35,CT40+CS41-DB40,IF(A41&lt;'Données projet'!$A$140,$CQ$205^A41,IF(A41='Données projet'!$A$140,'Données projet'!$B$140,CT40+CS41-DB40)))</f>
        <v>223.40000000000009</v>
      </c>
      <c r="CU41" s="17">
        <f>CT41*VLOOKUP('Données projet'!$B$13,Paramètres!$A$1:$I$89,3,0)*VLOOKUP('Données projet'!$B$13,Paramètres!$A$1:$I$89,5,0)</f>
        <v>202.13232000000005</v>
      </c>
      <c r="CV41" s="13">
        <f t="shared" si="41"/>
        <v>50.212497488959627</v>
      </c>
      <c r="CW41" s="20">
        <f t="shared" si="13"/>
        <v>439.50055712660475</v>
      </c>
      <c r="CX41" s="59">
        <f t="shared" si="14"/>
        <v>732.83389045993806</v>
      </c>
      <c r="CY41" s="59">
        <f ca="1">AVERAGE(OFFSET($CX$3,0,0,'Données projet'!$E$13+1,1))-AVERAGE(OFFSET($H$3,0,0,'Données projet'!$E$13+1,1))</f>
        <v>302.6937347295995</v>
      </c>
      <c r="CZ41" s="59">
        <f t="shared" si="42"/>
        <v>423.44006663873375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1.9203324655624687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1.9203324655624687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126.12394285714285</v>
      </c>
      <c r="DQ41" s="13">
        <f t="shared" si="43"/>
        <v>33.099144616535966</v>
      </c>
      <c r="DR41" s="20">
        <f t="shared" si="16"/>
        <v>277.31354401665726</v>
      </c>
      <c r="DS41" s="59">
        <f t="shared" si="17"/>
        <v>570.64687734999052</v>
      </c>
      <c r="DT41" s="59">
        <f ca="1">AVERAGE(OFFSET($DS$3,0,0,'Données projet'!$E$14+1,1))-AVERAGE(OFFSET($H$3,0,0,'Données projet'!$E$14+1,1))</f>
        <v>366.51581861366333</v>
      </c>
      <c r="DU41" s="59">
        <f t="shared" si="44"/>
        <v>225.01415116995503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163.14285714285714</v>
      </c>
      <c r="EK41" s="17">
        <f>EJ41*VLOOKUP('Données projet'!$B$15,Paramètres!$A$1:$I$89,3,0)*VLOOKUP('Données projet'!$B$15,Paramètres!$A$1:$I$89,5,0)</f>
        <v>127.25142857142858</v>
      </c>
      <c r="EL41" s="13">
        <f t="shared" si="45"/>
        <v>33.360457439554281</v>
      </c>
      <c r="EM41" s="20">
        <f t="shared" si="19"/>
        <v>279.73236813579513</v>
      </c>
      <c r="EN41" s="59">
        <f t="shared" si="20"/>
        <v>573.0657014691285</v>
      </c>
      <c r="EO41" s="59">
        <f ca="1">AVERAGE(OFFSET($EN$3,0,0,'Données projet'!$E$15+1,1))-AVERAGE(OFFSET($H$3,0,0,'Données projet'!$E$15+1,1))</f>
        <v>288.80569134263209</v>
      </c>
      <c r="EP41" s="59">
        <f t="shared" si="46"/>
        <v>283.48738729114024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7.3150151598509003</v>
      </c>
      <c r="EW41" s="21">
        <f>EXP(-LN(2)/25)*EW40+(1-EXP(-LN(2)/25))/(LN(2)/25)*Calculateur!ER41*Calculateur!ET41*VLOOKUP('Données projet'!$B$15,Paramètres!$A$1:$I$89,3,0)*0.475*44/12</f>
        <v>15.710560337525159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23.02557549737606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18.055769230769229</v>
      </c>
      <c r="FE41" s="12">
        <f>IF('Données projet'!$A$218&gt;35,FE40+FD41-FM40,IF(A41&lt;'Données projet'!$A$218,$FB$205^A41,IF(A41='Données projet'!$A$218,'Données projet'!$B$218,FE40+FD41-FM40)))</f>
        <v>362.60384615384618</v>
      </c>
      <c r="FF41" s="17">
        <f>FE41*VLOOKUP('Données projet'!$B$16,Paramètres!$A$1:$I$89,3,0)*VLOOKUP('Données projet'!$B$16,Paramètres!$A$1:$I$89,5,0)</f>
        <v>216.83710000000005</v>
      </c>
      <c r="FG41" s="13">
        <f t="shared" si="47"/>
        <v>53.426866729052094</v>
      </c>
      <c r="FH41" s="20">
        <f t="shared" si="22"/>
        <v>470.70974205309909</v>
      </c>
      <c r="FI41" s="59">
        <f t="shared" si="23"/>
        <v>764.04307538643241</v>
      </c>
      <c r="FJ41" s="59">
        <f ca="1">AVERAGE(OFFSET($FI$3,0,0,'Données projet'!$E$16+1,1))-AVERAGE(OFFSET($H$3,0,0,'Données projet'!$E$16+1,1))</f>
        <v>323.17232038705157</v>
      </c>
      <c r="FK41" s="59">
        <f t="shared" si="48"/>
        <v>402.34685738619197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23.574258427063484</v>
      </c>
      <c r="FR41" s="21">
        <f>EXP(-LN(2)/25)*FR40+(1-EXP(-LN(2)/25))/(LN(2)/25)*Calculateur!FM41*Calculateur!FO41*VLOOKUP('Données projet'!$B$16,Paramètres!$A$1:$I$89,3,0)*0.475*44/12</f>
        <v>16.405114864302536</v>
      </c>
      <c r="FS41" s="21">
        <f>EXP(-LN(2)/2)*FS40+(1-EXP(-LN(2)/2))/(LN(2)/2)*FM41*FP41*VLOOKUP('Données projet'!$B$16,Paramètres!$A$1:$I$89,3,0)*0.475*44/12</f>
        <v>0.81991814356486015</v>
      </c>
      <c r="FT41" s="22">
        <f t="shared" si="24"/>
        <v>40.799291434930879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11.142857142857142</v>
      </c>
      <c r="FZ41" s="12">
        <f>IF('Données projet'!$A$244&gt;35,FZ40+FY41-GH40,IF(A41&lt;'Données projet'!$A$244,$FW$205^A41,IF(A41='Données projet'!$A$244,'Données projet'!$B$244,FZ40+FY41-GH40)))</f>
        <v>163.14285714285714</v>
      </c>
      <c r="GA41" s="17">
        <f>FZ41*VLOOKUP('Données projet'!$B$17,Paramètres!$A$1:$I$89,3,0)*VLOOKUP('Données projet'!$B$17,Paramètres!$A$1:$I$89,5,0)</f>
        <v>132.34148571428571</v>
      </c>
      <c r="GB41" s="13">
        <f t="shared" si="49"/>
        <v>34.536844536486583</v>
      </c>
      <c r="GC41" s="20">
        <f t="shared" si="25"/>
        <v>290.64642518676175</v>
      </c>
      <c r="GD41" s="59">
        <f t="shared" si="26"/>
        <v>583.97975852009506</v>
      </c>
      <c r="GE41" s="59">
        <f ca="1">AVERAGE(OFFSET($GD$3,0,0,'Données projet'!$E$17+1,1))-AVERAGE(OFFSET($H$3,0,0,'Données projet'!$E$17+1,1))</f>
        <v>298.96480270023716</v>
      </c>
      <c r="GF41" s="59">
        <f t="shared" si="50"/>
        <v>293.11447542333889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9.3768287351391084</v>
      </c>
      <c r="GM41" s="21">
        <f>EXP(-LN(2)/25)*GM40+(1-EXP(-LN(2)/25))/(LN(2)/25)*Calculateur!GH41*Calculateur!GJ41*VLOOKUP('Données projet'!$B$17,Paramètres!$A$1:$I$89,3,0)*0.475*44/12</f>
        <v>20.138746181497368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29.515574916636474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11.380219780219781</v>
      </c>
      <c r="GU41" s="12">
        <f>IF('Données projet'!$A$270&gt;35,GU40+GT41-HC40,IF(A41&lt;'Données projet'!$A$270,$GR$205^A41,IF(A41='Données projet'!$A$270,'Données projet'!$B$270,GU40+GT41-HC40)))</f>
        <v>226.44505494505501</v>
      </c>
      <c r="GV41" s="17">
        <f>GU41*VLOOKUP('Données projet'!$B$18,Paramètres!$A$1:$I$89,3,0)*VLOOKUP('Données projet'!$B$18,Paramètres!$A$1:$I$89,5,0)</f>
        <v>129.52657142857146</v>
      </c>
      <c r="GW41" s="13">
        <f t="shared" si="51"/>
        <v>33.886940671814116</v>
      </c>
      <c r="GX41" s="20">
        <f t="shared" si="28"/>
        <v>284.61186690817152</v>
      </c>
      <c r="GY41" s="59">
        <f t="shared" si="29"/>
        <v>577.94520024150484</v>
      </c>
      <c r="GZ41" s="59">
        <f ca="1">AVERAGE(OFFSET($GY$3,0,0,'Données projet'!$E$18+1,1))-AVERAGE(OFFSET($H$3,0,0,'Données projet'!$E$18+1,1))</f>
        <v>320.76883487964511</v>
      </c>
      <c r="HA41" s="59">
        <f t="shared" si="52"/>
        <v>290.51177680335746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15.28811881943829</v>
      </c>
      <c r="HH41" s="21">
        <f>EXP(-LN(2)/25)*HH40+(1-EXP(-LN(2)/25))/(LN(2)/25)*Calculateur!HC41*Calculateur!HE41*VLOOKUP('Données projet'!$B$18,Paramètres!$A$1:$I$89,3,0)*0.475*44/12</f>
        <v>14.074549122737469</v>
      </c>
      <c r="HI41" s="21">
        <f>EXP(-LN(2)/2)*HI40+(1-EXP(-LN(2)/2))/(LN(2)/2)*HC41*HF41*VLOOKUP('Données projet'!$B$18,Paramètres!$A$1:$I$89,3,0)*0.475*44/12</f>
        <v>1.7598074483809369</v>
      </c>
      <c r="HJ41" s="22">
        <f t="shared" si="30"/>
        <v>31.122475390556698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140.76400000000004</v>
      </c>
      <c r="AK42" s="13">
        <f t="shared" si="35"/>
        <v>36.471971691246594</v>
      </c>
      <c r="AL42" s="20">
        <f t="shared" si="4"/>
        <v>308.68598402892115</v>
      </c>
      <c r="AM42" s="59">
        <f t="shared" si="5"/>
        <v>602.01931736225447</v>
      </c>
      <c r="AN42" s="59">
        <f ca="1">AVERAGE(OFFSET($AM$3,0,0,'Données projet'!$E$10+1,1))-AVERAGE(OFFSET($H$3,0,0,'Données projet'!$E$10+1,1))</f>
        <v>425.47148407510412</v>
      </c>
      <c r="AO42" s="59">
        <f t="shared" si="36"/>
        <v>308.54448799922471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143</v>
      </c>
      <c r="BE42" s="13">
        <f>BD42*VLOOKUP('Données projet'!$B$11,Paramètres!$A$1:$I$89,3,0)*VLOOKUP('Données projet'!$B$11,Paramètres!$A$1:$I$89,5,0)</f>
        <v>124.92480000000002</v>
      </c>
      <c r="BF42" s="13">
        <f t="shared" si="37"/>
        <v>32.820925500842712</v>
      </c>
      <c r="BG42" s="20">
        <f t="shared" si="7"/>
        <v>274.74047191396772</v>
      </c>
      <c r="BH42" s="59">
        <f t="shared" si="8"/>
        <v>568.07380524730104</v>
      </c>
      <c r="BI42" s="59">
        <f ca="1">AVERAGE(OFFSET($BH$3,0,0,'Données projet'!$E$11+1,1))-AVERAGE(OFFSET($H$3,0,0,'Données projet'!$E$11+1,1))</f>
        <v>300.63505444445104</v>
      </c>
      <c r="BJ42" s="59">
        <f t="shared" si="38"/>
        <v>266.32508105927997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5.3369963369963358</v>
      </c>
      <c r="BY42" s="12">
        <f>IF('Données projet'!$A$114&gt;35,BY41+BX42-CG41,IF(A42&lt;'Données projet'!$A$114,$BV$205^A42,IF(A42='Données projet'!$A$114,'Données projet'!$B$114,BY41+BX42-CG41)))</f>
        <v>135.73809523809524</v>
      </c>
      <c r="BZ42" s="13">
        <f>BY42*VLOOKUP('Données projet'!$B$12,Paramètres!$A$1:$I$89,3,0)*VLOOKUP('Données projet'!$B$12,Paramètres!$A$1:$I$89,5,0)</f>
        <v>129.16837142857145</v>
      </c>
      <c r="CA42" s="13">
        <f t="shared" si="39"/>
        <v>33.804122670164084</v>
      </c>
      <c r="CB42" s="20">
        <f t="shared" si="10"/>
        <v>283.84376055529771</v>
      </c>
      <c r="CC42" s="59">
        <f t="shared" si="11"/>
        <v>577.17709388863102</v>
      </c>
      <c r="CD42" s="59">
        <f ca="1">AVERAGE(OFFSET($CC$3,0,0,'Données projet'!$E$12+1,1))-AVERAGE(OFFSET($H$3,0,0,'Données projet'!$E$12+1,1))</f>
        <v>361.26385625423757</v>
      </c>
      <c r="CE42" s="59">
        <f t="shared" si="40"/>
        <v>222.05197404028576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4.8</v>
      </c>
      <c r="CT42" s="12">
        <f>IF('Données projet'!$A$140&gt;35,CT41+CS42-DB41,IF(A42&lt;'Données projet'!$A$140,$CQ$205^A42,IF(A42='Données projet'!$A$140,'Données projet'!$B$140,CT41+CS42-DB41)))</f>
        <v>228.2000000000001</v>
      </c>
      <c r="CU42" s="17">
        <f>CT42*VLOOKUP('Données projet'!$B$13,Paramètres!$A$1:$I$89,3,0)*VLOOKUP('Données projet'!$B$13,Paramètres!$A$1:$I$89,5,0)</f>
        <v>206.47536000000008</v>
      </c>
      <c r="CV42" s="13">
        <f t="shared" si="41"/>
        <v>51.164606062687312</v>
      </c>
      <c r="CW42" s="20">
        <f t="shared" si="13"/>
        <v>448.72294089251386</v>
      </c>
      <c r="CX42" s="59">
        <f t="shared" si="14"/>
        <v>742.05627422584712</v>
      </c>
      <c r="CY42" s="59">
        <f ca="1">AVERAGE(OFFSET($CX$3,0,0,'Données projet'!$E$13+1,1))-AVERAGE(OFFSET($H$3,0,0,'Données projet'!$E$13+1,1))</f>
        <v>302.6937347295995</v>
      </c>
      <c r="CZ42" s="59">
        <f t="shared" si="42"/>
        <v>423.44006663873375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1.8678208733057677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1.8678208733057677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131.28588571428571</v>
      </c>
      <c r="DQ42" s="13">
        <f t="shared" si="43"/>
        <v>34.293319340356497</v>
      </c>
      <c r="DR42" s="20">
        <f t="shared" si="16"/>
        <v>288.38378213683524</v>
      </c>
      <c r="DS42" s="59">
        <f t="shared" si="17"/>
        <v>581.71711547016855</v>
      </c>
      <c r="DT42" s="59">
        <f ca="1">AVERAGE(OFFSET($DS$3,0,0,'Données projet'!$E$14+1,1))-AVERAGE(OFFSET($H$3,0,0,'Données projet'!$E$14+1,1))</f>
        <v>366.51581861366333</v>
      </c>
      <c r="DU42" s="59">
        <f t="shared" si="44"/>
        <v>225.01415116995503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174.28571428571428</v>
      </c>
      <c r="EK42" s="17">
        <f>EJ42*VLOOKUP('Données projet'!$B$15,Paramètres!$A$1:$I$89,3,0)*VLOOKUP('Données projet'!$B$15,Paramètres!$A$1:$I$89,5,0)</f>
        <v>135.94285714285715</v>
      </c>
      <c r="EL42" s="13">
        <f t="shared" si="45"/>
        <v>35.365986273808367</v>
      </c>
      <c r="EM42" s="20">
        <f t="shared" si="19"/>
        <v>298.36290228402578</v>
      </c>
      <c r="EN42" s="59">
        <f t="shared" si="20"/>
        <v>591.69623561735909</v>
      </c>
      <c r="EO42" s="59">
        <f ca="1">AVERAGE(OFFSET($EN$3,0,0,'Données projet'!$E$15+1,1))-AVERAGE(OFFSET($H$3,0,0,'Données projet'!$E$15+1,1))</f>
        <v>288.80569134263209</v>
      </c>
      <c r="EP42" s="59">
        <f t="shared" si="46"/>
        <v>283.48738729114024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7.1715721742849139</v>
      </c>
      <c r="EW42" s="21">
        <f>EXP(-LN(2)/25)*EW41+(1-EXP(-LN(2)/25))/(LN(2)/25)*Calculateur!ER42*Calculateur!ET42*VLOOKUP('Données projet'!$B$15,Paramètres!$A$1:$I$89,3,0)*0.475*44/12</f>
        <v>15.280954238913072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22.452526413197987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18.055769230769229</v>
      </c>
      <c r="FE42" s="12">
        <f>IF('Données projet'!$A$218&gt;35,FE41+FD42-FM41,IF(A42&lt;'Données projet'!$A$218,$FB$205^A42,IF(A42='Données projet'!$A$218,'Données projet'!$B$218,FE41+FD42-FM41)))</f>
        <v>380.65961538461539</v>
      </c>
      <c r="FF42" s="17">
        <f>FE42*VLOOKUP('Données projet'!$B$16,Paramètres!$A$1:$I$89,3,0)*VLOOKUP('Données projet'!$B$16,Paramètres!$A$1:$I$89,5,0)</f>
        <v>227.63445000000002</v>
      </c>
      <c r="FG42" s="13">
        <f t="shared" si="47"/>
        <v>55.770886966725193</v>
      </c>
      <c r="FH42" s="20">
        <f t="shared" si="22"/>
        <v>493.59762855037974</v>
      </c>
      <c r="FI42" s="59">
        <f t="shared" si="23"/>
        <v>786.93096188371305</v>
      </c>
      <c r="FJ42" s="59">
        <f ca="1">AVERAGE(OFFSET($FI$3,0,0,'Données projet'!$E$16+1,1))-AVERAGE(OFFSET($H$3,0,0,'Données projet'!$E$16+1,1))</f>
        <v>323.17232038705157</v>
      </c>
      <c r="FK42" s="59">
        <f t="shared" si="48"/>
        <v>402.34685738619197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23.111981598186613</v>
      </c>
      <c r="FR42" s="21">
        <f>EXP(-LN(2)/25)*FR41+(1-EXP(-LN(2)/25))/(LN(2)/25)*Calculateur!FM42*Calculateur!FO42*VLOOKUP('Données projet'!$B$16,Paramètres!$A$1:$I$89,3,0)*0.475*44/12</f>
        <v>15.956516135630688</v>
      </c>
      <c r="FS42" s="21">
        <f>EXP(-LN(2)/2)*FS41+(1-EXP(-LN(2)/2))/(LN(2)/2)*FM42*FP42*VLOOKUP('Données projet'!$B$16,Paramètres!$A$1:$I$89,3,0)*0.475*44/12</f>
        <v>0.57976967933259782</v>
      </c>
      <c r="FT42" s="22">
        <f t="shared" si="24"/>
        <v>39.648267413149902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11.142857142857142</v>
      </c>
      <c r="FZ42" s="12">
        <f>IF('Données projet'!$A$244&gt;35,FZ41+FY42-GH41,IF(A42&lt;'Données projet'!$A$244,$FW$205^A42,IF(A42='Données projet'!$A$244,'Données projet'!$B$244,FZ41+FY42-GH41)))</f>
        <v>174.28571428571428</v>
      </c>
      <c r="GA42" s="17">
        <f>FZ42*VLOOKUP('Données projet'!$B$17,Paramètres!$A$1:$I$89,3,0)*VLOOKUP('Données projet'!$B$17,Paramètres!$A$1:$I$89,5,0)</f>
        <v>141.38057142857144</v>
      </c>
      <c r="GB42" s="13">
        <f t="shared" si="49"/>
        <v>36.613094170880125</v>
      </c>
      <c r="GC42" s="20">
        <f t="shared" si="25"/>
        <v>310.00563425237812</v>
      </c>
      <c r="GD42" s="59">
        <f t="shared" si="26"/>
        <v>603.33896758571143</v>
      </c>
      <c r="GE42" s="59">
        <f ca="1">AVERAGE(OFFSET($GD$3,0,0,'Données projet'!$E$17+1,1))-AVERAGE(OFFSET($H$3,0,0,'Données projet'!$E$17+1,1))</f>
        <v>298.96480270023716</v>
      </c>
      <c r="GF42" s="59">
        <f t="shared" si="50"/>
        <v>293.11447542333889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9.1929548429438253</v>
      </c>
      <c r="GM42" s="21">
        <f>EXP(-LN(2)/25)*GM41+(1-EXP(-LN(2)/25))/(LN(2)/25)*Calculateur!GH42*Calculateur!GJ42*VLOOKUP('Données projet'!$B$17,Paramètres!$A$1:$I$89,3,0)*0.475*44/12</f>
        <v>19.588051108113689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28.781005951057516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11.380219780219781</v>
      </c>
      <c r="GU42" s="12">
        <f>IF('Données projet'!$A$270&gt;35,GU41+GT42-HC41,IF(A42&lt;'Données projet'!$A$270,$GR$205^A42,IF(A42='Données projet'!$A$270,'Données projet'!$B$270,GU41+GT42-HC41)))</f>
        <v>237.8252747252748</v>
      </c>
      <c r="GV42" s="17">
        <f>GU42*VLOOKUP('Données projet'!$B$18,Paramètres!$A$1:$I$89,3,0)*VLOOKUP('Données projet'!$B$18,Paramètres!$A$1:$I$89,5,0)</f>
        <v>136.0360571428572</v>
      </c>
      <c r="GW42" s="13">
        <f t="shared" si="51"/>
        <v>35.387409440922553</v>
      </c>
      <c r="GX42" s="20">
        <f t="shared" si="28"/>
        <v>298.56253763341641</v>
      </c>
      <c r="GY42" s="59">
        <f t="shared" si="29"/>
        <v>591.89587096674973</v>
      </c>
      <c r="GZ42" s="59">
        <f ca="1">AVERAGE(OFFSET($GY$3,0,0,'Données projet'!$E$18+1,1))-AVERAGE(OFFSET($H$3,0,0,'Données projet'!$E$18+1,1))</f>
        <v>320.76883487964511</v>
      </c>
      <c r="HA42" s="59">
        <f t="shared" si="52"/>
        <v>290.51177680335746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14.988328134220835</v>
      </c>
      <c r="HH42" s="21">
        <f>EXP(-LN(2)/25)*HH41+(1-EXP(-LN(2)/25))/(LN(2)/25)*Calculateur!HC42*Calculateur!HE42*VLOOKUP('Données projet'!$B$18,Paramètres!$A$1:$I$89,3,0)*0.475*44/12</f>
        <v>13.689679836827843</v>
      </c>
      <c r="HI42" s="21">
        <f>EXP(-LN(2)/2)*HI41+(1-EXP(-LN(2)/2))/(LN(2)/2)*HC42*HF42*VLOOKUP('Données projet'!$B$18,Paramètres!$A$1:$I$89,3,0)*0.475*44/12</f>
        <v>1.2443717803327559</v>
      </c>
      <c r="HJ42" s="22">
        <f t="shared" si="30"/>
        <v>29.922379751381435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150.20850000000004</v>
      </c>
      <c r="AK43" s="13">
        <f t="shared" si="35"/>
        <v>38.625964162869636</v>
      </c>
      <c r="AL43" s="20">
        <f t="shared" si="4"/>
        <v>328.88669175033129</v>
      </c>
      <c r="AM43" s="59">
        <f t="shared" si="5"/>
        <v>622.22002508366461</v>
      </c>
      <c r="AN43" s="59">
        <f ca="1">AVERAGE(OFFSET($AM$3,0,0,'Données projet'!$E$10+1,1))-AVERAGE(OFFSET($H$3,0,0,'Données projet'!$E$10+1,1))</f>
        <v>425.47148407510412</v>
      </c>
      <c r="AO43" s="59">
        <f t="shared" si="36"/>
        <v>308.54448799922471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150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150</v>
      </c>
      <c r="BE43" s="13">
        <f>BD43*VLOOKUP('Données projet'!$B$11,Paramètres!$A$1:$I$89,3,0)*VLOOKUP('Données projet'!$B$11,Paramètres!$A$1:$I$89,5,0)</f>
        <v>131.04000000000002</v>
      </c>
      <c r="BF43" s="13">
        <f t="shared" si="37"/>
        <v>34.236561238949918</v>
      </c>
      <c r="BG43" s="20">
        <f t="shared" si="7"/>
        <v>287.85667749117118</v>
      </c>
      <c r="BH43" s="59">
        <f t="shared" si="8"/>
        <v>581.1900108245045</v>
      </c>
      <c r="BI43" s="59">
        <f ca="1">AVERAGE(OFFSET($BH$3,0,0,'Données projet'!$E$11+1,1))-AVERAGE(OFFSET($H$3,0,0,'Données projet'!$E$11+1,1))</f>
        <v>300.63505444445104</v>
      </c>
      <c r="BJ43" s="59">
        <f t="shared" si="38"/>
        <v>266.32508105927997</v>
      </c>
      <c r="BK43" s="15">
        <f>IF(ISNA(VLOOKUP(A43,'Données projet'!$A$87:$I$107,3,0)),0,VLOOKUP(A43,'Données projet'!$A$87:$I$107,3,0))</f>
        <v>5</v>
      </c>
      <c r="BL43" s="15" t="str">
        <f>IF(ISNA(VLOOKUP(A43,'Données projet'!$A$87:$I$107,4,0)),0,VLOOKUP(A43,'Données projet'!$A$87:$I$107,4,0))</f>
        <v>20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4.1363266982029687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4.1363266982029687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5.3369963369963358</v>
      </c>
      <c r="BY43" s="12">
        <f>IF('Données projet'!$A$114&gt;35,BY42+BX43-CG42,IF(A43&lt;'Données projet'!$A$114,$BV$205^A43,IF(A43='Données projet'!$A$114,'Données projet'!$B$114,BY42+BX43-CG42)))</f>
        <v>141.07509157509156</v>
      </c>
      <c r="BZ43" s="13">
        <f>BY43*VLOOKUP('Données projet'!$B$12,Paramètres!$A$1:$I$89,3,0)*VLOOKUP('Données projet'!$B$12,Paramètres!$A$1:$I$89,5,0)</f>
        <v>134.24705714285713</v>
      </c>
      <c r="CA43" s="13">
        <f t="shared" si="39"/>
        <v>34.97588588975163</v>
      </c>
      <c r="CB43" s="20">
        <f t="shared" si="10"/>
        <v>294.72995911512686</v>
      </c>
      <c r="CC43" s="59">
        <f t="shared" si="11"/>
        <v>588.06329244846017</v>
      </c>
      <c r="CD43" s="59">
        <f ca="1">AVERAGE(OFFSET($CC$3,0,0,'Données projet'!$E$12+1,1))-AVERAGE(OFFSET($H$3,0,0,'Données projet'!$E$12+1,1))</f>
        <v>361.26385625423757</v>
      </c>
      <c r="CE43" s="59">
        <f t="shared" si="40"/>
        <v>222.05197404028576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233</v>
      </c>
      <c r="CR43" s="12">
        <f>VLOOKUP(A43,'Données projet'!$A$139:$I$159,9,0)</f>
        <v>4.8</v>
      </c>
      <c r="CS43" s="12">
        <f t="array" ref="CS43">INDEX(CR:CR,MIN(IF(ISNUMBER(CR43:CR239),ROW(CR43:CR239),"")))</f>
        <v>4.8</v>
      </c>
      <c r="CT43" s="12">
        <f>IF('Données projet'!$A$140&gt;35,CT42+CS43-DB42,IF(A43&lt;'Données projet'!$A$140,$CQ$205^A43,IF(A43='Données projet'!$A$140,'Données projet'!$B$140,CT42+CS43-DB42)))</f>
        <v>233.00000000000011</v>
      </c>
      <c r="CU43" s="17">
        <f>CT43*VLOOKUP('Données projet'!$B$13,Paramètres!$A$1:$I$89,3,0)*VLOOKUP('Données projet'!$B$13,Paramètres!$A$1:$I$89,5,0)</f>
        <v>210.81840000000008</v>
      </c>
      <c r="CV43" s="13">
        <f t="shared" si="41"/>
        <v>52.114386184062198</v>
      </c>
      <c r="CW43" s="20">
        <f t="shared" si="13"/>
        <v>457.94126927057505</v>
      </c>
      <c r="CX43" s="59">
        <f t="shared" si="14"/>
        <v>751.27460260390831</v>
      </c>
      <c r="CY43" s="59">
        <f ca="1">AVERAGE(OFFSET($CX$3,0,0,'Données projet'!$E$13+1,1))-AVERAGE(OFFSET($H$3,0,0,'Données projet'!$E$13+1,1))</f>
        <v>302.6937347295995</v>
      </c>
      <c r="CZ43" s="59">
        <f t="shared" si="42"/>
        <v>423.44006663873375</v>
      </c>
      <c r="DA43" s="15">
        <f>IF(ISNA(VLOOKUP(A43,'Données projet'!$A$139:$I$159,3,0)),0,VLOOKUP(A43,'Données projet'!$A$139:$I$159,3,0))</f>
        <v>8</v>
      </c>
      <c r="DB43" s="15">
        <f>IF(ISNA(VLOOKUP(A43,'Données projet'!$A$139:$I$159,4,0)),0,VLOOKUP(A43,'Données projet'!$A$139:$I$159,4,0))</f>
        <v>5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0.15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2.563963699064201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2.563963699064201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136.44782857142857</v>
      </c>
      <c r="DQ43" s="13">
        <f t="shared" si="43"/>
        <v>35.482039742086272</v>
      </c>
      <c r="DR43" s="20">
        <f t="shared" si="16"/>
        <v>299.44452064603837</v>
      </c>
      <c r="DS43" s="59">
        <f t="shared" si="17"/>
        <v>592.77785397937168</v>
      </c>
      <c r="DT43" s="59">
        <f ca="1">AVERAGE(OFFSET($DS$3,0,0,'Données projet'!$E$14+1,1))-AVERAGE(OFFSET($H$3,0,0,'Données projet'!$E$14+1,1))</f>
        <v>366.51581861366333</v>
      </c>
      <c r="DU43" s="59">
        <f t="shared" si="44"/>
        <v>225.01415116995503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185.42857142857142</v>
      </c>
      <c r="EK43" s="17">
        <f>EJ43*VLOOKUP('Données projet'!$B$15,Paramètres!$A$1:$I$89,3,0)*VLOOKUP('Données projet'!$B$15,Paramètres!$A$1:$I$89,5,0)</f>
        <v>144.63428571428571</v>
      </c>
      <c r="EL43" s="13">
        <f t="shared" si="45"/>
        <v>37.356634728420524</v>
      </c>
      <c r="EM43" s="20">
        <f t="shared" si="19"/>
        <v>316.96751977104668</v>
      </c>
      <c r="EN43" s="59">
        <f t="shared" si="20"/>
        <v>610.30085310437994</v>
      </c>
      <c r="EO43" s="59">
        <f ca="1">AVERAGE(OFFSET($EN$3,0,0,'Données projet'!$E$15+1,1))-AVERAGE(OFFSET($H$3,0,0,'Données projet'!$E$15+1,1))</f>
        <v>288.80569134263209</v>
      </c>
      <c r="EP43" s="59">
        <f t="shared" si="46"/>
        <v>283.48738729114024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7.0309420181742937</v>
      </c>
      <c r="EW43" s="21">
        <f>EXP(-LN(2)/25)*EW42+(1-EXP(-LN(2)/25))/(LN(2)/25)*Calculateur!ER43*Calculateur!ET43*VLOOKUP('Données projet'!$B$15,Paramètres!$A$1:$I$89,3,0)*0.475*44/12</f>
        <v>14.863095741659535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21.894037759833829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398.71538461538461</v>
      </c>
      <c r="FC43" s="12">
        <f>VLOOKUP(A43,'Données projet'!$A$217:$I$237,9,0)</f>
        <v>18.055769230769229</v>
      </c>
      <c r="FD43" s="12">
        <f t="array" ref="FD43">INDEX(FC:FC,MIN(IF(ISNUMBER(FC43:FC239),ROW(FC43:FC239),"")))</f>
        <v>18.055769230769229</v>
      </c>
      <c r="FE43" s="12">
        <f>IF('Données projet'!$A$218&gt;35,FE42+FD43-FM42,IF(A43&lt;'Données projet'!$A$218,$FB$205^A43,IF(A43='Données projet'!$A$218,'Données projet'!$B$218,FE42+FD43-FM42)))</f>
        <v>398.71538461538461</v>
      </c>
      <c r="FF43" s="17">
        <f>FE43*VLOOKUP('Données projet'!$B$16,Paramètres!$A$1:$I$89,3,0)*VLOOKUP('Données projet'!$B$16,Paramètres!$A$1:$I$89,5,0)</f>
        <v>238.43180000000001</v>
      </c>
      <c r="FG43" s="13">
        <f t="shared" si="47"/>
        <v>58.101995988242535</v>
      </c>
      <c r="FH43" s="20">
        <f t="shared" si="22"/>
        <v>516.46302801285583</v>
      </c>
      <c r="FI43" s="59">
        <f t="shared" si="23"/>
        <v>809.79636134618909</v>
      </c>
      <c r="FJ43" s="59">
        <f ca="1">AVERAGE(OFFSET($FI$3,0,0,'Données projet'!$E$16+1,1))-AVERAGE(OFFSET($H$3,0,0,'Données projet'!$E$16+1,1))</f>
        <v>323.17232038705157</v>
      </c>
      <c r="FK43" s="59">
        <f t="shared" si="48"/>
        <v>402.34685738619197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92.661538461538456</v>
      </c>
      <c r="FN43" s="16">
        <f>IF(ISNA(VLOOKUP(A43,'Données projet'!$A$217:$I$237,5,0)),0%,VLOOKUP(A43,'Données projet'!$A$217:$I$237,5,0)*VLOOKUP('Données projet'!$B$16,Paramètres!$A$1:$I$89,7,0))</f>
        <v>0.315</v>
      </c>
      <c r="FO43" s="16">
        <f>IF(ISNA(VLOOKUP(A43,'Données projet'!$A$217:$I$237,6,0)),0%,VLOOKUP(A43,'Données projet'!$A$217:$I$237,6,0)*VLOOKUP('Données projet'!$B$16,Paramètres!$A$1:$I$89,7,0))</f>
        <v>7.5600000000000001E-2</v>
      </c>
      <c r="FP43" s="16">
        <f>IF(ISNA(VLOOKUP(A43,'Données projet'!$A$217:$I$237,7,0)),0%,VLOOKUP(A43,'Données projet'!$A$217:$I$237,7,0))</f>
        <v>0.13200000000000001</v>
      </c>
      <c r="FQ43" s="21">
        <f>EXP(-LN(2)/35)*FQ42+(1-EXP(-LN(2)/35))/(LN(2)/35)*FM43*FN43*VLOOKUP('Données projet'!$B$16,Paramètres!$A$1:$I$89,3,0)*0.475*44/12</f>
        <v>45.813493314358581</v>
      </c>
      <c r="FR43" s="21">
        <f>EXP(-LN(2)/25)*FR42+(1-EXP(-LN(2)/25))/(LN(2)/25)*Calculateur!FM43*Calculateur!FO43*VLOOKUP('Données projet'!$B$16,Paramètres!$A$1:$I$89,3,0)*0.475*44/12</f>
        <v>21.055437468951411</v>
      </c>
      <c r="FS43" s="21">
        <f>EXP(-LN(2)/2)*FS42+(1-EXP(-LN(2)/2))/(LN(2)/2)*FM43*FP43*VLOOKUP('Données projet'!$B$16,Paramètres!$A$1:$I$89,3,0)*0.475*44/12</f>
        <v>8.6914810912279421</v>
      </c>
      <c r="FT43" s="22">
        <f t="shared" si="24"/>
        <v>75.560411874537934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11.142857142857142</v>
      </c>
      <c r="FZ43" s="12">
        <f>IF('Données projet'!$A$244&gt;35,FZ42+FY43-GH42,IF(A43&lt;'Données projet'!$A$244,$FW$205^A43,IF(A43='Données projet'!$A$244,'Données projet'!$B$244,FZ42+FY43-GH42)))</f>
        <v>185.42857142857142</v>
      </c>
      <c r="GA43" s="17">
        <f>FZ43*VLOOKUP('Données projet'!$B$17,Paramètres!$A$1:$I$89,3,0)*VLOOKUP('Données projet'!$B$17,Paramètres!$A$1:$I$89,5,0)</f>
        <v>150.41965714285715</v>
      </c>
      <c r="GB43" s="13">
        <f t="shared" si="49"/>
        <v>38.673938700014851</v>
      </c>
      <c r="GC43" s="20">
        <f t="shared" si="25"/>
        <v>329.33801275966874</v>
      </c>
      <c r="GD43" s="59">
        <f t="shared" si="26"/>
        <v>622.67134609300206</v>
      </c>
      <c r="GE43" s="59">
        <f ca="1">AVERAGE(OFFSET($GD$3,0,0,'Données projet'!$E$17+1,1))-AVERAGE(OFFSET($H$3,0,0,'Données projet'!$E$17+1,1))</f>
        <v>298.96480270023716</v>
      </c>
      <c r="GF43" s="59">
        <f t="shared" si="50"/>
        <v>293.11447542333889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9.0126866056224912</v>
      </c>
      <c r="GM43" s="21">
        <f>EXP(-LN(2)/25)*GM42+(1-EXP(-LN(2)/25))/(LN(2)/25)*Calculateur!GH43*Calculateur!GJ43*VLOOKUP('Données projet'!$B$17,Paramètres!$A$1:$I$89,3,0)*0.475*44/12</f>
        <v>19.05241482047148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28.065101426093971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11.380219780219781</v>
      </c>
      <c r="GU43" s="12">
        <f>IF('Données projet'!$A$270&gt;35,GU42+GT43-HC42,IF(A43&lt;'Données projet'!$A$270,$GR$205^A43,IF(A43='Données projet'!$A$270,'Données projet'!$B$270,GU42+GT43-HC42)))</f>
        <v>249.20549450549458</v>
      </c>
      <c r="GV43" s="17">
        <f>GU43*VLOOKUP('Données projet'!$B$18,Paramètres!$A$1:$I$89,3,0)*VLOOKUP('Données projet'!$B$18,Paramètres!$A$1:$I$89,5,0)</f>
        <v>142.54554285714292</v>
      </c>
      <c r="GW43" s="13">
        <f t="shared" si="51"/>
        <v>36.879540655490715</v>
      </c>
      <c r="GX43" s="20">
        <f t="shared" si="28"/>
        <v>312.49868711783694</v>
      </c>
      <c r="GY43" s="59">
        <f t="shared" si="29"/>
        <v>605.83202045117025</v>
      </c>
      <c r="GZ43" s="59">
        <f ca="1">AVERAGE(OFFSET($GY$3,0,0,'Données projet'!$E$18+1,1))-AVERAGE(OFFSET($H$3,0,0,'Données projet'!$E$18+1,1))</f>
        <v>320.76883487964511</v>
      </c>
      <c r="HA43" s="59">
        <f t="shared" si="52"/>
        <v>290.51177680335746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14.694416161486231</v>
      </c>
      <c r="HH43" s="21">
        <f>EXP(-LN(2)/25)*HH42+(1-EXP(-LN(2)/25))/(LN(2)/25)*Calculateur!HC43*Calculateur!HE43*VLOOKUP('Données projet'!$B$18,Paramètres!$A$1:$I$89,3,0)*0.475*44/12</f>
        <v>13.315334821780811</v>
      </c>
      <c r="HI43" s="21">
        <f>EXP(-LN(2)/2)*HI42+(1-EXP(-LN(2)/2))/(LN(2)/2)*HC43*HF43*VLOOKUP('Données projet'!$B$18,Paramètres!$A$1:$I$89,3,0)*0.475*44/12</f>
        <v>0.87990372419046869</v>
      </c>
      <c r="HJ43" s="22">
        <f t="shared" si="30"/>
        <v>28.88965470745751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159.65300000000005</v>
      </c>
      <c r="AK44" s="13">
        <f t="shared" si="35"/>
        <v>40.764238701185349</v>
      </c>
      <c r="AL44" s="20">
        <f t="shared" si="4"/>
        <v>349.06002407123123</v>
      </c>
      <c r="AM44" s="59">
        <f t="shared" si="5"/>
        <v>642.39335740456454</v>
      </c>
      <c r="AN44" s="59">
        <f ca="1">AVERAGE(OFFSET($AM$3,0,0,'Données projet'!$E$10+1,1))-AVERAGE(OFFSET($H$3,0,0,'Données projet'!$E$10+1,1))</f>
        <v>425.47148407510412</v>
      </c>
      <c r="AO44" s="59">
        <f t="shared" si="36"/>
        <v>308.54448799922471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136.4</v>
      </c>
      <c r="BE44" s="13">
        <f>BD44*VLOOKUP('Données projet'!$B$11,Paramètres!$A$1:$I$89,3,0)*VLOOKUP('Données projet'!$B$11,Paramètres!$A$1:$I$89,5,0)</f>
        <v>119.15904000000003</v>
      </c>
      <c r="BF44" s="13">
        <f t="shared" si="37"/>
        <v>31.478778976043767</v>
      </c>
      <c r="BG44" s="20">
        <f t="shared" si="7"/>
        <v>262.36086804994295</v>
      </c>
      <c r="BH44" s="59">
        <f t="shared" si="8"/>
        <v>555.69420138327632</v>
      </c>
      <c r="BI44" s="59">
        <f ca="1">AVERAGE(OFFSET($BH$3,0,0,'Données projet'!$E$11+1,1))-AVERAGE(OFFSET($H$3,0,0,'Données projet'!$E$11+1,1))</f>
        <v>300.63505444445104</v>
      </c>
      <c r="BJ44" s="59">
        <f t="shared" si="38"/>
        <v>266.32508105927997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4.0232186271206416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4.0232186271206416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5.3369963369963358</v>
      </c>
      <c r="BY44" s="12">
        <f>IF('Données projet'!$A$114&gt;35,BY43+BX44-CG43,IF(A44&lt;'Données projet'!$A$114,$BV$205^A44,IF(A44='Données projet'!$A$114,'Données projet'!$B$114,BY43+BX44-CG43)))</f>
        <v>146.41208791208788</v>
      </c>
      <c r="BZ44" s="13">
        <f>BY44*VLOOKUP('Données projet'!$B$12,Paramètres!$A$1:$I$89,3,0)*VLOOKUP('Données projet'!$B$12,Paramètres!$A$1:$I$89,5,0)</f>
        <v>139.32574285714284</v>
      </c>
      <c r="CA44" s="13">
        <f t="shared" si="39"/>
        <v>36.142499278338384</v>
      </c>
      <c r="CB44" s="20">
        <f t="shared" si="10"/>
        <v>305.60718838596318</v>
      </c>
      <c r="CC44" s="59">
        <f t="shared" si="11"/>
        <v>598.9405217192965</v>
      </c>
      <c r="CD44" s="59">
        <f ca="1">AVERAGE(OFFSET($CC$3,0,0,'Données projet'!$E$12+1,1))-AVERAGE(OFFSET($H$3,0,0,'Données projet'!$E$12+1,1))</f>
        <v>361.26385625423757</v>
      </c>
      <c r="CE44" s="59">
        <f t="shared" si="40"/>
        <v>222.05197404028576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4.8</v>
      </c>
      <c r="CT44" s="12">
        <f>IF('Données projet'!$A$140&gt;35,CT43+CS44-DB43,IF(A44&lt;'Données projet'!$A$140,$CQ$205^A44,IF(A44='Données projet'!$A$140,'Données projet'!$B$140,CT43+CS44-DB43)))</f>
        <v>232.80000000000013</v>
      </c>
      <c r="CU44" s="17">
        <f>CT44*VLOOKUP('Données projet'!$B$13,Paramètres!$A$1:$I$89,3,0)*VLOOKUP('Données projet'!$B$13,Paramètres!$A$1:$I$89,5,0)</f>
        <v>210.63744000000008</v>
      </c>
      <c r="CV44" s="13">
        <f t="shared" si="41"/>
        <v>52.074857795388674</v>
      </c>
      <c r="CW44" s="20">
        <f t="shared" si="13"/>
        <v>457.55725199363536</v>
      </c>
      <c r="CX44" s="59">
        <f t="shared" si="14"/>
        <v>750.89058532696868</v>
      </c>
      <c r="CY44" s="59">
        <f ca="1">AVERAGE(OFFSET($CX$3,0,0,'Données projet'!$E$13+1,1))-AVERAGE(OFFSET($H$3,0,0,'Données projet'!$E$13+1,1))</f>
        <v>302.6937347295995</v>
      </c>
      <c r="CZ44" s="59">
        <f t="shared" si="42"/>
        <v>423.44006663873375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2.4938519768802996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2.4938519768802996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141.60977142857141</v>
      </c>
      <c r="DQ44" s="13">
        <f t="shared" si="43"/>
        <v>36.665535786988855</v>
      </c>
      <c r="DR44" s="20">
        <f t="shared" si="16"/>
        <v>310.49616006710073</v>
      </c>
      <c r="DS44" s="59">
        <f t="shared" si="17"/>
        <v>603.8294934004341</v>
      </c>
      <c r="DT44" s="59">
        <f ca="1">AVERAGE(OFFSET($DS$3,0,0,'Données projet'!$E$14+1,1))-AVERAGE(OFFSET($H$3,0,0,'Données projet'!$E$14+1,1))</f>
        <v>366.51581861366333</v>
      </c>
      <c r="DU44" s="59">
        <f t="shared" si="44"/>
        <v>225.01415116995503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196.57142857142856</v>
      </c>
      <c r="EK44" s="17">
        <f>EJ44*VLOOKUP('Données projet'!$B$15,Paramètres!$A$1:$I$89,3,0)*VLOOKUP('Données projet'!$B$15,Paramètres!$A$1:$I$89,5,0)</f>
        <v>153.32571428571427</v>
      </c>
      <c r="EL44" s="13">
        <f t="shared" si="45"/>
        <v>39.33339883761419</v>
      </c>
      <c r="EM44" s="20">
        <f t="shared" si="19"/>
        <v>335.54795535646372</v>
      </c>
      <c r="EN44" s="59">
        <f t="shared" si="20"/>
        <v>628.88128868979697</v>
      </c>
      <c r="EO44" s="59">
        <f ca="1">AVERAGE(OFFSET($EN$3,0,0,'Données projet'!$E$15+1,1))-AVERAGE(OFFSET($H$3,0,0,'Données projet'!$E$15+1,1))</f>
        <v>288.80569134263209</v>
      </c>
      <c r="EP44" s="59">
        <f t="shared" si="46"/>
        <v>283.48738729114024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6.8930695336490775</v>
      </c>
      <c r="EW44" s="21">
        <f>EXP(-LN(2)/25)*EW43+(1-EXP(-LN(2)/25))/(LN(2)/25)*Calculateur!ER44*Calculateur!ET44*VLOOKUP('Données projet'!$B$15,Paramètres!$A$1:$I$89,3,0)*0.475*44/12</f>
        <v>14.45666360698762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21.349733140636697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15.21153846153846</v>
      </c>
      <c r="FE44" s="12">
        <f>IF('Données projet'!$A$218&gt;35,FE43+FD44-FM43,IF(A44&lt;'Données projet'!$A$218,$FB$205^A44,IF(A44='Données projet'!$A$218,'Données projet'!$B$218,FE43+FD44-FM43)))</f>
        <v>321.26538461538462</v>
      </c>
      <c r="FF44" s="17">
        <f>FE44*VLOOKUP('Données projet'!$B$16,Paramètres!$A$1:$I$89,3,0)*VLOOKUP('Données projet'!$B$16,Paramètres!$A$1:$I$89,5,0)</f>
        <v>192.11670000000004</v>
      </c>
      <c r="FG44" s="13">
        <f t="shared" si="47"/>
        <v>48.007622995174927</v>
      </c>
      <c r="FH44" s="20">
        <f t="shared" si="22"/>
        <v>418.21652921659637</v>
      </c>
      <c r="FI44" s="59">
        <f t="shared" si="23"/>
        <v>711.54986254992968</v>
      </c>
      <c r="FJ44" s="59">
        <f ca="1">AVERAGE(OFFSET($FI$3,0,0,'Données projet'!$E$16+1,1))-AVERAGE(OFFSET($H$3,0,0,'Données projet'!$E$16+1,1))</f>
        <v>323.17232038705157</v>
      </c>
      <c r="FK44" s="59">
        <f t="shared" si="48"/>
        <v>402.34685738619197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44.915118653935743</v>
      </c>
      <c r="FR44" s="21">
        <f>EXP(-LN(2)/25)*FR43+(1-EXP(-LN(2)/25))/(LN(2)/25)*Calculateur!FM44*Calculateur!FO44*VLOOKUP('Données projet'!$B$16,Paramètres!$A$1:$I$89,3,0)*0.475*44/12</f>
        <v>20.479675424105601</v>
      </c>
      <c r="FS44" s="21">
        <f>EXP(-LN(2)/2)*FS43+(1-EXP(-LN(2)/2))/(LN(2)/2)*FM44*FP44*VLOOKUP('Données projet'!$B$16,Paramètres!$A$1:$I$89,3,0)*0.475*44/12</f>
        <v>6.1458052181619323</v>
      </c>
      <c r="FT44" s="22">
        <f t="shared" si="24"/>
        <v>71.540599296203283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11.142857142857142</v>
      </c>
      <c r="FZ44" s="12">
        <f>IF('Données projet'!$A$244&gt;35,FZ43+FY44-GH43,IF(A44&lt;'Données projet'!$A$244,$FW$205^A44,IF(A44='Données projet'!$A$244,'Données projet'!$B$244,FZ43+FY44-GH43)))</f>
        <v>196.57142857142856</v>
      </c>
      <c r="GA44" s="17">
        <f>FZ44*VLOOKUP('Données projet'!$B$17,Paramètres!$A$1:$I$89,3,0)*VLOOKUP('Données projet'!$B$17,Paramètres!$A$1:$I$89,5,0)</f>
        <v>159.45874285714285</v>
      </c>
      <c r="GB44" s="13">
        <f t="shared" si="49"/>
        <v>40.720409281188005</v>
      </c>
      <c r="GC44" s="20">
        <f t="shared" si="25"/>
        <v>348.64535664092631</v>
      </c>
      <c r="GD44" s="59">
        <f t="shared" si="26"/>
        <v>641.97868997425962</v>
      </c>
      <c r="GE44" s="59">
        <f ca="1">AVERAGE(OFFSET($GD$3,0,0,'Données projet'!$E$17+1,1))-AVERAGE(OFFSET($H$3,0,0,'Données projet'!$E$17+1,1))</f>
        <v>298.96480270023716</v>
      </c>
      <c r="GF44" s="59">
        <f t="shared" si="50"/>
        <v>293.11447542333889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8.835953318482261</v>
      </c>
      <c r="GM44" s="21">
        <f>EXP(-LN(2)/25)*GM43+(1-EXP(-LN(2)/25))/(LN(2)/25)*Calculateur!GH44*Calculateur!GJ44*VLOOKUP('Données projet'!$B$17,Paramètres!$A$1:$I$89,3,0)*0.475*44/12</f>
        <v>18.531425535282736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27.367378853764997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11.380219780219781</v>
      </c>
      <c r="GU44" s="12">
        <f>IF('Données projet'!$A$270&gt;35,GU43+GT44-HC43,IF(A44&lt;'Données projet'!$A$270,$GR$205^A44,IF(A44='Données projet'!$A$270,'Données projet'!$B$270,GU43+GT44-HC43)))</f>
        <v>260.58571428571435</v>
      </c>
      <c r="GV44" s="17">
        <f>GU44*VLOOKUP('Données projet'!$B$18,Paramètres!$A$1:$I$89,3,0)*VLOOKUP('Données projet'!$B$18,Paramètres!$A$1:$I$89,5,0)</f>
        <v>149.05502857142861</v>
      </c>
      <c r="GW44" s="13">
        <f t="shared" si="51"/>
        <v>38.363758550427406</v>
      </c>
      <c r="GX44" s="20">
        <f t="shared" si="28"/>
        <v>326.42105423723257</v>
      </c>
      <c r="GY44" s="59">
        <f t="shared" si="29"/>
        <v>619.75438757056588</v>
      </c>
      <c r="GZ44" s="59">
        <f ca="1">AVERAGE(OFFSET($GY$3,0,0,'Données projet'!$E$18+1,1))-AVERAGE(OFFSET($H$3,0,0,'Données projet'!$E$18+1,1))</f>
        <v>320.76883487964511</v>
      </c>
      <c r="HA44" s="59">
        <f t="shared" si="52"/>
        <v>290.51177680335746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14.40626762326835</v>
      </c>
      <c r="HH44" s="21">
        <f>EXP(-LN(2)/25)*HH43+(1-EXP(-LN(2)/25))/(LN(2)/25)*Calculateur!HC44*Calculateur!HE44*VLOOKUP('Données projet'!$B$18,Paramètres!$A$1:$I$89,3,0)*0.475*44/12</f>
        <v>12.951226290856189</v>
      </c>
      <c r="HI44" s="21">
        <f>EXP(-LN(2)/2)*HI43+(1-EXP(-LN(2)/2))/(LN(2)/2)*HC44*HF44*VLOOKUP('Données projet'!$B$18,Paramètres!$A$1:$I$89,3,0)*0.475*44/12</f>
        <v>0.62218589016637804</v>
      </c>
      <c r="HJ44" s="22">
        <f t="shared" si="30"/>
        <v>27.979679804290917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130.07707142857151</v>
      </c>
      <c r="AK45" s="13">
        <f t="shared" si="35"/>
        <v>34.014167662270417</v>
      </c>
      <c r="AL45" s="20">
        <f t="shared" si="4"/>
        <v>285.79224141654964</v>
      </c>
      <c r="AM45" s="59">
        <f t="shared" si="5"/>
        <v>579.12557474988296</v>
      </c>
      <c r="AN45" s="59">
        <f ca="1">AVERAGE(OFFSET($AM$3,0,0,'Données projet'!$E$10+1,1))-AVERAGE(OFFSET($H$3,0,0,'Données projet'!$E$10+1,1))</f>
        <v>425.47148407510412</v>
      </c>
      <c r="AO45" s="59">
        <f t="shared" si="36"/>
        <v>308.54448799922471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142.80000000000001</v>
      </c>
      <c r="BE45" s="13">
        <f>BD45*VLOOKUP('Données projet'!$B$11,Paramètres!$A$1:$I$89,3,0)*VLOOKUP('Données projet'!$B$11,Paramètres!$A$1:$I$89,5,0)</f>
        <v>124.75008000000003</v>
      </c>
      <c r="BF45" s="13">
        <f t="shared" si="37"/>
        <v>32.780361960132396</v>
      </c>
      <c r="BG45" s="20">
        <f t="shared" si="7"/>
        <v>274.36551974723062</v>
      </c>
      <c r="BH45" s="59">
        <f t="shared" si="8"/>
        <v>567.69885308056394</v>
      </c>
      <c r="BI45" s="59">
        <f ca="1">AVERAGE(OFFSET($BH$3,0,0,'Données projet'!$E$11+1,1))-AVERAGE(OFFSET($H$3,0,0,'Données projet'!$E$11+1,1))</f>
        <v>300.63505444445104</v>
      </c>
      <c r="BJ45" s="59">
        <f t="shared" si="38"/>
        <v>266.32508105927997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3.9132035021901554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3.9132035021901554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5.3369963369963358</v>
      </c>
      <c r="BY45" s="12">
        <f>IF('Données projet'!$A$114&gt;35,BY44+BX45-CG44,IF(A45&lt;'Données projet'!$A$114,$BV$205^A45,IF(A45='Données projet'!$A$114,'Données projet'!$B$114,BY44+BX45-CG44)))</f>
        <v>151.74908424908421</v>
      </c>
      <c r="BZ45" s="13">
        <f>BY45*VLOOKUP('Données projet'!$B$12,Paramètres!$A$1:$I$89,3,0)*VLOOKUP('Données projet'!$B$12,Paramètres!$A$1:$I$89,5,0)</f>
        <v>144.40442857142855</v>
      </c>
      <c r="CA45" s="13">
        <f t="shared" si="39"/>
        <v>37.304172057968501</v>
      </c>
      <c r="CB45" s="20">
        <f t="shared" si="10"/>
        <v>316.4758127628665</v>
      </c>
      <c r="CC45" s="59">
        <f t="shared" si="11"/>
        <v>609.80914609619981</v>
      </c>
      <c r="CD45" s="59">
        <f ca="1">AVERAGE(OFFSET($CC$3,0,0,'Données projet'!$E$12+1,1))-AVERAGE(OFFSET($H$3,0,0,'Données projet'!$E$12+1,1))</f>
        <v>361.26385625423757</v>
      </c>
      <c r="CE45" s="59">
        <f t="shared" si="40"/>
        <v>222.05197404028576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4.8</v>
      </c>
      <c r="CT45" s="12">
        <f>IF('Données projet'!$A$140&gt;35,CT44+CS45-DB44,IF(A45&lt;'Données projet'!$A$140,$CQ$205^A45,IF(A45='Données projet'!$A$140,'Données projet'!$B$140,CT44+CS45-DB44)))</f>
        <v>237.60000000000014</v>
      </c>
      <c r="CU45" s="17">
        <f>CT45*VLOOKUP('Données projet'!$B$13,Paramètres!$A$1:$I$89,3,0)*VLOOKUP('Données projet'!$B$13,Paramètres!$A$1:$I$89,5,0)</f>
        <v>214.98048000000014</v>
      </c>
      <c r="CV45" s="13">
        <f t="shared" si="41"/>
        <v>53.022456711590657</v>
      </c>
      <c r="CW45" s="20">
        <f t="shared" si="13"/>
        <v>466.7717814393539</v>
      </c>
      <c r="CX45" s="59">
        <f t="shared" si="14"/>
        <v>760.10511477268722</v>
      </c>
      <c r="CY45" s="59">
        <f ca="1">AVERAGE(OFFSET($CX$3,0,0,'Données projet'!$E$13+1,1))-AVERAGE(OFFSET($H$3,0,0,'Données projet'!$E$13+1,1))</f>
        <v>302.6937347295995</v>
      </c>
      <c r="CZ45" s="59">
        <f t="shared" si="42"/>
        <v>423.44006663873375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2.425657463426532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2.425657463426532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146.77171428571427</v>
      </c>
      <c r="DQ45" s="13">
        <f t="shared" si="43"/>
        <v>37.844019724867131</v>
      </c>
      <c r="DR45" s="20">
        <f t="shared" si="16"/>
        <v>321.53907006842928</v>
      </c>
      <c r="DS45" s="59">
        <f t="shared" si="17"/>
        <v>614.87240340176254</v>
      </c>
      <c r="DT45" s="59">
        <f ca="1">AVERAGE(OFFSET($DS$3,0,0,'Données projet'!$E$14+1,1))-AVERAGE(OFFSET($H$3,0,0,'Données projet'!$E$14+1,1))</f>
        <v>366.51581861366333</v>
      </c>
      <c r="DU45" s="59">
        <f t="shared" si="44"/>
        <v>225.01415116995503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207.71428571428569</v>
      </c>
      <c r="EK45" s="17">
        <f>EJ45*VLOOKUP('Données projet'!$B$15,Paramètres!$A$1:$I$89,3,0)*VLOOKUP('Données projet'!$B$15,Paramètres!$A$1:$I$89,5,0)</f>
        <v>162.01714285714286</v>
      </c>
      <c r="EL45" s="13">
        <f t="shared" si="45"/>
        <v>41.297155335096676</v>
      </c>
      <c r="EM45" s="20">
        <f t="shared" si="19"/>
        <v>354.10573601815054</v>
      </c>
      <c r="EN45" s="59">
        <f t="shared" si="20"/>
        <v>647.43906935148379</v>
      </c>
      <c r="EO45" s="59">
        <f ca="1">AVERAGE(OFFSET($EN$3,0,0,'Données projet'!$E$15+1,1))-AVERAGE(OFFSET($H$3,0,0,'Données projet'!$E$15+1,1))</f>
        <v>288.80569134263209</v>
      </c>
      <c r="EP45" s="59">
        <f t="shared" si="46"/>
        <v>283.48738729114024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6.7579006444514889</v>
      </c>
      <c r="EW45" s="21">
        <f>EXP(-LN(2)/25)*EW44+(1-EXP(-LN(2)/25))/(LN(2)/25)*Calculateur!ER45*Calculateur!ET45*VLOOKUP('Données projet'!$B$15,Paramètres!$A$1:$I$89,3,0)*0.475*44/12</f>
        <v>14.061345380411646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20.819246024863133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15.21153846153846</v>
      </c>
      <c r="FE45" s="12">
        <f>IF('Données projet'!$A$218&gt;35,FE44+FD45-FM44,IF(A45&lt;'Données projet'!$A$218,$FB$205^A45,IF(A45='Données projet'!$A$218,'Données projet'!$B$218,FE44+FD45-FM44)))</f>
        <v>336.47692307692307</v>
      </c>
      <c r="FF45" s="17">
        <f>FE45*VLOOKUP('Données projet'!$B$16,Paramètres!$A$1:$I$89,3,0)*VLOOKUP('Données projet'!$B$16,Paramètres!$A$1:$I$89,5,0)</f>
        <v>201.21320000000003</v>
      </c>
      <c r="FG45" s="13">
        <f t="shared" si="47"/>
        <v>50.010698447793764</v>
      </c>
      <c r="FH45" s="20">
        <f t="shared" si="22"/>
        <v>437.54828979657418</v>
      </c>
      <c r="FI45" s="59">
        <f t="shared" si="23"/>
        <v>730.88162312990744</v>
      </c>
      <c r="FJ45" s="59">
        <f ca="1">AVERAGE(OFFSET($FI$3,0,0,'Données projet'!$E$16+1,1))-AVERAGE(OFFSET($H$3,0,0,'Données projet'!$E$16+1,1))</f>
        <v>323.17232038705157</v>
      </c>
      <c r="FK45" s="59">
        <f t="shared" si="48"/>
        <v>402.34685738619197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44.034360572649362</v>
      </c>
      <c r="FR45" s="21">
        <f>EXP(-LN(2)/25)*FR44+(1-EXP(-LN(2)/25))/(LN(2)/25)*Calculateur!FM45*Calculateur!FO45*VLOOKUP('Données projet'!$B$16,Paramètres!$A$1:$I$89,3,0)*0.475*44/12</f>
        <v>19.91965762265411</v>
      </c>
      <c r="FS45" s="21">
        <f>EXP(-LN(2)/2)*FS44+(1-EXP(-LN(2)/2))/(LN(2)/2)*FM45*FP45*VLOOKUP('Données projet'!$B$16,Paramètres!$A$1:$I$89,3,0)*0.475*44/12</f>
        <v>4.3457405456139719</v>
      </c>
      <c r="FT45" s="22">
        <f t="shared" si="24"/>
        <v>68.299758740917454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11.142857142857142</v>
      </c>
      <c r="FZ45" s="12">
        <f>IF('Données projet'!$A$244&gt;35,FZ44+FY45-GH44,IF(A45&lt;'Données projet'!$A$244,$FW$205^A45,IF(A45='Données projet'!$A$244,'Données projet'!$B$244,FZ44+FY45-GH44)))</f>
        <v>207.71428571428569</v>
      </c>
      <c r="GA45" s="17">
        <f>FZ45*VLOOKUP('Données projet'!$B$17,Paramètres!$A$1:$I$89,3,0)*VLOOKUP('Données projet'!$B$17,Paramètres!$A$1:$I$89,5,0)</f>
        <v>168.49782857142858</v>
      </c>
      <c r="GB45" s="13">
        <f t="shared" si="49"/>
        <v>42.753413564296366</v>
      </c>
      <c r="GC45" s="20">
        <f t="shared" si="25"/>
        <v>367.92924671972099</v>
      </c>
      <c r="GD45" s="59">
        <f t="shared" si="26"/>
        <v>661.26258005305431</v>
      </c>
      <c r="GE45" s="59">
        <f ca="1">AVERAGE(OFFSET($GD$3,0,0,'Données projet'!$E$17+1,1))-AVERAGE(OFFSET($H$3,0,0,'Données projet'!$E$17+1,1))</f>
        <v>298.96480270023716</v>
      </c>
      <c r="GF45" s="59">
        <f t="shared" si="50"/>
        <v>293.11447542333889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8.6626856633061884</v>
      </c>
      <c r="GM45" s="21">
        <f>EXP(-LN(2)/25)*GM44+(1-EXP(-LN(2)/25))/(LN(2)/25)*Calculateur!GH45*Calculateur!GJ45*VLOOKUP('Données projet'!$B$17,Paramètres!$A$1:$I$89,3,0)*0.475*44/12</f>
        <v>18.024682729495115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26.687368392801304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11.380219780219781</v>
      </c>
      <c r="GU45" s="12">
        <f>IF('Données projet'!$A$270&gt;35,GU44+GT45-HC44,IF(A45&lt;'Données projet'!$A$270,$GR$205^A45,IF(A45='Données projet'!$A$270,'Données projet'!$B$270,GU44+GT45-HC44)))</f>
        <v>271.96593406593411</v>
      </c>
      <c r="GV45" s="17">
        <f>GU45*VLOOKUP('Données projet'!$B$18,Paramètres!$A$1:$I$89,3,0)*VLOOKUP('Données projet'!$B$18,Paramètres!$A$1:$I$89,5,0)</f>
        <v>155.56451428571432</v>
      </c>
      <c r="GW45" s="13">
        <f t="shared" si="51"/>
        <v>39.84044821120888</v>
      </c>
      <c r="GX45" s="20">
        <f t="shared" si="28"/>
        <v>340.33030968214121</v>
      </c>
      <c r="GY45" s="59">
        <f t="shared" si="29"/>
        <v>633.66364301547446</v>
      </c>
      <c r="GZ45" s="59">
        <f ca="1">AVERAGE(OFFSET($GY$3,0,0,'Données projet'!$E$18+1,1))-AVERAGE(OFFSET($H$3,0,0,'Données projet'!$E$18+1,1))</f>
        <v>320.76883487964511</v>
      </c>
      <c r="HA45" s="59">
        <f t="shared" si="52"/>
        <v>290.51177680335746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14.123769502131669</v>
      </c>
      <c r="HH45" s="21">
        <f>EXP(-LN(2)/25)*HH44+(1-EXP(-LN(2)/25))/(LN(2)/25)*Calculateur!HC45*Calculateur!HE45*VLOOKUP('Données projet'!$B$18,Paramètres!$A$1:$I$89,3,0)*0.475*44/12</f>
        <v>12.597074326857337</v>
      </c>
      <c r="HI45" s="21">
        <f>EXP(-LN(2)/2)*HI44+(1-EXP(-LN(2)/2))/(LN(2)/2)*HC45*HF45*VLOOKUP('Données projet'!$B$18,Paramètres!$A$1:$I$89,3,0)*0.475*44/12</f>
        <v>0.4399518620952344</v>
      </c>
      <c r="HJ45" s="22">
        <f t="shared" si="30"/>
        <v>27.160795691084239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139.55314285714292</v>
      </c>
      <c r="AK46" s="13">
        <f t="shared" si="35"/>
        <v>36.19461775941739</v>
      </c>
      <c r="AL46" s="20">
        <f t="shared" si="4"/>
        <v>306.09401640717584</v>
      </c>
      <c r="AM46" s="59">
        <f t="shared" si="5"/>
        <v>599.42734974050916</v>
      </c>
      <c r="AN46" s="59">
        <f ca="1">AVERAGE(OFFSET($AM$3,0,0,'Données projet'!$E$10+1,1))-AVERAGE(OFFSET($H$3,0,0,'Données projet'!$E$10+1,1))</f>
        <v>425.47148407510412</v>
      </c>
      <c r="AO46" s="59">
        <f t="shared" si="36"/>
        <v>308.54448799922471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149.20000000000002</v>
      </c>
      <c r="BE46" s="13">
        <f>BD46*VLOOKUP('Données projet'!$B$11,Paramètres!$A$1:$I$89,3,0)*VLOOKUP('Données projet'!$B$11,Paramètres!$A$1:$I$89,5,0)</f>
        <v>130.34112000000005</v>
      </c>
      <c r="BF46" s="13">
        <f t="shared" si="37"/>
        <v>34.075170122989917</v>
      </c>
      <c r="BG46" s="20">
        <f t="shared" si="7"/>
        <v>286.35837196420749</v>
      </c>
      <c r="BH46" s="59">
        <f t="shared" si="8"/>
        <v>579.69170529754081</v>
      </c>
      <c r="BI46" s="59">
        <f ca="1">AVERAGE(OFFSET($BH$3,0,0,'Données projet'!$E$11+1,1))-AVERAGE(OFFSET($H$3,0,0,'Données projet'!$E$11+1,1))</f>
        <v>300.63505444445104</v>
      </c>
      <c r="BJ46" s="59">
        <f t="shared" si="38"/>
        <v>266.32508105927997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3.8061967466363371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3.8061967466363371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5.3369963369963358</v>
      </c>
      <c r="BY46" s="12">
        <f>IF('Données projet'!$A$114&gt;35,BY45+BX46-CG45,IF(A46&lt;'Données projet'!$A$114,$BV$205^A46,IF(A46='Données projet'!$A$114,'Données projet'!$B$114,BY45+BX46-CG45)))</f>
        <v>157.08608058608053</v>
      </c>
      <c r="BZ46" s="13">
        <f>BY46*VLOOKUP('Données projet'!$B$12,Paramètres!$A$1:$I$89,3,0)*VLOOKUP('Données projet'!$B$12,Paramètres!$A$1:$I$89,5,0)</f>
        <v>149.48311428571424</v>
      </c>
      <c r="CA46" s="13">
        <f t="shared" si="39"/>
        <v>38.461097899617613</v>
      </c>
      <c r="CB46" s="20">
        <f t="shared" si="10"/>
        <v>327.33616955611961</v>
      </c>
      <c r="CC46" s="59">
        <f t="shared" si="11"/>
        <v>620.66950288945293</v>
      </c>
      <c r="CD46" s="59">
        <f ca="1">AVERAGE(OFFSET($CC$3,0,0,'Données projet'!$E$12+1,1))-AVERAGE(OFFSET($H$3,0,0,'Données projet'!$E$12+1,1))</f>
        <v>361.26385625423757</v>
      </c>
      <c r="CE46" s="59">
        <f t="shared" si="40"/>
        <v>222.05197404028576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4.8</v>
      </c>
      <c r="CT46" s="12">
        <f>IF('Données projet'!$A$140&gt;35,CT45+CS46-DB45,IF(A46&lt;'Données projet'!$A$140,$CQ$205^A46,IF(A46='Données projet'!$A$140,'Données projet'!$B$140,CT45+CS46-DB45)))</f>
        <v>242.40000000000015</v>
      </c>
      <c r="CU46" s="17">
        <f>CT46*VLOOKUP('Données projet'!$B$13,Paramètres!$A$1:$I$89,3,0)*VLOOKUP('Données projet'!$B$13,Paramètres!$A$1:$I$89,5,0)</f>
        <v>219.32352000000012</v>
      </c>
      <c r="CV46" s="13">
        <f t="shared" si="41"/>
        <v>53.967829792422748</v>
      </c>
      <c r="CW46" s="20">
        <f t="shared" si="13"/>
        <v>475.98243422180309</v>
      </c>
      <c r="CX46" s="59">
        <f t="shared" si="14"/>
        <v>769.3157675551364</v>
      </c>
      <c r="CY46" s="59">
        <f ca="1">AVERAGE(OFFSET($CX$3,0,0,'Données projet'!$E$13+1,1))-AVERAGE(OFFSET($H$3,0,0,'Données projet'!$E$13+1,1))</f>
        <v>302.6937347295995</v>
      </c>
      <c r="CZ46" s="59">
        <f t="shared" si="42"/>
        <v>423.44006663873375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2.3593277325293514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2.3593277325293514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151.93365714285707</v>
      </c>
      <c r="DQ46" s="13">
        <f t="shared" si="43"/>
        <v>39.017688029408021</v>
      </c>
      <c r="DR46" s="20">
        <f t="shared" si="16"/>
        <v>332.57359284169502</v>
      </c>
      <c r="DS46" s="59">
        <f t="shared" si="17"/>
        <v>625.90692617502827</v>
      </c>
      <c r="DT46" s="59">
        <f ca="1">AVERAGE(OFFSET($DS$3,0,0,'Données projet'!$E$14+1,1))-AVERAGE(OFFSET($H$3,0,0,'Données projet'!$E$14+1,1))</f>
        <v>366.51581861366333</v>
      </c>
      <c r="DU46" s="59">
        <f t="shared" si="44"/>
        <v>225.01415116995503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218.85714285714283</v>
      </c>
      <c r="EK46" s="17">
        <f>EJ46*VLOOKUP('Données projet'!$B$15,Paramètres!$A$1:$I$89,3,0)*VLOOKUP('Données projet'!$B$15,Paramètres!$A$1:$I$89,5,0)</f>
        <v>170.70857142857142</v>
      </c>
      <c r="EL46" s="13">
        <f t="shared" si="45"/>
        <v>43.248681576985412</v>
      </c>
      <c r="EM46" s="20">
        <f t="shared" si="19"/>
        <v>372.64221565134477</v>
      </c>
      <c r="EN46" s="59">
        <f t="shared" si="20"/>
        <v>665.97554898467808</v>
      </c>
      <c r="EO46" s="59">
        <f ca="1">AVERAGE(OFFSET($EN$3,0,0,'Données projet'!$E$15+1,1))-AVERAGE(OFFSET($H$3,0,0,'Données projet'!$E$15+1,1))</f>
        <v>288.80569134263209</v>
      </c>
      <c r="EP46" s="59">
        <f t="shared" si="46"/>
        <v>283.48738729114024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6.6253823347261829</v>
      </c>
      <c r="EW46" s="21">
        <f>EXP(-LN(2)/25)*EW45+(1-EXP(-LN(2)/25))/(LN(2)/25)*Calculateur!ER46*Calculateur!ET46*VLOOKUP('Données projet'!$B$15,Paramètres!$A$1:$I$89,3,0)*0.475*44/12</f>
        <v>13.676837151530274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20.302219486256455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15.21153846153846</v>
      </c>
      <c r="FE46" s="12">
        <f>IF('Données projet'!$A$218&gt;35,FE45+FD46-FM45,IF(A46&lt;'Données projet'!$A$218,$FB$205^A46,IF(A46='Données projet'!$A$218,'Données projet'!$B$218,FE45+FD46-FM45)))</f>
        <v>351.68846153846152</v>
      </c>
      <c r="FF46" s="17">
        <f>FE46*VLOOKUP('Données projet'!$B$16,Paramètres!$A$1:$I$89,3,0)*VLOOKUP('Données projet'!$B$16,Paramètres!$A$1:$I$89,5,0)</f>
        <v>210.30970000000002</v>
      </c>
      <c r="FG46" s="13">
        <f t="shared" si="47"/>
        <v>52.003257134609832</v>
      </c>
      <c r="FH46" s="20">
        <f t="shared" si="22"/>
        <v>456.86173367611218</v>
      </c>
      <c r="FI46" s="59">
        <f t="shared" si="23"/>
        <v>750.19506700944544</v>
      </c>
      <c r="FJ46" s="59">
        <f ca="1">AVERAGE(OFFSET($FI$3,0,0,'Données projet'!$E$16+1,1))-AVERAGE(OFFSET($H$3,0,0,'Données projet'!$E$16+1,1))</f>
        <v>323.17232038705157</v>
      </c>
      <c r="FK46" s="59">
        <f t="shared" si="48"/>
        <v>402.34685738619197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43.170873620127622</v>
      </c>
      <c r="FR46" s="21">
        <f>EXP(-LN(2)/25)*FR45+(1-EXP(-LN(2)/25))/(LN(2)/25)*Calculateur!FM46*Calculateur!FO46*VLOOKUP('Données projet'!$B$16,Paramètres!$A$1:$I$89,3,0)*0.475*44/12</f>
        <v>19.374953537433367</v>
      </c>
      <c r="FS46" s="21">
        <f>EXP(-LN(2)/2)*FS45+(1-EXP(-LN(2)/2))/(LN(2)/2)*FM46*FP46*VLOOKUP('Données projet'!$B$16,Paramètres!$A$1:$I$89,3,0)*0.475*44/12</f>
        <v>3.0729026090809666</v>
      </c>
      <c r="FT46" s="22">
        <f t="shared" si="24"/>
        <v>65.618729766641962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11.142857142857142</v>
      </c>
      <c r="FZ46" s="12">
        <f>IF('Données projet'!$A$244&gt;35,FZ45+FY46-GH45,IF(A46&lt;'Données projet'!$A$244,$FW$205^A46,IF(A46='Données projet'!$A$244,'Données projet'!$B$244,FZ45+FY46-GH45)))</f>
        <v>218.85714285714283</v>
      </c>
      <c r="GA46" s="17">
        <f>FZ46*VLOOKUP('Données projet'!$B$17,Paramètres!$A$1:$I$89,3,0)*VLOOKUP('Données projet'!$B$17,Paramètres!$A$1:$I$89,5,0)</f>
        <v>177.53691428571426</v>
      </c>
      <c r="GB46" s="13">
        <f t="shared" si="49"/>
        <v>44.773756317302826</v>
      </c>
      <c r="GC46" s="20">
        <f t="shared" si="25"/>
        <v>387.1910846335881</v>
      </c>
      <c r="GD46" s="59">
        <f t="shared" si="26"/>
        <v>680.52441796692142</v>
      </c>
      <c r="GE46" s="59">
        <f ca="1">AVERAGE(OFFSET($GD$3,0,0,'Données projet'!$E$17+1,1))-AVERAGE(OFFSET($H$3,0,0,'Données projet'!$E$17+1,1))</f>
        <v>298.96480270023716</v>
      </c>
      <c r="GF46" s="59">
        <f t="shared" si="50"/>
        <v>293.11447542333889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8.4928156811652844</v>
      </c>
      <c r="GM46" s="21">
        <f>EXP(-LN(2)/25)*GM45+(1-EXP(-LN(2)/25))/(LN(2)/25)*Calculateur!GH46*Calculateur!GJ46*VLOOKUP('Données projet'!$B$17,Paramètres!$A$1:$I$89,3,0)*0.475*44/12</f>
        <v>17.531796832380202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26.024612513545485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>
        <f>VLOOKUP(A46,'Données projet'!$A$269:$I$289,2,0)</f>
        <v>283.34615384615387</v>
      </c>
      <c r="GS46" s="12">
        <f>VLOOKUP(A46,'Données projet'!$A$269:$I$289,9,0)</f>
        <v>11.380219780219781</v>
      </c>
      <c r="GT46" s="12">
        <f t="array" ref="GT46">INDEX(GS:GS,MIN(IF(ISNUMBER(GS46:GS242),ROW(GS46:GS242),"")))</f>
        <v>11.380219780219781</v>
      </c>
      <c r="GU46" s="12">
        <f>IF('Données projet'!$A$270&gt;35,GU45+GT46-HC45,IF(A46&lt;'Données projet'!$A$270,$GR$205^A46,IF(A46='Données projet'!$A$270,'Données projet'!$B$270,GU45+GT46-HC45)))</f>
        <v>283.34615384615387</v>
      </c>
      <c r="GV46" s="17">
        <f>GU46*VLOOKUP('Données projet'!$B$18,Paramètres!$A$1:$I$89,3,0)*VLOOKUP('Données projet'!$B$18,Paramètres!$A$1:$I$89,5,0)</f>
        <v>162.07400000000001</v>
      </c>
      <c r="GW46" s="13">
        <f t="shared" si="51"/>
        <v>41.309960672859596</v>
      </c>
      <c r="GX46" s="20">
        <f t="shared" si="28"/>
        <v>354.22706483856382</v>
      </c>
      <c r="GY46" s="59">
        <f t="shared" si="29"/>
        <v>647.56039817189708</v>
      </c>
      <c r="GZ46" s="59">
        <f ca="1">AVERAGE(OFFSET($GY$3,0,0,'Données projet'!$E$18+1,1))-AVERAGE(OFFSET($H$3,0,0,'Données projet'!$E$18+1,1))</f>
        <v>320.76883487964511</v>
      </c>
      <c r="HA46" s="59">
        <f t="shared" si="52"/>
        <v>290.51177680335746</v>
      </c>
      <c r="HB46" s="15">
        <f>IF(ISNA(VLOOKUP(A46,'Données projet'!$A$269:$I$289,3,0)),0,VLOOKUP(A46,'Données projet'!$A$269:$I$289,3,0))</f>
        <v>5</v>
      </c>
      <c r="HC46" s="15">
        <f>IF(ISNA(VLOOKUP(A46,'Données projet'!$A$269:$I$289,4,0)),0,VLOOKUP(A46,'Données projet'!$A$269:$I$289,4,0))</f>
        <v>43.499999999999993</v>
      </c>
      <c r="HD46" s="16">
        <f>IF(ISNA(VLOOKUP(A46,'Données projet'!$A$269:$I$289,5,0)),0%,VLOOKUP(A46,'Données projet'!$A$269:$I$289,5,0)*VLOOKUP('Données projet'!$B$18,Paramètres!$A$1:$I$89,7,0))</f>
        <v>0.315</v>
      </c>
      <c r="HE46" s="16">
        <f>IF(ISNA(VLOOKUP(A46,'Données projet'!$A$269:$I$289,6,0)),0%,VLOOKUP(A46,'Données projet'!$A$269:$I$289,6,0)*VLOOKUP('Données projet'!$B$18,Paramètres!$A$1:$I$89,7,0))</f>
        <v>7.6500000000000012E-2</v>
      </c>
      <c r="HF46" s="16">
        <f>IF(ISNA(VLOOKUP(A46,'Données projet'!$A$269:$I$289,7,0)),0%,VLOOKUP(A46,'Données projet'!$A$269:$I$289,7,0))</f>
        <v>0.13</v>
      </c>
      <c r="HG46" s="21">
        <f>EXP(-LN(2)/35)*HG45+(1-EXP(-LN(2)/35))/(LN(2)/35)*HC46*HD46*VLOOKUP('Données projet'!$B$18,Paramètres!$A$1:$I$89,3,0)*0.475*44/12</f>
        <v>24.244197682621326</v>
      </c>
      <c r="HH46" s="21">
        <f>EXP(-LN(2)/25)*HH45+(1-EXP(-LN(2)/25))/(LN(2)/25)*Calculateur!HC46*Calculateur!HE46*VLOOKUP('Données projet'!$B$18,Paramètres!$A$1:$I$89,3,0)*0.475*44/12</f>
        <v>14.767744090017713</v>
      </c>
      <c r="HI46" s="21">
        <f>EXP(-LN(2)/2)*HI45+(1-EXP(-LN(2)/2))/(LN(2)/2)*HC46*HF46*VLOOKUP('Données projet'!$B$18,Paramètres!$A$1:$I$89,3,0)*0.475*44/12</f>
        <v>3.9734794686001464</v>
      </c>
      <c r="HJ46" s="22">
        <f t="shared" si="30"/>
        <v>42.985421241239187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149.02921428571437</v>
      </c>
      <c r="AK47" s="13">
        <f t="shared" si="35"/>
        <v>38.357887785185099</v>
      </c>
      <c r="AL47" s="20">
        <f t="shared" si="4"/>
        <v>326.36586944014988</v>
      </c>
      <c r="AM47" s="59">
        <f t="shared" si="5"/>
        <v>619.69920277348319</v>
      </c>
      <c r="AN47" s="59">
        <f ca="1">AVERAGE(OFFSET($AM$3,0,0,'Données projet'!$E$10+1,1))-AVERAGE(OFFSET($H$3,0,0,'Données projet'!$E$10+1,1))</f>
        <v>425.47148407510412</v>
      </c>
      <c r="AO47" s="59">
        <f t="shared" si="36"/>
        <v>308.54448799922471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155.60000000000002</v>
      </c>
      <c r="BE47" s="13">
        <f>BD47*VLOOKUP('Données projet'!$B$11,Paramètres!$A$1:$I$89,3,0)*VLOOKUP('Données projet'!$B$11,Paramètres!$A$1:$I$89,5,0)</f>
        <v>135.93216000000004</v>
      </c>
      <c r="BF47" s="13">
        <f t="shared" si="37"/>
        <v>35.36352729450968</v>
      </c>
      <c r="BG47" s="20">
        <f t="shared" si="7"/>
        <v>298.33998870460442</v>
      </c>
      <c r="BH47" s="59">
        <f t="shared" si="8"/>
        <v>591.67332203793774</v>
      </c>
      <c r="BI47" s="59">
        <f ca="1">AVERAGE(OFFSET($BH$3,0,0,'Données projet'!$E$11+1,1))-AVERAGE(OFFSET($H$3,0,0,'Données projet'!$E$11+1,1))</f>
        <v>300.63505444445104</v>
      </c>
      <c r="BJ47" s="59">
        <f t="shared" si="38"/>
        <v>266.32508105927997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3.7021160964403785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3.7021160964403785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162.42307692307691</v>
      </c>
      <c r="BW47" s="12">
        <f>VLOOKUP(A47,'Données projet'!$A$113:$I$133,9,0)</f>
        <v>5.3369963369963358</v>
      </c>
      <c r="BX47" s="12">
        <f t="array" ref="BX47">INDEX(BW:BW,MIN(IF(ISNUMBER(BW47:BW243),ROW(BW47:BW243),"")))</f>
        <v>5.3369963369963358</v>
      </c>
      <c r="BY47" s="12">
        <f>IF('Données projet'!$A$114&gt;35,BY46+BX47-CG46,IF(A47&lt;'Données projet'!$A$114,$BV$205^A47,IF(A47='Données projet'!$A$114,'Données projet'!$B$114,BY46+BX47-CG46)))</f>
        <v>162.42307692307685</v>
      </c>
      <c r="BZ47" s="13">
        <f>BY47*VLOOKUP('Données projet'!$B$12,Paramètres!$A$1:$I$89,3,0)*VLOOKUP('Données projet'!$B$12,Paramètres!$A$1:$I$89,5,0)</f>
        <v>154.56179999999995</v>
      </c>
      <c r="CA47" s="13">
        <f t="shared" si="39"/>
        <v>39.613456567777732</v>
      </c>
      <c r="CB47" s="20">
        <f t="shared" si="10"/>
        <v>338.18857185554612</v>
      </c>
      <c r="CC47" s="59">
        <f t="shared" si="11"/>
        <v>631.52190518887937</v>
      </c>
      <c r="CD47" s="59">
        <f ca="1">AVERAGE(OFFSET($CC$3,0,0,'Données projet'!$E$12+1,1))-AVERAGE(OFFSET($H$3,0,0,'Données projet'!$E$12+1,1))</f>
        <v>361.26385625423757</v>
      </c>
      <c r="CE47" s="59">
        <f t="shared" si="40"/>
        <v>222.05197404028576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64.416666666666657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4.8</v>
      </c>
      <c r="CT47" s="12">
        <f>IF('Données projet'!$A$140&gt;35,CT46+CS47-DB46,IF(A47&lt;'Données projet'!$A$140,$CQ$205^A47,IF(A47='Données projet'!$A$140,'Données projet'!$B$140,CT46+CS47-DB46)))</f>
        <v>247.20000000000016</v>
      </c>
      <c r="CU47" s="17">
        <f>CT47*VLOOKUP('Données projet'!$B$13,Paramètres!$A$1:$I$89,3,0)*VLOOKUP('Données projet'!$B$13,Paramètres!$A$1:$I$89,5,0)</f>
        <v>223.66656000000015</v>
      </c>
      <c r="CV47" s="13">
        <f t="shared" si="41"/>
        <v>54.911026194090759</v>
      </c>
      <c r="CW47" s="20">
        <f t="shared" si="13"/>
        <v>485.18929595470831</v>
      </c>
      <c r="CX47" s="59">
        <f t="shared" si="14"/>
        <v>778.52262928804157</v>
      </c>
      <c r="CY47" s="59">
        <f ca="1">AVERAGE(OFFSET($CX$3,0,0,'Données projet'!$E$13+1,1))-AVERAGE(OFFSET($H$3,0,0,'Données projet'!$E$13+1,1))</f>
        <v>302.6937347295995</v>
      </c>
      <c r="CZ47" s="59">
        <f t="shared" si="42"/>
        <v>423.44006663873375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2.294811791611683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2.294811791611683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157.09559999999993</v>
      </c>
      <c r="DQ47" s="13">
        <f t="shared" si="43"/>
        <v>40.186723066567019</v>
      </c>
      <c r="DR47" s="20">
        <f t="shared" si="16"/>
        <v>343.60004600760408</v>
      </c>
      <c r="DS47" s="59">
        <f t="shared" si="17"/>
        <v>636.93337934093734</v>
      </c>
      <c r="DT47" s="59">
        <f ca="1">AVERAGE(OFFSET($DS$3,0,0,'Données projet'!$E$14+1,1))-AVERAGE(OFFSET($H$3,0,0,'Données projet'!$E$14+1,1))</f>
        <v>366.51581861366333</v>
      </c>
      <c r="DU47" s="59">
        <f t="shared" si="44"/>
        <v>225.01415116995503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229.99999999999997</v>
      </c>
      <c r="EK47" s="17">
        <f>EJ47*VLOOKUP('Données projet'!$B$15,Paramètres!$A$1:$I$89,3,0)*VLOOKUP('Données projet'!$B$15,Paramètres!$A$1:$I$89,5,0)</f>
        <v>179.39999999999998</v>
      </c>
      <c r="EL47" s="13">
        <f t="shared" si="45"/>
        <v>45.188671291872232</v>
      </c>
      <c r="EM47" s="20">
        <f t="shared" si="19"/>
        <v>391.15860250001077</v>
      </c>
      <c r="EN47" s="59">
        <f t="shared" si="20"/>
        <v>684.49193583334409</v>
      </c>
      <c r="EO47" s="59">
        <f ca="1">AVERAGE(OFFSET($EN$3,0,0,'Données projet'!$E$15+1,1))-AVERAGE(OFFSET($H$3,0,0,'Données projet'!$E$15+1,1))</f>
        <v>288.80569134263209</v>
      </c>
      <c r="EP47" s="59">
        <f t="shared" si="46"/>
        <v>283.48738729114024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0.17200000000000001</v>
      </c>
      <c r="ET47" s="16">
        <f>IF(ISNA(VLOOKUP(A47,'Données projet'!$A$191:$I$211,6,0)),0%,VLOOKUP(A47,'Données projet'!$A$191:$I$211,6,0)*VLOOKUP('Données projet'!$B$15,Paramètres!$A$1:$I$89,7,0))</f>
        <v>0.17200000000000001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12.872788591306449</v>
      </c>
      <c r="EW47" s="21">
        <f>EXP(-LN(2)/25)*EW46+(1-EXP(-LN(2)/25))/(LN(2)/25)*Calculateur!ER47*Calculateur!ET47*VLOOKUP('Données projet'!$B$15,Paramètres!$A$1:$I$89,3,0)*0.475*44/12</f>
        <v>19.655059321199772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32.527847912506218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15.21153846153846</v>
      </c>
      <c r="FE47" s="12">
        <f>IF('Données projet'!$A$218&gt;35,FE46+FD47-FM46,IF(A47&lt;'Données projet'!$A$218,$FB$205^A47,IF(A47='Données projet'!$A$218,'Données projet'!$B$218,FE46+FD47-FM46)))</f>
        <v>366.9</v>
      </c>
      <c r="FF47" s="17">
        <f>FE47*VLOOKUP('Données projet'!$B$16,Paramètres!$A$1:$I$89,3,0)*VLOOKUP('Données projet'!$B$16,Paramètres!$A$1:$I$89,5,0)</f>
        <v>219.40620000000001</v>
      </c>
      <c r="FG47" s="13">
        <f t="shared" si="47"/>
        <v>53.985805930473333</v>
      </c>
      <c r="FH47" s="20">
        <f t="shared" si="22"/>
        <v>476.15774366224105</v>
      </c>
      <c r="FI47" s="59">
        <f t="shared" si="23"/>
        <v>769.4910769955743</v>
      </c>
      <c r="FJ47" s="59">
        <f ca="1">AVERAGE(OFFSET($FI$3,0,0,'Données projet'!$E$16+1,1))-AVERAGE(OFFSET($H$3,0,0,'Données projet'!$E$16+1,1))</f>
        <v>323.17232038705157</v>
      </c>
      <c r="FK47" s="59">
        <f t="shared" si="48"/>
        <v>402.34685738619197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42.324319120069795</v>
      </c>
      <c r="FR47" s="21">
        <f>EXP(-LN(2)/25)*FR46+(1-EXP(-LN(2)/25))/(LN(2)/25)*Calculateur!FM47*Calculateur!FO47*VLOOKUP('Données projet'!$B$16,Paramètres!$A$1:$I$89,3,0)*0.475*44/12</f>
        <v>18.845144414067725</v>
      </c>
      <c r="FS47" s="21">
        <f>EXP(-LN(2)/2)*FS46+(1-EXP(-LN(2)/2))/(LN(2)/2)*FM47*FP47*VLOOKUP('Données projet'!$B$16,Paramètres!$A$1:$I$89,3,0)*0.475*44/12</f>
        <v>2.172870272806986</v>
      </c>
      <c r="FT47" s="22">
        <f t="shared" si="24"/>
        <v>63.342333806944509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230</v>
      </c>
      <c r="FX47" s="12">
        <f>VLOOKUP(A47,'Données projet'!$A$243:$I$263,9,0)</f>
        <v>11.142857142857142</v>
      </c>
      <c r="FY47" s="12">
        <f t="array" ref="FY47">INDEX(FX:FX,MIN(IF(ISNUMBER(FX47:FX243),ROW(FX47:FX243),"")))</f>
        <v>11.142857142857142</v>
      </c>
      <c r="FZ47" s="12">
        <f>IF('Données projet'!$A$244&gt;35,FZ46+FY47-GH46,IF(A47&lt;'Données projet'!$A$244,$FW$205^A47,IF(A47='Données projet'!$A$244,'Données projet'!$B$244,FZ46+FY47-GH46)))</f>
        <v>229.99999999999997</v>
      </c>
      <c r="GA47" s="17">
        <f>FZ47*VLOOKUP('Données projet'!$B$17,Paramètres!$A$1:$I$89,3,0)*VLOOKUP('Données projet'!$B$17,Paramètres!$A$1:$I$89,5,0)</f>
        <v>186.57599999999999</v>
      </c>
      <c r="GB47" s="13">
        <f t="shared" si="49"/>
        <v>46.782155731694274</v>
      </c>
      <c r="GC47" s="20">
        <f t="shared" si="25"/>
        <v>406.43212123270087</v>
      </c>
      <c r="GD47" s="59">
        <f t="shared" si="26"/>
        <v>699.76545456603412</v>
      </c>
      <c r="GE47" s="59">
        <f ca="1">AVERAGE(OFFSET($GD$3,0,0,'Données projet'!$E$17+1,1))-AVERAGE(OFFSET($H$3,0,0,'Données projet'!$E$17+1,1))</f>
        <v>298.96480270023716</v>
      </c>
      <c r="GF47" s="59">
        <f t="shared" si="50"/>
        <v>293.11447542333889</v>
      </c>
      <c r="GG47" s="15">
        <f>IF(ISNA(VLOOKUP(A47,'Données projet'!$A$243:$I$263,3,0)),0,VLOOKUP(A47,'Données projet'!$A$243:$I$263,3,0))</f>
        <v>6</v>
      </c>
      <c r="GH47" s="15">
        <f>IF(ISNA(VLOOKUP(A47,'Données projet'!$A$243:$I$263,4,0)),0,VLOOKUP(A47,'Données projet'!$A$243:$I$263,4,0))</f>
        <v>43</v>
      </c>
      <c r="GI47" s="16">
        <f>IF(ISNA(VLOOKUP(A47,'Données projet'!$A$243:$I$263,5,0)),0%,VLOOKUP(A47,'Données projet'!$A$243:$I$263,5,0)*VLOOKUP('Données projet'!$B$17,Paramètres!$A$1:$I$89,7,0))</f>
        <v>0.21200000000000002</v>
      </c>
      <c r="GJ47" s="16">
        <f>IF(ISNA(VLOOKUP(A47,'Données projet'!$A$243:$I$263,6,0)),0%,VLOOKUP(A47,'Données projet'!$A$243:$I$263,6,0)*VLOOKUP('Données projet'!$B$17,Paramètres!$A$1:$I$89,7,0))</f>
        <v>0.21200000000000002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16.501118770995618</v>
      </c>
      <c r="GM47" s="21">
        <f>EXP(-LN(2)/25)*GM46+(1-EXP(-LN(2)/25))/(LN(2)/25)*Calculateur!GH47*Calculateur!GJ47*VLOOKUP('Données projet'!$B$17,Paramètres!$A$1:$I$89,3,0)*0.475*44/12</f>
        <v>25.195043483361196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41.696162254356814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10.386813186813185</v>
      </c>
      <c r="GU47" s="12">
        <f>IF('Données projet'!$A$270&gt;35,GU46+GT47-HC46,IF(A47&lt;'Données projet'!$A$270,$GR$205^A47,IF(A47='Données projet'!$A$270,'Données projet'!$B$270,GU46+GT47-HC46)))</f>
        <v>250.23296703296705</v>
      </c>
      <c r="GV47" s="17">
        <f>GU47*VLOOKUP('Données projet'!$B$18,Paramètres!$A$1:$I$89,3,0)*VLOOKUP('Données projet'!$B$18,Paramètres!$A$1:$I$89,5,0)</f>
        <v>143.13325714285716</v>
      </c>
      <c r="GW47" s="13">
        <f t="shared" si="51"/>
        <v>37.01386345975493</v>
      </c>
      <c r="GX47" s="20">
        <f t="shared" si="28"/>
        <v>313.75623504954939</v>
      </c>
      <c r="GY47" s="59">
        <f t="shared" si="29"/>
        <v>607.0895683828827</v>
      </c>
      <c r="GZ47" s="59">
        <f ca="1">AVERAGE(OFFSET($GY$3,0,0,'Données projet'!$E$18+1,1))-AVERAGE(OFFSET($H$3,0,0,'Données projet'!$E$18+1,1))</f>
        <v>320.76883487964511</v>
      </c>
      <c r="HA47" s="59">
        <f t="shared" si="52"/>
        <v>290.51177680335746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23.768783753565565</v>
      </c>
      <c r="HH47" s="21">
        <f>EXP(-LN(2)/25)*HH46+(1-EXP(-LN(2)/25))/(LN(2)/25)*Calculateur!HC47*Calculateur!HE47*VLOOKUP('Données projet'!$B$18,Paramètres!$A$1:$I$89,3,0)*0.475*44/12</f>
        <v>14.363919351274269</v>
      </c>
      <c r="HI47" s="21">
        <f>EXP(-LN(2)/2)*HI46+(1-EXP(-LN(2)/2))/(LN(2)/2)*HC47*HF47*VLOOKUP('Données projet'!$B$18,Paramètres!$A$1:$I$89,3,0)*0.475*44/12</f>
        <v>2.8096742771526833</v>
      </c>
      <c r="HJ47" s="22">
        <f t="shared" si="30"/>
        <v>40.942377381992515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158.5052857142858</v>
      </c>
      <c r="AK48" s="13">
        <f t="shared" si="35"/>
        <v>40.505194484738432</v>
      </c>
      <c r="AL48" s="20">
        <f t="shared" si="4"/>
        <v>346.60991967996728</v>
      </c>
      <c r="AM48" s="59">
        <f t="shared" si="5"/>
        <v>639.94325301330059</v>
      </c>
      <c r="AN48" s="59">
        <f ca="1">AVERAGE(OFFSET($AM$3,0,0,'Données projet'!$E$10+1,1))-AVERAGE(OFFSET($H$3,0,0,'Données projet'!$E$10+1,1))</f>
        <v>425.47148407510412</v>
      </c>
      <c r="AO48" s="59">
        <f t="shared" si="36"/>
        <v>308.54448799922471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162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162.00000000000003</v>
      </c>
      <c r="BE48" s="13">
        <f>BD48*VLOOKUP('Données projet'!$B$11,Paramètres!$A$1:$I$89,3,0)*VLOOKUP('Données projet'!$B$11,Paramètres!$A$1:$I$89,5,0)</f>
        <v>141.52320000000006</v>
      </c>
      <c r="BF48" s="13">
        <f t="shared" si="37"/>
        <v>36.645729158274158</v>
      </c>
      <c r="BG48" s="20">
        <f t="shared" si="7"/>
        <v>310.31088495066086</v>
      </c>
      <c r="BH48" s="59">
        <f t="shared" si="8"/>
        <v>603.64421828399418</v>
      </c>
      <c r="BI48" s="59">
        <f ca="1">AVERAGE(OFFSET($BH$3,0,0,'Données projet'!$E$11+1,1))-AVERAGE(OFFSET($H$3,0,0,'Données projet'!$E$11+1,1))</f>
        <v>300.63505444445104</v>
      </c>
      <c r="BJ48" s="59">
        <f t="shared" si="38"/>
        <v>266.32508105927997</v>
      </c>
      <c r="BK48" s="15">
        <f>IF(ISNA(VLOOKUP(A48,'Données projet'!$A$87:$I$107,3,0)),0,VLOOKUP(A48,'Données projet'!$A$87:$I$107,3,0))</f>
        <v>6</v>
      </c>
      <c r="BL48" s="15" t="str">
        <f>IF(ISNA(VLOOKUP(A48,'Données projet'!$A$87:$I$107,4,0)),0,VLOOKUP(A48,'Données projet'!$A$87:$I$107,4,0))</f>
        <v>19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7.530391900390212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7.530391900390212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6.826007326007324</v>
      </c>
      <c r="BY48" s="12">
        <f>IF('Données projet'!$A$114&gt;35,BY47+BX48-CG47,IF(A48&lt;'Données projet'!$A$114,$BV$205^A48,IF(A48='Données projet'!$A$114,'Données projet'!$B$114,BY47+BX48-CG47)))</f>
        <v>104.83241758241752</v>
      </c>
      <c r="BZ48" s="13">
        <f>BY48*VLOOKUP('Données projet'!$B$12,Paramètres!$A$1:$I$89,3,0)*VLOOKUP('Données projet'!$B$12,Paramètres!$A$1:$I$89,5,0)</f>
        <v>99.758528571428513</v>
      </c>
      <c r="CA48" s="13">
        <f t="shared" si="39"/>
        <v>26.90446221835996</v>
      </c>
      <c r="CB48" s="20">
        <f t="shared" si="10"/>
        <v>220.60470895888159</v>
      </c>
      <c r="CC48" s="59">
        <f t="shared" si="11"/>
        <v>513.93804229221496</v>
      </c>
      <c r="CD48" s="59">
        <f ca="1">AVERAGE(OFFSET($CC$3,0,0,'Données projet'!$E$12+1,1))-AVERAGE(OFFSET($H$3,0,0,'Données projet'!$E$12+1,1))</f>
        <v>361.26385625423757</v>
      </c>
      <c r="CE48" s="59">
        <f t="shared" si="40"/>
        <v>222.05197404028576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252</v>
      </c>
      <c r="CR48" s="12">
        <f>VLOOKUP(A48,'Données projet'!$A$139:$I$159,9,0)</f>
        <v>4.8</v>
      </c>
      <c r="CS48" s="12">
        <f t="array" ref="CS48">INDEX(CR:CR,MIN(IF(ISNUMBER(CR48:CR244),ROW(CR48:CR244),"")))</f>
        <v>4.8</v>
      </c>
      <c r="CT48" s="12">
        <f>IF('Données projet'!$A$140&gt;35,CT47+CS48-DB47,IF(A48&lt;'Données projet'!$A$140,$CQ$205^A48,IF(A48='Données projet'!$A$140,'Données projet'!$B$140,CT47+CS48-DB47)))</f>
        <v>252.00000000000017</v>
      </c>
      <c r="CU48" s="17">
        <f>CT48*VLOOKUP('Données projet'!$B$13,Paramètres!$A$1:$I$89,3,0)*VLOOKUP('Données projet'!$B$13,Paramètres!$A$1:$I$89,5,0)</f>
        <v>228.00960000000015</v>
      </c>
      <c r="CV48" s="13">
        <f t="shared" si="41"/>
        <v>55.852093054619878</v>
      </c>
      <c r="CW48" s="20">
        <f t="shared" si="13"/>
        <v>494.39244873679655</v>
      </c>
      <c r="CX48" s="59">
        <f t="shared" si="14"/>
        <v>787.72578207012987</v>
      </c>
      <c r="CY48" s="59">
        <f ca="1">AVERAGE(OFFSET($CX$3,0,0,'Données projet'!$E$13+1,1))-AVERAGE(OFFSET($H$3,0,0,'Données projet'!$E$13+1,1))</f>
        <v>302.6937347295995</v>
      </c>
      <c r="CZ48" s="59">
        <f t="shared" si="42"/>
        <v>423.44006663873375</v>
      </c>
      <c r="DA48" s="15">
        <f>IF(ISNA(VLOOKUP(A48,'Données projet'!$A$139:$I$159,3,0)),0,VLOOKUP(A48,'Données projet'!$A$139:$I$159,3,0))</f>
        <v>9</v>
      </c>
      <c r="DB48" s="15">
        <f>IF(ISNA(VLOOKUP(A48,'Données projet'!$A$139:$I$159,4,0)),0,VLOOKUP(A48,'Données projet'!$A$139:$I$159,4,0))</f>
        <v>5</v>
      </c>
      <c r="DC48" s="16">
        <f>IF(ISNA(VLOOKUP(A48,'Données projet'!$A$139:$I$159,5,0)),0%,VLOOKUP(A48,'Données projet'!$A$139:$I$159,5,0)*VLOOKUP('Données projet'!$B$13,Paramètres!$A$1:$I$89,7,0))</f>
        <v>0.09</v>
      </c>
      <c r="DD48" s="16">
        <f>IF(ISNA(VLOOKUP(A48,'Données projet'!$A$139:$I$159,6,0)),0%,VLOOKUP(A48,'Données projet'!$A$139:$I$159,6,0)*VLOOKUP('Données projet'!$B$13,Paramètres!$A$1:$I$89,7,0))</f>
        <v>0.12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0.45010331973063589</v>
      </c>
      <c r="DG48" s="21">
        <f>EXP(-LN(2)/25)*DG47+(1-EXP(-LN(2)/25))/(LN(2)/25)*Calculateur!DB48*Calculateur!DD48*VLOOKUP('Données projet'!$B$13,Paramètres!$A$1:$I$89,3,0)*0.475*44/12</f>
        <v>2.8298348311018824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3.2799381508325185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101.39391428571423</v>
      </c>
      <c r="DQ48" s="13">
        <f t="shared" si="43"/>
        <v>27.293810389260898</v>
      </c>
      <c r="DR48" s="20">
        <f t="shared" si="16"/>
        <v>224.13112047558164</v>
      </c>
      <c r="DS48" s="59">
        <f t="shared" si="17"/>
        <v>517.46445380891498</v>
      </c>
      <c r="DT48" s="59">
        <f ca="1">AVERAGE(OFFSET($DS$3,0,0,'Données projet'!$E$14+1,1))-AVERAGE(OFFSET($H$3,0,0,'Données projet'!$E$14+1,1))</f>
        <v>366.51581861366333</v>
      </c>
      <c r="DU48" s="59">
        <f t="shared" si="44"/>
        <v>225.01415116995503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197.37499999999997</v>
      </c>
      <c r="EK48" s="17">
        <f>EJ48*VLOOKUP('Données projet'!$B$15,Paramètres!$A$1:$I$89,3,0)*VLOOKUP('Données projet'!$B$15,Paramètres!$A$1:$I$89,5,0)</f>
        <v>153.95249999999999</v>
      </c>
      <c r="EL48" s="13">
        <f t="shared" si="45"/>
        <v>39.475441267837397</v>
      </c>
      <c r="EM48" s="20">
        <f t="shared" si="19"/>
        <v>336.88699770815009</v>
      </c>
      <c r="EN48" s="59">
        <f t="shared" si="20"/>
        <v>630.2203310414834</v>
      </c>
      <c r="EO48" s="59">
        <f ca="1">AVERAGE(OFFSET($EN$3,0,0,'Données projet'!$E$15+1,1))-AVERAGE(OFFSET($H$3,0,0,'Données projet'!$E$15+1,1))</f>
        <v>288.80569134263209</v>
      </c>
      <c r="EP48" s="59">
        <f t="shared" si="46"/>
        <v>283.48738729114024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12.620361058656687</v>
      </c>
      <c r="EW48" s="21">
        <f>EXP(-LN(2)/25)*EW47+(1-EXP(-LN(2)/25))/(LN(2)/25)*Calculateur!ER48*Calculateur!ET48*VLOOKUP('Données projet'!$B$15,Paramètres!$A$1:$I$89,3,0)*0.475*44/12</f>
        <v>19.117590690446917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31.737951749103605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15.21153846153846</v>
      </c>
      <c r="FE48" s="12">
        <f>IF('Données projet'!$A$218&gt;35,FE47+FD48-FM47,IF(A48&lt;'Données projet'!$A$218,$FB$205^A48,IF(A48='Données projet'!$A$218,'Données projet'!$B$218,FE47+FD48-FM47)))</f>
        <v>382.11153846153843</v>
      </c>
      <c r="FF48" s="17">
        <f>FE48*VLOOKUP('Données projet'!$B$16,Paramètres!$A$1:$I$89,3,0)*VLOOKUP('Données projet'!$B$16,Paramètres!$A$1:$I$89,5,0)</f>
        <v>228.5027</v>
      </c>
      <c r="FG48" s="13">
        <f t="shared" si="47"/>
        <v>55.958807302542631</v>
      </c>
      <c r="FH48" s="20">
        <f t="shared" si="22"/>
        <v>495.4371252185951</v>
      </c>
      <c r="FI48" s="59">
        <f t="shared" si="23"/>
        <v>788.77045855192841</v>
      </c>
      <c r="FJ48" s="59">
        <f ca="1">AVERAGE(OFFSET($FI$3,0,0,'Données projet'!$E$16+1,1))-AVERAGE(OFFSET($H$3,0,0,'Données projet'!$E$16+1,1))</f>
        <v>323.17232038705157</v>
      </c>
      <c r="FK48" s="59">
        <f t="shared" si="48"/>
        <v>402.34685738619197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41.494365037410844</v>
      </c>
      <c r="FR48" s="21">
        <f>EXP(-LN(2)/25)*FR47+(1-EXP(-LN(2)/25))/(LN(2)/25)*Calculateur!FM48*Calculateur!FO48*VLOOKUP('Données projet'!$B$16,Paramètres!$A$1:$I$89,3,0)*0.475*44/12</f>
        <v>18.329822949041969</v>
      </c>
      <c r="FS48" s="21">
        <f>EXP(-LN(2)/2)*FS47+(1-EXP(-LN(2)/2))/(LN(2)/2)*FM48*FP48*VLOOKUP('Données projet'!$B$16,Paramètres!$A$1:$I$89,3,0)*0.475*44/12</f>
        <v>1.5364513045404833</v>
      </c>
      <c r="FT48" s="22">
        <f t="shared" si="24"/>
        <v>61.360639290993298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10.375</v>
      </c>
      <c r="FZ48" s="12">
        <f>IF('Données projet'!$A$244&gt;35,FZ47+FY48-GH47,IF(A48&lt;'Données projet'!$A$244,$FW$205^A48,IF(A48='Données projet'!$A$244,'Données projet'!$B$244,FZ47+FY48-GH47)))</f>
        <v>197.37499999999997</v>
      </c>
      <c r="GA48" s="17">
        <f>FZ48*VLOOKUP('Données projet'!$B$17,Paramètres!$A$1:$I$89,3,0)*VLOOKUP('Données projet'!$B$17,Paramètres!$A$1:$I$89,5,0)</f>
        <v>160.11060000000001</v>
      </c>
      <c r="GB48" s="13">
        <f t="shared" si="49"/>
        <v>40.867460542073509</v>
      </c>
      <c r="GC48" s="20">
        <f t="shared" si="25"/>
        <v>350.03678877744466</v>
      </c>
      <c r="GD48" s="59">
        <f t="shared" si="26"/>
        <v>643.37012211077797</v>
      </c>
      <c r="GE48" s="59">
        <f ca="1">AVERAGE(OFFSET($GD$3,0,0,'Données projet'!$E$17+1,1))-AVERAGE(OFFSET($H$3,0,0,'Données projet'!$E$17+1,1))</f>
        <v>298.96480270023716</v>
      </c>
      <c r="GF48" s="59">
        <f t="shared" si="50"/>
        <v>293.11447542333889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16.177541896585037</v>
      </c>
      <c r="GM48" s="21">
        <f>EXP(-LN(2)/25)*GM47+(1-EXP(-LN(2)/25))/(LN(2)/25)*Calculateur!GH48*Calculateur!GJ48*VLOOKUP('Données projet'!$B$17,Paramètres!$A$1:$I$89,3,0)*0.475*44/12</f>
        <v>24.506083694358932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40.683625590943969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10.386813186813185</v>
      </c>
      <c r="GU48" s="12">
        <f>IF('Données projet'!$A$270&gt;35,GU47+GT48-HC47,IF(A48&lt;'Données projet'!$A$270,$GR$205^A48,IF(A48='Données projet'!$A$270,'Données projet'!$B$270,GU47+GT48-HC47)))</f>
        <v>260.61978021978024</v>
      </c>
      <c r="GV48" s="17">
        <f>GU48*VLOOKUP('Données projet'!$B$18,Paramètres!$A$1:$I$89,3,0)*VLOOKUP('Données projet'!$B$18,Paramètres!$A$1:$I$89,5,0)</f>
        <v>149.07451428571429</v>
      </c>
      <c r="GW48" s="13">
        <f t="shared" si="51"/>
        <v>38.368189973864347</v>
      </c>
      <c r="GX48" s="20">
        <f t="shared" si="28"/>
        <v>326.46270991876611</v>
      </c>
      <c r="GY48" s="59">
        <f t="shared" si="29"/>
        <v>619.79604325209948</v>
      </c>
      <c r="GZ48" s="59">
        <f ca="1">AVERAGE(OFFSET($GY$3,0,0,'Données projet'!$E$18+1,1))-AVERAGE(OFFSET($H$3,0,0,'Données projet'!$E$18+1,1))</f>
        <v>320.76883487964511</v>
      </c>
      <c r="HA48" s="59">
        <f t="shared" si="52"/>
        <v>290.51177680335746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23.302692401684723</v>
      </c>
      <c r="HH48" s="21">
        <f>EXP(-LN(2)/25)*HH47+(1-EXP(-LN(2)/25))/(LN(2)/25)*Calculateur!HC48*Calculateur!HE48*VLOOKUP('Données projet'!$B$18,Paramètres!$A$1:$I$89,3,0)*0.475*44/12</f>
        <v>13.971137221247984</v>
      </c>
      <c r="HI48" s="21">
        <f>EXP(-LN(2)/2)*HI47+(1-EXP(-LN(2)/2))/(LN(2)/2)*HC48*HF48*VLOOKUP('Données projet'!$B$18,Paramètres!$A$1:$I$89,3,0)*0.475*44/12</f>
        <v>1.9867397343000737</v>
      </c>
      <c r="HJ48" s="22">
        <f t="shared" si="30"/>
        <v>39.260569357232782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167.98135714285723</v>
      </c>
      <c r="AK49" s="13">
        <f t="shared" si="35"/>
        <v>42.637600900233188</v>
      </c>
      <c r="AL49" s="20">
        <f t="shared" si="4"/>
        <v>366.82801859171582</v>
      </c>
      <c r="AM49" s="59">
        <f t="shared" si="5"/>
        <v>660.16135192504908</v>
      </c>
      <c r="AN49" s="59">
        <f ca="1">AVERAGE(OFFSET($AM$3,0,0,'Données projet'!$E$10+1,1))-AVERAGE(OFFSET($H$3,0,0,'Données projet'!$E$10+1,1))</f>
        <v>425.47148407510412</v>
      </c>
      <c r="AO49" s="59">
        <f t="shared" si="36"/>
        <v>308.54448799922471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</v>
      </c>
      <c r="BD49" s="12">
        <f>IF('Données projet'!$A$88&gt;35,BD48+BC49-BL48,IF(A49&lt;'Données projet'!$A$88,$BA$205^A49,IF(A49='Données projet'!$A$88,'Données projet'!$B$88,BD48+BC49-BL48)))</f>
        <v>149.00000000000003</v>
      </c>
      <c r="BE49" s="13">
        <f>BD49*VLOOKUP('Données projet'!$B$11,Paramètres!$A$1:$I$89,3,0)*VLOOKUP('Données projet'!$B$11,Paramètres!$A$1:$I$89,5,0)</f>
        <v>130.16640000000004</v>
      </c>
      <c r="BF49" s="13">
        <f t="shared" si="37"/>
        <v>34.034806623706302</v>
      </c>
      <c r="BG49" s="20">
        <f t="shared" si="7"/>
        <v>285.98376820295522</v>
      </c>
      <c r="BH49" s="59">
        <f t="shared" si="8"/>
        <v>579.31710153628853</v>
      </c>
      <c r="BI49" s="59">
        <f ca="1">AVERAGE(OFFSET($BH$3,0,0,'Données projet'!$E$11+1,1))-AVERAGE(OFFSET($H$3,0,0,'Données projet'!$E$11+1,1))</f>
        <v>300.63505444445104</v>
      </c>
      <c r="BJ49" s="59">
        <f t="shared" si="38"/>
        <v>266.32508105927997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7.3244729378679425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7.3244729378679425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6.826007326007324</v>
      </c>
      <c r="BY49" s="12">
        <f>IF('Données projet'!$A$114&gt;35,BY48+BX49-CG48,IF(A49&lt;'Données projet'!$A$114,$BV$205^A49,IF(A49='Données projet'!$A$114,'Données projet'!$B$114,BY48+BX49-CG48)))</f>
        <v>111.65842490842485</v>
      </c>
      <c r="BZ49" s="13">
        <f>BY49*VLOOKUP('Données projet'!$B$12,Paramètres!$A$1:$I$89,3,0)*VLOOKUP('Données projet'!$B$12,Paramètres!$A$1:$I$89,5,0)</f>
        <v>106.2541571428571</v>
      </c>
      <c r="CA49" s="13">
        <f t="shared" si="39"/>
        <v>28.446663087682943</v>
      </c>
      <c r="CB49" s="20">
        <f t="shared" si="10"/>
        <v>234.60392856819058</v>
      </c>
      <c r="CC49" s="59">
        <f t="shared" si="11"/>
        <v>527.93726190152393</v>
      </c>
      <c r="CD49" s="59">
        <f ca="1">AVERAGE(OFFSET($CC$3,0,0,'Données projet'!$E$12+1,1))-AVERAGE(OFFSET($H$3,0,0,'Données projet'!$E$12+1,1))</f>
        <v>361.26385625423757</v>
      </c>
      <c r="CE49" s="59">
        <f t="shared" si="40"/>
        <v>222.05197404028576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247.00000000000017</v>
      </c>
      <c r="CU49" s="17">
        <f>CT49*VLOOKUP('Données projet'!$B$13,Paramètres!$A$1:$I$89,3,0)*VLOOKUP('Données projet'!$B$13,Paramètres!$A$1:$I$89,5,0)</f>
        <v>223.48560000000012</v>
      </c>
      <c r="CV49" s="13">
        <f t="shared" si="41"/>
        <v>54.87176918107798</v>
      </c>
      <c r="CW49" s="20">
        <f t="shared" si="13"/>
        <v>484.80575132371092</v>
      </c>
      <c r="CX49" s="59">
        <f t="shared" si="14"/>
        <v>778.13908465704424</v>
      </c>
      <c r="CY49" s="59">
        <f ca="1">AVERAGE(OFFSET($CX$3,0,0,'Données projet'!$E$13+1,1))-AVERAGE(OFFSET($H$3,0,0,'Données projet'!$E$13+1,1))</f>
        <v>302.6937347295995</v>
      </c>
      <c r="CZ49" s="59">
        <f t="shared" si="42"/>
        <v>423.44006663873375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0.44127706816663498</v>
      </c>
      <c r="DG49" s="21">
        <f>EXP(-LN(2)/25)*DG48+(1-EXP(-LN(2)/25))/(LN(2)/25)*Calculateur!DB49*Calculateur!DD49*VLOOKUP('Données projet'!$B$13,Paramètres!$A$1:$I$89,3,0)*0.475*44/12</f>
        <v>2.7524528488308553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3.1937299169974902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107.99602857142851</v>
      </c>
      <c r="DQ49" s="13">
        <f t="shared" si="43"/>
        <v>28.858329232560074</v>
      </c>
      <c r="DR49" s="20">
        <f t="shared" si="16"/>
        <v>238.35467317528014</v>
      </c>
      <c r="DS49" s="59">
        <f t="shared" si="17"/>
        <v>531.6880065086134</v>
      </c>
      <c r="DT49" s="59">
        <f ca="1">AVERAGE(OFFSET($DS$3,0,0,'Données projet'!$E$14+1,1))-AVERAGE(OFFSET($H$3,0,0,'Données projet'!$E$14+1,1))</f>
        <v>366.51581861366333</v>
      </c>
      <c r="DU49" s="59">
        <f t="shared" si="44"/>
        <v>225.01415116995503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207.74999999999997</v>
      </c>
      <c r="EK49" s="17">
        <f>EJ49*VLOOKUP('Données projet'!$B$15,Paramètres!$A$1:$I$89,3,0)*VLOOKUP('Données projet'!$B$15,Paramètres!$A$1:$I$89,5,0)</f>
        <v>162.04499999999999</v>
      </c>
      <c r="EL49" s="13">
        <f t="shared" si="45"/>
        <v>41.303429372463391</v>
      </c>
      <c r="EM49" s="20">
        <f t="shared" si="19"/>
        <v>354.16518115704031</v>
      </c>
      <c r="EN49" s="59">
        <f t="shared" si="20"/>
        <v>647.49851449037362</v>
      </c>
      <c r="EO49" s="59">
        <f ca="1">AVERAGE(OFFSET($EN$3,0,0,'Données projet'!$E$15+1,1))-AVERAGE(OFFSET($H$3,0,0,'Données projet'!$E$15+1,1))</f>
        <v>288.80569134263209</v>
      </c>
      <c r="EP49" s="59">
        <f t="shared" si="46"/>
        <v>283.48738729114024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12.372883475956595</v>
      </c>
      <c r="EW49" s="21">
        <f>EXP(-LN(2)/25)*EW48+(1-EXP(-LN(2)/25))/(LN(2)/25)*Calculateur!ER49*Calculateur!ET49*VLOOKUP('Données projet'!$B$15,Paramètres!$A$1:$I$89,3,0)*0.475*44/12</f>
        <v>18.594819167666245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30.96770264362284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15.21153846153846</v>
      </c>
      <c r="FE49" s="12">
        <f>IF('Données projet'!$A$218&gt;35,FE48+FD49-FM48,IF(A49&lt;'Données projet'!$A$218,$FB$205^A49,IF(A49='Données projet'!$A$218,'Données projet'!$B$218,FE48+FD49-FM48)))</f>
        <v>397.32307692307688</v>
      </c>
      <c r="FF49" s="17">
        <f>FE49*VLOOKUP('Données projet'!$B$16,Paramètres!$A$1:$I$89,3,0)*VLOOKUP('Données projet'!$B$16,Paramètres!$A$1:$I$89,5,0)</f>
        <v>237.5992</v>
      </c>
      <c r="FG49" s="13">
        <f t="shared" si="47"/>
        <v>57.922684812819405</v>
      </c>
      <c r="FH49" s="20">
        <f t="shared" si="22"/>
        <v>514.70061604899377</v>
      </c>
      <c r="FI49" s="59">
        <f t="shared" si="23"/>
        <v>808.03394938232714</v>
      </c>
      <c r="FJ49" s="59">
        <f ca="1">AVERAGE(OFFSET($FI$3,0,0,'Données projet'!$E$16+1,1))-AVERAGE(OFFSET($H$3,0,0,'Données projet'!$E$16+1,1))</f>
        <v>323.17232038705157</v>
      </c>
      <c r="FK49" s="59">
        <f t="shared" si="48"/>
        <v>402.34685738619197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40.680685848090825</v>
      </c>
      <c r="FR49" s="21">
        <f>EXP(-LN(2)/25)*FR48+(1-EXP(-LN(2)/25))/(LN(2)/25)*Calculateur!FM49*Calculateur!FO49*VLOOKUP('Données projet'!$B$16,Paramètres!$A$1:$I$89,3,0)*0.475*44/12</f>
        <v>17.828592976576921</v>
      </c>
      <c r="FS49" s="21">
        <f>EXP(-LN(2)/2)*FS48+(1-EXP(-LN(2)/2))/(LN(2)/2)*FM49*FP49*VLOOKUP('Données projet'!$B$16,Paramètres!$A$1:$I$89,3,0)*0.475*44/12</f>
        <v>1.086435136403493</v>
      </c>
      <c r="FT49" s="22">
        <f t="shared" si="24"/>
        <v>59.59571396107124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10.375</v>
      </c>
      <c r="FZ49" s="12">
        <f>IF('Données projet'!$A$244&gt;35,FZ48+FY49-GH48,IF(A49&lt;'Données projet'!$A$244,$FW$205^A49,IF(A49='Données projet'!$A$244,'Données projet'!$B$244,FZ48+FY49-GH48)))</f>
        <v>207.74999999999997</v>
      </c>
      <c r="GA49" s="17">
        <f>FZ49*VLOOKUP('Données projet'!$B$17,Paramètres!$A$1:$I$89,3,0)*VLOOKUP('Données projet'!$B$17,Paramètres!$A$1:$I$89,5,0)</f>
        <v>168.52679999999998</v>
      </c>
      <c r="GB49" s="13">
        <f t="shared" si="49"/>
        <v>42.759908842532369</v>
      </c>
      <c r="GC49" s="20">
        <f t="shared" si="25"/>
        <v>367.99101790074377</v>
      </c>
      <c r="GD49" s="59">
        <f t="shared" si="26"/>
        <v>661.32435123407708</v>
      </c>
      <c r="GE49" s="59">
        <f ca="1">AVERAGE(OFFSET($GD$3,0,0,'Données projet'!$E$17+1,1))-AVERAGE(OFFSET($H$3,0,0,'Données projet'!$E$17+1,1))</f>
        <v>298.96480270023716</v>
      </c>
      <c r="GF49" s="59">
        <f t="shared" si="50"/>
        <v>293.11447542333889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15.860310167319243</v>
      </c>
      <c r="GM49" s="21">
        <f>EXP(-LN(2)/25)*GM48+(1-EXP(-LN(2)/25))/(LN(2)/25)*Calculateur!GH49*Calculateur!GJ49*VLOOKUP('Données projet'!$B$17,Paramètres!$A$1:$I$89,3,0)*0.475*44/12</f>
        <v>23.835963547017755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39.696273714336996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10.386813186813185</v>
      </c>
      <c r="GU49" s="12">
        <f>IF('Données projet'!$A$270&gt;35,GU48+GT49-HC48,IF(A49&lt;'Données projet'!$A$270,$GR$205^A49,IF(A49='Données projet'!$A$270,'Données projet'!$B$270,GU48+GT49-HC48)))</f>
        <v>271.00659340659342</v>
      </c>
      <c r="GV49" s="17">
        <f>GU49*VLOOKUP('Données projet'!$B$18,Paramètres!$A$1:$I$89,3,0)*VLOOKUP('Données projet'!$B$18,Paramètres!$A$1:$I$89,5,0)</f>
        <v>155.01577142857144</v>
      </c>
      <c r="GW49" s="13">
        <f t="shared" si="51"/>
        <v>39.716246513318133</v>
      </c>
      <c r="GX49" s="20">
        <f t="shared" si="28"/>
        <v>339.15826458212433</v>
      </c>
      <c r="GY49" s="59">
        <f t="shared" si="29"/>
        <v>632.49159791545765</v>
      </c>
      <c r="GZ49" s="59">
        <f ca="1">AVERAGE(OFFSET($GY$3,0,0,'Données projet'!$E$18+1,1))-AVERAGE(OFFSET($H$3,0,0,'Données projet'!$E$18+1,1))</f>
        <v>320.76883487964511</v>
      </c>
      <c r="HA49" s="59">
        <f t="shared" si="52"/>
        <v>290.51177680335746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22.845740816926611</v>
      </c>
      <c r="HH49" s="21">
        <f>EXP(-LN(2)/25)*HH48+(1-EXP(-LN(2)/25))/(LN(2)/25)*Calculateur!HC49*Calculateur!HE49*VLOOKUP('Données projet'!$B$18,Paramètres!$A$1:$I$89,3,0)*0.475*44/12</f>
        <v>13.589095739222783</v>
      </c>
      <c r="HI49" s="21">
        <f>EXP(-LN(2)/2)*HI48+(1-EXP(-LN(2)/2))/(LN(2)/2)*HC49*HF49*VLOOKUP('Données projet'!$B$18,Paramètres!$A$1:$I$89,3,0)*0.475*44/12</f>
        <v>1.4048371385763418</v>
      </c>
      <c r="HJ49" s="22">
        <f t="shared" si="30"/>
        <v>37.839673694725732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177.45742857142866</v>
      </c>
      <c r="AK50" s="13">
        <f t="shared" si="35"/>
        <v>44.75604336428804</v>
      </c>
      <c r="AL50" s="20">
        <f t="shared" si="4"/>
        <v>387.02179695470659</v>
      </c>
      <c r="AM50" s="59">
        <f t="shared" si="5"/>
        <v>680.35513028803985</v>
      </c>
      <c r="AN50" s="59">
        <f ca="1">AVERAGE(OFFSET($AM$3,0,0,'Données projet'!$E$10+1,1))-AVERAGE(OFFSET($H$3,0,0,'Données projet'!$E$10+1,1))</f>
        <v>425.47148407510412</v>
      </c>
      <c r="AO50" s="59">
        <f t="shared" si="36"/>
        <v>308.54448799922471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155.00000000000003</v>
      </c>
      <c r="BE50" s="13">
        <f>BD50*VLOOKUP('Données projet'!$B$11,Paramètres!$A$1:$I$89,3,0)*VLOOKUP('Données projet'!$B$11,Paramètres!$A$1:$I$89,5,0)</f>
        <v>135.40800000000004</v>
      </c>
      <c r="BF50" s="13">
        <f t="shared" si="37"/>
        <v>35.243009677478732</v>
      </c>
      <c r="BG50" s="20">
        <f t="shared" si="7"/>
        <v>297.21717518827558</v>
      </c>
      <c r="BH50" s="59">
        <f t="shared" si="8"/>
        <v>590.55050852160889</v>
      </c>
      <c r="BI50" s="59">
        <f ca="1">AVERAGE(OFFSET($BH$3,0,0,'Données projet'!$E$11+1,1))-AVERAGE(OFFSET($H$3,0,0,'Données projet'!$E$11+1,1))</f>
        <v>300.63505444445104</v>
      </c>
      <c r="BJ50" s="59">
        <f t="shared" si="38"/>
        <v>266.32508105927997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7.1241848402046521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7.1241848402046521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6.826007326007324</v>
      </c>
      <c r="BY50" s="12">
        <f>IF('Données projet'!$A$114&gt;35,BY49+BX50-CG49,IF(A50&lt;'Données projet'!$A$114,$BV$205^A50,IF(A50='Données projet'!$A$114,'Données projet'!$B$114,BY49+BX50-CG49)))</f>
        <v>118.48443223443218</v>
      </c>
      <c r="BZ50" s="13">
        <f>BY50*VLOOKUP('Données projet'!$B$12,Paramètres!$A$1:$I$89,3,0)*VLOOKUP('Données projet'!$B$12,Paramètres!$A$1:$I$89,5,0)</f>
        <v>112.74978571428566</v>
      </c>
      <c r="CA50" s="13">
        <f t="shared" si="39"/>
        <v>29.977921609827636</v>
      </c>
      <c r="CB50" s="20">
        <f t="shared" si="10"/>
        <v>248.58409025616402</v>
      </c>
      <c r="CC50" s="59">
        <f t="shared" si="11"/>
        <v>541.91742358949728</v>
      </c>
      <c r="CD50" s="59">
        <f ca="1">AVERAGE(OFFSET($CC$3,0,0,'Données projet'!$E$12+1,1))-AVERAGE(OFFSET($H$3,0,0,'Données projet'!$E$12+1,1))</f>
        <v>361.26385625423757</v>
      </c>
      <c r="CE50" s="59">
        <f t="shared" si="40"/>
        <v>222.05197404028576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247.00000000000017</v>
      </c>
      <c r="CU50" s="17">
        <f>CT50*VLOOKUP('Données projet'!$B$13,Paramètres!$A$1:$I$89,3,0)*VLOOKUP('Données projet'!$B$13,Paramètres!$A$1:$I$89,5,0)</f>
        <v>223.48560000000012</v>
      </c>
      <c r="CV50" s="13">
        <f t="shared" si="41"/>
        <v>54.87176918107798</v>
      </c>
      <c r="CW50" s="20">
        <f t="shared" si="13"/>
        <v>484.80575132371092</v>
      </c>
      <c r="CX50" s="59">
        <f t="shared" si="14"/>
        <v>778.13908465704424</v>
      </c>
      <c r="CY50" s="59">
        <f ca="1">AVERAGE(OFFSET($CX$3,0,0,'Données projet'!$E$13+1,1))-AVERAGE(OFFSET($H$3,0,0,'Données projet'!$E$13+1,1))</f>
        <v>302.6937347295995</v>
      </c>
      <c r="CZ50" s="59">
        <f t="shared" si="42"/>
        <v>423.44006663873375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0.43262389401232226</v>
      </c>
      <c r="DG50" s="21">
        <f>EXP(-LN(2)/25)*DG49+(1-EXP(-LN(2)/25))/(LN(2)/25)*Calculateur!DB50*Calculateur!DD50*VLOOKUP('Données projet'!$B$13,Paramètres!$A$1:$I$89,3,0)*0.475*44/12</f>
        <v>2.6771868809343711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3.1098107749466934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114.5981428571428</v>
      </c>
      <c r="DQ50" s="13">
        <f t="shared" si="43"/>
        <v>30.411747376403749</v>
      </c>
      <c r="DR50" s="20">
        <f t="shared" si="16"/>
        <v>252.55889215676018</v>
      </c>
      <c r="DS50" s="59">
        <f t="shared" si="17"/>
        <v>545.89222549009355</v>
      </c>
      <c r="DT50" s="59">
        <f ca="1">AVERAGE(OFFSET($DS$3,0,0,'Données projet'!$E$14+1,1))-AVERAGE(OFFSET($H$3,0,0,'Données projet'!$E$14+1,1))</f>
        <v>366.51581861366333</v>
      </c>
      <c r="DU50" s="59">
        <f t="shared" si="44"/>
        <v>225.01415116995503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218.12499999999997</v>
      </c>
      <c r="EK50" s="17">
        <f>EJ50*VLOOKUP('Données projet'!$B$15,Paramètres!$A$1:$I$89,3,0)*VLOOKUP('Données projet'!$B$15,Paramètres!$A$1:$I$89,5,0)</f>
        <v>170.13749999999999</v>
      </c>
      <c r="EL50" s="13">
        <f t="shared" si="45"/>
        <v>43.120817562072411</v>
      </c>
      <c r="EM50" s="20">
        <f t="shared" si="19"/>
        <v>371.42490308727605</v>
      </c>
      <c r="EN50" s="59">
        <f t="shared" si="20"/>
        <v>664.75823642060936</v>
      </c>
      <c r="EO50" s="59">
        <f ca="1">AVERAGE(OFFSET($EN$3,0,0,'Données projet'!$E$15+1,1))-AVERAGE(OFFSET($H$3,0,0,'Données projet'!$E$15+1,1))</f>
        <v>288.80569134263209</v>
      </c>
      <c r="EP50" s="59">
        <f t="shared" si="46"/>
        <v>283.48738729114024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12.13025877770683</v>
      </c>
      <c r="EW50" s="21">
        <f>EXP(-LN(2)/25)*EW49+(1-EXP(-LN(2)/25))/(LN(2)/25)*Calculateur!ER50*Calculateur!ET50*VLOOKUP('Données projet'!$B$15,Paramètres!$A$1:$I$89,3,0)*0.475*44/12</f>
        <v>18.086342859667369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30.216601637374197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15.21153846153846</v>
      </c>
      <c r="FE50" s="12">
        <f>IF('Données projet'!$A$218&gt;35,FE49+FD50-FM49,IF(A50&lt;'Données projet'!$A$218,$FB$205^A50,IF(A50='Données projet'!$A$218,'Données projet'!$B$218,FE49+FD50-FM49)))</f>
        <v>412.53461538461534</v>
      </c>
      <c r="FF50" s="17">
        <f>FE50*VLOOKUP('Données projet'!$B$16,Paramètres!$A$1:$I$89,3,0)*VLOOKUP('Données projet'!$B$16,Paramètres!$A$1:$I$89,5,0)</f>
        <v>246.69569999999999</v>
      </c>
      <c r="FG50" s="13">
        <f t="shared" si="47"/>
        <v>59.877827754324372</v>
      </c>
      <c r="FH50" s="20">
        <f t="shared" si="22"/>
        <v>533.94889417211482</v>
      </c>
      <c r="FI50" s="59">
        <f t="shared" si="23"/>
        <v>827.28222750544819</v>
      </c>
      <c r="FJ50" s="59">
        <f ca="1">AVERAGE(OFFSET($FI$3,0,0,'Données projet'!$E$16+1,1))-AVERAGE(OFFSET($H$3,0,0,'Données projet'!$E$16+1,1))</f>
        <v>323.17232038705157</v>
      </c>
      <c r="FK50" s="59">
        <f t="shared" si="48"/>
        <v>402.34685738619197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39.882962411378074</v>
      </c>
      <c r="FR50" s="21">
        <f>EXP(-LN(2)/25)*FR49+(1-EXP(-LN(2)/25))/(LN(2)/25)*Calculateur!FM50*Calculateur!FO50*VLOOKUP('Données projet'!$B$16,Paramètres!$A$1:$I$89,3,0)*0.475*44/12</f>
        <v>17.34106916406747</v>
      </c>
      <c r="FS50" s="21">
        <f>EXP(-LN(2)/2)*FS49+(1-EXP(-LN(2)/2))/(LN(2)/2)*FM50*FP50*VLOOKUP('Données projet'!$B$16,Paramètres!$A$1:$I$89,3,0)*0.475*44/12</f>
        <v>0.76822565227024164</v>
      </c>
      <c r="FT50" s="22">
        <f t="shared" si="24"/>
        <v>57.992257227715783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10.375</v>
      </c>
      <c r="FZ50" s="12">
        <f>IF('Données projet'!$A$244&gt;35,FZ49+FY50-GH49,IF(A50&lt;'Données projet'!$A$244,$FW$205^A50,IF(A50='Données projet'!$A$244,'Données projet'!$B$244,FZ49+FY50-GH49)))</f>
        <v>218.12499999999997</v>
      </c>
      <c r="GA50" s="17">
        <f>FZ50*VLOOKUP('Données projet'!$B$17,Paramètres!$A$1:$I$89,3,0)*VLOOKUP('Données projet'!$B$17,Paramètres!$A$1:$I$89,5,0)</f>
        <v>176.94299999999998</v>
      </c>
      <c r="GB50" s="13">
        <f t="shared" si="49"/>
        <v>44.641383444033245</v>
      </c>
      <c r="GC50" s="20">
        <f t="shared" si="25"/>
        <v>385.92613449835784</v>
      </c>
      <c r="GD50" s="59">
        <f t="shared" si="26"/>
        <v>679.25946783169115</v>
      </c>
      <c r="GE50" s="59">
        <f ca="1">AVERAGE(OFFSET($GD$3,0,0,'Données projet'!$E$17+1,1))-AVERAGE(OFFSET($H$3,0,0,'Données projet'!$E$17+1,1))</f>
        <v>298.96480270023716</v>
      </c>
      <c r="GF50" s="59">
        <f t="shared" si="50"/>
        <v>293.11447542333889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15.549299158772103</v>
      </c>
      <c r="GM50" s="21">
        <f>EXP(-LN(2)/25)*GM49+(1-EXP(-LN(2)/25))/(LN(2)/25)*Calculateur!GH50*Calculateur!GJ50*VLOOKUP('Données projet'!$B$17,Paramètres!$A$1:$I$89,3,0)*0.475*44/12</f>
        <v>23.184167870345711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38.733467029117811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10.386813186813185</v>
      </c>
      <c r="GU50" s="12">
        <f>IF('Données projet'!$A$270&gt;35,GU49+GT50-HC49,IF(A50&lt;'Données projet'!$A$270,$GR$205^A50,IF(A50='Données projet'!$A$270,'Données projet'!$B$270,GU49+GT50-HC49)))</f>
        <v>281.39340659340661</v>
      </c>
      <c r="GV50" s="17">
        <f>GU50*VLOOKUP('Données projet'!$B$18,Paramètres!$A$1:$I$89,3,0)*VLOOKUP('Données projet'!$B$18,Paramètres!$A$1:$I$89,5,0)</f>
        <v>160.95702857142859</v>
      </c>
      <c r="GW50" s="13">
        <f t="shared" si="51"/>
        <v>41.058300893944526</v>
      </c>
      <c r="GX50" s="20">
        <f t="shared" si="28"/>
        <v>351.84336548552483</v>
      </c>
      <c r="GY50" s="59">
        <f t="shared" si="29"/>
        <v>645.17669881885809</v>
      </c>
      <c r="GZ50" s="59">
        <f ca="1">AVERAGE(OFFSET($GY$3,0,0,'Données projet'!$E$18+1,1))-AVERAGE(OFFSET($H$3,0,0,'Données projet'!$E$18+1,1))</f>
        <v>320.76883487964511</v>
      </c>
      <c r="HA50" s="59">
        <f t="shared" si="52"/>
        <v>290.51177680335746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22.397749774032658</v>
      </c>
      <c r="HH50" s="21">
        <f>EXP(-LN(2)/25)*HH49+(1-EXP(-LN(2)/25))/(LN(2)/25)*Calculateur!HC50*Calculateur!HE50*VLOOKUP('Données projet'!$B$18,Paramètres!$A$1:$I$89,3,0)*0.475*44/12</f>
        <v>13.217501201614249</v>
      </c>
      <c r="HI50" s="21">
        <f>EXP(-LN(2)/2)*HI49+(1-EXP(-LN(2)/2))/(LN(2)/2)*HC50*HF50*VLOOKUP('Données projet'!$B$18,Paramètres!$A$1:$I$89,3,0)*0.475*44/12</f>
        <v>0.99336986715003694</v>
      </c>
      <c r="HJ50" s="22">
        <f t="shared" si="30"/>
        <v>36.608620842796945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186.93350000000012</v>
      </c>
      <c r="AK51" s="13">
        <f t="shared" si="35"/>
        <v>46.861352563060628</v>
      </c>
      <c r="AL51" s="20">
        <f t="shared" si="4"/>
        <v>407.19270154733073</v>
      </c>
      <c r="AM51" s="59">
        <f t="shared" si="5"/>
        <v>700.52603488066404</v>
      </c>
      <c r="AN51" s="59">
        <f ca="1">AVERAGE(OFFSET($AM$3,0,0,'Données projet'!$E$10+1,1))-AVERAGE(OFFSET($H$3,0,0,'Données projet'!$E$10+1,1))</f>
        <v>425.47148407510412</v>
      </c>
      <c r="AO51" s="59">
        <f t="shared" si="36"/>
        <v>308.54448799922471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161.00000000000003</v>
      </c>
      <c r="BE51" s="13">
        <f>BD51*VLOOKUP('Données projet'!$B$11,Paramètres!$A$1:$I$89,3,0)*VLOOKUP('Données projet'!$B$11,Paramètres!$A$1:$I$89,5,0)</f>
        <v>140.64960000000005</v>
      </c>
      <c r="BF51" s="13">
        <f t="shared" si="37"/>
        <v>36.445779615258637</v>
      </c>
      <c r="BG51" s="20">
        <f t="shared" si="7"/>
        <v>308.44111949657554</v>
      </c>
      <c r="BH51" s="59">
        <f t="shared" si="8"/>
        <v>601.7744528299088</v>
      </c>
      <c r="BI51" s="59">
        <f ca="1">AVERAGE(OFFSET($BH$3,0,0,'Données projet'!$E$11+1,1))-AVERAGE(OFFSET($H$3,0,0,'Données projet'!$E$11+1,1))</f>
        <v>300.63505444445104</v>
      </c>
      <c r="BJ51" s="59">
        <f t="shared" si="38"/>
        <v>266.32508105927997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6.9293736311046574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6.9293736311046574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6.826007326007324</v>
      </c>
      <c r="BY51" s="12">
        <f>IF('Données projet'!$A$114&gt;35,BY50+BX51-CG50,IF(A51&lt;'Données projet'!$A$114,$BV$205^A51,IF(A51='Données projet'!$A$114,'Données projet'!$B$114,BY50+BX51-CG50)))</f>
        <v>125.31043956043951</v>
      </c>
      <c r="BZ51" s="13">
        <f>BY51*VLOOKUP('Données projet'!$B$12,Paramètres!$A$1:$I$89,3,0)*VLOOKUP('Données projet'!$B$12,Paramètres!$A$1:$I$89,5,0)</f>
        <v>119.24541428571423</v>
      </c>
      <c r="CA51" s="13">
        <f t="shared" si="39"/>
        <v>31.498940007238424</v>
      </c>
      <c r="CB51" s="20">
        <f t="shared" si="10"/>
        <v>262.54641706022585</v>
      </c>
      <c r="CC51" s="59">
        <f t="shared" si="11"/>
        <v>555.87975039355911</v>
      </c>
      <c r="CD51" s="59">
        <f ca="1">AVERAGE(OFFSET($CC$3,0,0,'Données projet'!$E$12+1,1))-AVERAGE(OFFSET($H$3,0,0,'Données projet'!$E$12+1,1))</f>
        <v>361.26385625423757</v>
      </c>
      <c r="CE51" s="59">
        <f t="shared" si="40"/>
        <v>222.05197404028576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247.00000000000017</v>
      </c>
      <c r="CU51" s="17">
        <f>CT51*VLOOKUP('Données projet'!$B$13,Paramètres!$A$1:$I$89,3,0)*VLOOKUP('Données projet'!$B$13,Paramètres!$A$1:$I$89,5,0)</f>
        <v>223.48560000000012</v>
      </c>
      <c r="CV51" s="13">
        <f t="shared" si="41"/>
        <v>54.87176918107798</v>
      </c>
      <c r="CW51" s="20">
        <f t="shared" si="13"/>
        <v>484.80575132371092</v>
      </c>
      <c r="CX51" s="59">
        <f t="shared" si="14"/>
        <v>778.13908465704424</v>
      </c>
      <c r="CY51" s="59">
        <f ca="1">AVERAGE(OFFSET($CX$3,0,0,'Données projet'!$E$13+1,1))-AVERAGE(OFFSET($H$3,0,0,'Données projet'!$E$13+1,1))</f>
        <v>302.6937347295995</v>
      </c>
      <c r="CZ51" s="59">
        <f t="shared" si="42"/>
        <v>423.44006663873375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0.42414040332526054</v>
      </c>
      <c r="DG51" s="21">
        <f>EXP(-LN(2)/25)*DG50+(1-EXP(-LN(2)/25))/(LN(2)/25)*Calculateur!DB51*Calculateur!DD51*VLOOKUP('Données projet'!$B$13,Paramètres!$A$1:$I$89,3,0)*0.475*44/12</f>
        <v>2.6039790648880814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3.0281194682133421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121.20025714285708</v>
      </c>
      <c r="DQ51" s="13">
        <f t="shared" si="43"/>
        <v>31.954777205454842</v>
      </c>
      <c r="DR51" s="20">
        <f t="shared" si="16"/>
        <v>266.7450181566432</v>
      </c>
      <c r="DS51" s="59">
        <f t="shared" si="17"/>
        <v>560.07835148997651</v>
      </c>
      <c r="DT51" s="59">
        <f ca="1">AVERAGE(OFFSET($DS$3,0,0,'Données projet'!$E$14+1,1))-AVERAGE(OFFSET($H$3,0,0,'Données projet'!$E$14+1,1))</f>
        <v>366.51581861366333</v>
      </c>
      <c r="DU51" s="59">
        <f t="shared" si="44"/>
        <v>225.01415116995503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228.49999999999997</v>
      </c>
      <c r="EK51" s="17">
        <f>EJ51*VLOOKUP('Données projet'!$B$15,Paramètres!$A$1:$I$89,3,0)*VLOOKUP('Données projet'!$B$15,Paramètres!$A$1:$I$89,5,0)</f>
        <v>178.23</v>
      </c>
      <c r="EL51" s="13">
        <f t="shared" si="45"/>
        <v>44.928167580487852</v>
      </c>
      <c r="EM51" s="20">
        <f t="shared" si="19"/>
        <v>388.66714186934956</v>
      </c>
      <c r="EN51" s="59">
        <f t="shared" si="20"/>
        <v>682.00047520268288</v>
      </c>
      <c r="EO51" s="59">
        <f ca="1">AVERAGE(OFFSET($EN$3,0,0,'Données projet'!$E$15+1,1))-AVERAGE(OFFSET($H$3,0,0,'Données projet'!$E$15+1,1))</f>
        <v>288.80569134263209</v>
      </c>
      <c r="EP51" s="59">
        <f t="shared" si="46"/>
        <v>283.48738729114024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11.89239180180329</v>
      </c>
      <c r="EW51" s="21">
        <f>EXP(-LN(2)/25)*EW50+(1-EXP(-LN(2)/25))/(LN(2)/25)*Calculateur!ER51*Calculateur!ET51*VLOOKUP('Données projet'!$B$15,Paramètres!$A$1:$I$89,3,0)*0.475*44/12</f>
        <v>17.591770863050332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29.484162664853621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427.74615384615385</v>
      </c>
      <c r="FC51" s="12">
        <f>VLOOKUP(A51,'Données projet'!$A$217:$I$237,9,0)</f>
        <v>15.21153846153846</v>
      </c>
      <c r="FD51" s="12">
        <f t="array" ref="FD51">INDEX(FC:FC,MIN(IF(ISNUMBER(FC51:FC247),ROW(FC51:FC247),"")))</f>
        <v>15.21153846153846</v>
      </c>
      <c r="FE51" s="12">
        <f>IF('Données projet'!$A$218&gt;35,FE50+FD51-FM50,IF(A51&lt;'Données projet'!$A$218,$FB$205^A51,IF(A51='Données projet'!$A$218,'Données projet'!$B$218,FE50+FD51-FM50)))</f>
        <v>427.74615384615379</v>
      </c>
      <c r="FF51" s="17">
        <f>FE51*VLOOKUP('Données projet'!$B$16,Paramètres!$A$1:$I$89,3,0)*VLOOKUP('Données projet'!$B$16,Paramètres!$A$1:$I$89,5,0)</f>
        <v>255.79219999999998</v>
      </c>
      <c r="FG51" s="13">
        <f t="shared" si="47"/>
        <v>61.824595084245523</v>
      </c>
      <c r="FH51" s="20">
        <f t="shared" si="22"/>
        <v>553.18258477172765</v>
      </c>
      <c r="FI51" s="59">
        <f t="shared" si="23"/>
        <v>846.51591810506102</v>
      </c>
      <c r="FJ51" s="59">
        <f ca="1">AVERAGE(OFFSET($FI$3,0,0,'Données projet'!$E$16+1,1))-AVERAGE(OFFSET($H$3,0,0,'Données projet'!$E$16+1,1))</f>
        <v>323.17232038705157</v>
      </c>
      <c r="FK51" s="59">
        <f t="shared" si="48"/>
        <v>402.34685738619197</v>
      </c>
      <c r="FL51" s="15">
        <f>IF(ISNA(VLOOKUP(A51,'Données projet'!$A$217:$I$237,3,0)),0,VLOOKUP(A51,'Données projet'!$A$217:$I$237,3,0))</f>
        <v>6</v>
      </c>
      <c r="FM51" s="15">
        <f>IF(ISNA(VLOOKUP(A51,'Données projet'!$A$217:$I$237,4,0)),0,VLOOKUP(A51,'Données projet'!$A$217:$I$237,4,0))</f>
        <v>83.969230769230762</v>
      </c>
      <c r="FN51" s="16">
        <f>IF(ISNA(VLOOKUP(A51,'Données projet'!$A$217:$I$237,5,0)),0%,VLOOKUP(A51,'Données projet'!$A$217:$I$237,5,0)*VLOOKUP('Données projet'!$B$16,Paramètres!$A$1:$I$89,7,0))</f>
        <v>0.315</v>
      </c>
      <c r="FO51" s="16">
        <f>IF(ISNA(VLOOKUP(A51,'Données projet'!$A$217:$I$237,6,0)),0%,VLOOKUP(A51,'Données projet'!$A$217:$I$237,6,0)*VLOOKUP('Données projet'!$B$16,Paramètres!$A$1:$I$89,7,0))</f>
        <v>7.5600000000000001E-2</v>
      </c>
      <c r="FP51" s="16">
        <f>IF(ISNA(VLOOKUP(A51,'Données projet'!$A$217:$I$237,7,0)),0%,VLOOKUP(A51,'Données projet'!$A$217:$I$237,7,0))</f>
        <v>0.13200000000000001</v>
      </c>
      <c r="FQ51" s="21">
        <f>EXP(-LN(2)/35)*FQ50+(1-EXP(-LN(2)/35))/(LN(2)/35)*FM51*FN51*VLOOKUP('Données projet'!$B$16,Paramètres!$A$1:$I$89,3,0)*0.475*44/12</f>
        <v>60.083528580688551</v>
      </c>
      <c r="FR51" s="21">
        <f>EXP(-LN(2)/25)*FR50+(1-EXP(-LN(2)/25))/(LN(2)/25)*Calculateur!FM51*Calculateur!FO51*VLOOKUP('Données projet'!$B$16,Paramètres!$A$1:$I$89,3,0)*0.475*44/12</f>
        <v>21.882883930435508</v>
      </c>
      <c r="FS51" s="21">
        <f>EXP(-LN(2)/2)*FS50+(1-EXP(-LN(2)/2))/(LN(2)/2)*FM51*FP51*VLOOKUP('Données projet'!$B$16,Paramètres!$A$1:$I$89,3,0)*0.475*44/12</f>
        <v>8.0478742479516399</v>
      </c>
      <c r="FT51" s="22">
        <f t="shared" si="24"/>
        <v>90.014286759075702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10.375</v>
      </c>
      <c r="FZ51" s="12">
        <f>IF('Données projet'!$A$244&gt;35,FZ50+FY51-GH50,IF(A51&lt;'Données projet'!$A$244,$FW$205^A51,IF(A51='Données projet'!$A$244,'Données projet'!$B$244,FZ50+FY51-GH50)))</f>
        <v>228.49999999999997</v>
      </c>
      <c r="GA51" s="17">
        <f>FZ51*VLOOKUP('Données projet'!$B$17,Paramètres!$A$1:$I$89,3,0)*VLOOKUP('Données projet'!$B$17,Paramètres!$A$1:$I$89,5,0)</f>
        <v>185.35919999999999</v>
      </c>
      <c r="GB51" s="13">
        <f t="shared" si="49"/>
        <v>46.512465899126433</v>
      </c>
      <c r="GC51" s="20">
        <f t="shared" si="25"/>
        <v>403.84315144097854</v>
      </c>
      <c r="GD51" s="59">
        <f t="shared" si="26"/>
        <v>697.1764847743118</v>
      </c>
      <c r="GE51" s="59">
        <f ca="1">AVERAGE(OFFSET($GD$3,0,0,'Données projet'!$E$17+1,1))-AVERAGE(OFFSET($H$3,0,0,'Données projet'!$E$17+1,1))</f>
        <v>298.96480270023716</v>
      </c>
      <c r="GF51" s="59">
        <f t="shared" si="50"/>
        <v>293.11447542333889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15.244386886404588</v>
      </c>
      <c r="GM51" s="21">
        <f>EXP(-LN(2)/25)*GM50+(1-EXP(-LN(2)/25))/(LN(2)/25)*Calculateur!GH51*Calculateur!GJ51*VLOOKUP('Données projet'!$B$17,Paramètres!$A$1:$I$89,3,0)*0.475*44/12</f>
        <v>22.550195580728708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37.794582467133296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10.386813186813185</v>
      </c>
      <c r="GU51" s="12">
        <f>IF('Données projet'!$A$270&gt;35,GU50+GT51-HC50,IF(A51&lt;'Données projet'!$A$270,$GR$205^A51,IF(A51='Données projet'!$A$270,'Données projet'!$B$270,GU50+GT51-HC50)))</f>
        <v>291.7802197802198</v>
      </c>
      <c r="GV51" s="17">
        <f>GU51*VLOOKUP('Données projet'!$B$18,Paramètres!$A$1:$I$89,3,0)*VLOOKUP('Données projet'!$B$18,Paramètres!$A$1:$I$89,5,0)</f>
        <v>166.89828571428572</v>
      </c>
      <c r="GW51" s="13">
        <f t="shared" si="51"/>
        <v>42.394600040011689</v>
      </c>
      <c r="GX51" s="20">
        <f t="shared" si="28"/>
        <v>364.51844268873464</v>
      </c>
      <c r="GY51" s="59">
        <f t="shared" si="29"/>
        <v>657.85177602206795</v>
      </c>
      <c r="GZ51" s="59">
        <f ca="1">AVERAGE(OFFSET($GY$3,0,0,'Données projet'!$E$18+1,1))-AVERAGE(OFFSET($H$3,0,0,'Données projet'!$E$18+1,1))</f>
        <v>320.76883487964511</v>
      </c>
      <c r="HA51" s="59">
        <f t="shared" si="52"/>
        <v>290.51177680335746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21.958543562242301</v>
      </c>
      <c r="HH51" s="21">
        <f>EXP(-LN(2)/25)*HH50+(1-EXP(-LN(2)/25))/(LN(2)/25)*Calculateur!HC51*Calculateur!HE51*VLOOKUP('Données projet'!$B$18,Paramètres!$A$1:$I$89,3,0)*0.475*44/12</f>
        <v>12.856067936177928</v>
      </c>
      <c r="HI51" s="21">
        <f>EXP(-LN(2)/2)*HI50+(1-EXP(-LN(2)/2))/(LN(2)/2)*HC51*HF51*VLOOKUP('Données projet'!$B$18,Paramètres!$A$1:$I$89,3,0)*0.475*44/12</f>
        <v>0.70241856928817104</v>
      </c>
      <c r="HJ51" s="22">
        <f t="shared" si="30"/>
        <v>35.517030067708397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147.23335714285724</v>
      </c>
      <c r="AK52" s="13">
        <f t="shared" si="35"/>
        <v>37.949176511309943</v>
      </c>
      <c r="AL52" s="20">
        <f t="shared" si="4"/>
        <v>322.52624611434112</v>
      </c>
      <c r="AM52" s="59">
        <f t="shared" si="5"/>
        <v>615.85957944767438</v>
      </c>
      <c r="AN52" s="59">
        <f ca="1">AVERAGE(OFFSET($AM$3,0,0,'Données projet'!$E$10+1,1))-AVERAGE(OFFSET($H$3,0,0,'Données projet'!$E$10+1,1))</f>
        <v>425.47148407510412</v>
      </c>
      <c r="AO52" s="59">
        <f t="shared" si="36"/>
        <v>308.54448799922471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167.00000000000003</v>
      </c>
      <c r="BE52" s="13">
        <f>BD52*VLOOKUP('Données projet'!$B$11,Paramètres!$A$1:$I$89,3,0)*VLOOKUP('Données projet'!$B$11,Paramètres!$A$1:$I$89,5,0)</f>
        <v>145.89120000000005</v>
      </c>
      <c r="BF52" s="13">
        <f t="shared" si="37"/>
        <v>37.643342098399685</v>
      </c>
      <c r="BG52" s="20">
        <f t="shared" si="7"/>
        <v>319.65599415471291</v>
      </c>
      <c r="BH52" s="59">
        <f t="shared" si="8"/>
        <v>612.98932748804623</v>
      </c>
      <c r="BI52" s="59">
        <f ca="1">AVERAGE(OFFSET($BH$3,0,0,'Données projet'!$E$11+1,1))-AVERAGE(OFFSET($H$3,0,0,'Données projet'!$E$11+1,1))</f>
        <v>300.63505444445104</v>
      </c>
      <c r="BJ52" s="59">
        <f t="shared" si="38"/>
        <v>266.32508105927997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6.7398895447621783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6.7398895447621783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6.826007326007324</v>
      </c>
      <c r="BY52" s="12">
        <f>IF('Données projet'!$A$114&gt;35,BY51+BX52-CG51,IF(A52&lt;'Données projet'!$A$114,$BV$205^A52,IF(A52='Données projet'!$A$114,'Données projet'!$B$114,BY51+BX52-CG51)))</f>
        <v>132.13644688644683</v>
      </c>
      <c r="BZ52" s="13">
        <f>BY52*VLOOKUP('Données projet'!$B$12,Paramètres!$A$1:$I$89,3,0)*VLOOKUP('Données projet'!$B$12,Paramètres!$A$1:$I$89,5,0)</f>
        <v>125.74104285714282</v>
      </c>
      <c r="CA52" s="13">
        <f t="shared" si="39"/>
        <v>33.010339677556644</v>
      </c>
      <c r="CB52" s="20">
        <f t="shared" si="10"/>
        <v>276.49199124793489</v>
      </c>
      <c r="CC52" s="59">
        <f t="shared" si="11"/>
        <v>569.82532458126821</v>
      </c>
      <c r="CD52" s="59">
        <f ca="1">AVERAGE(OFFSET($CC$3,0,0,'Données projet'!$E$12+1,1))-AVERAGE(OFFSET($H$3,0,0,'Données projet'!$E$12+1,1))</f>
        <v>361.26385625423757</v>
      </c>
      <c r="CE52" s="59">
        <f t="shared" si="40"/>
        <v>222.05197404028576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247.00000000000017</v>
      </c>
      <c r="CU52" s="17">
        <f>CT52*VLOOKUP('Données projet'!$B$13,Paramètres!$A$1:$I$89,3,0)*VLOOKUP('Données projet'!$B$13,Paramètres!$A$1:$I$89,5,0)</f>
        <v>223.48560000000012</v>
      </c>
      <c r="CV52" s="13">
        <f t="shared" si="41"/>
        <v>54.87176918107798</v>
      </c>
      <c r="CW52" s="20">
        <f t="shared" si="13"/>
        <v>484.80575132371092</v>
      </c>
      <c r="CX52" s="59">
        <f t="shared" si="14"/>
        <v>778.13908465704424</v>
      </c>
      <c r="CY52" s="59">
        <f ca="1">AVERAGE(OFFSET($CX$3,0,0,'Données projet'!$E$13+1,1))-AVERAGE(OFFSET($H$3,0,0,'Données projet'!$E$13+1,1))</f>
        <v>302.6937347295995</v>
      </c>
      <c r="CZ52" s="59">
        <f t="shared" si="42"/>
        <v>423.44006663873375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0.41582326871615372</v>
      </c>
      <c r="DG52" s="21">
        <f>EXP(-LN(2)/25)*DG51+(1-EXP(-LN(2)/25))/(LN(2)/25)*Calculateur!DB52*Calculateur!DD52*VLOOKUP('Données projet'!$B$13,Paramètres!$A$1:$I$89,3,0)*0.475*44/12</f>
        <v>2.5327731204214095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2.9485963891375633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127.80237142857139</v>
      </c>
      <c r="DQ52" s="13">
        <f t="shared" si="43"/>
        <v>33.488049109916332</v>
      </c>
      <c r="DR52" s="20">
        <f t="shared" si="16"/>
        <v>280.91414910453278</v>
      </c>
      <c r="DS52" s="59">
        <f t="shared" si="17"/>
        <v>574.2474824378661</v>
      </c>
      <c r="DT52" s="59">
        <f ca="1">AVERAGE(OFFSET($DS$3,0,0,'Données projet'!$E$14+1,1))-AVERAGE(OFFSET($H$3,0,0,'Données projet'!$E$14+1,1))</f>
        <v>366.51581861366333</v>
      </c>
      <c r="DU52" s="59">
        <f t="shared" si="44"/>
        <v>225.01415116995503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238.87499999999997</v>
      </c>
      <c r="EK52" s="17">
        <f>EJ52*VLOOKUP('Données projet'!$B$15,Paramètres!$A$1:$I$89,3,0)*VLOOKUP('Données projet'!$B$15,Paramètres!$A$1:$I$89,5,0)</f>
        <v>186.32249999999999</v>
      </c>
      <c r="EL52" s="13">
        <f t="shared" si="45"/>
        <v>46.725987276254116</v>
      </c>
      <c r="EM52" s="20">
        <f t="shared" si="19"/>
        <v>405.89278200614257</v>
      </c>
      <c r="EN52" s="59">
        <f t="shared" si="20"/>
        <v>699.22611533947588</v>
      </c>
      <c r="EO52" s="59">
        <f ca="1">AVERAGE(OFFSET($EN$3,0,0,'Données projet'!$E$15+1,1))-AVERAGE(OFFSET($H$3,0,0,'Données projet'!$E$15+1,1))</f>
        <v>288.80569134263209</v>
      </c>
      <c r="EP52" s="59">
        <f t="shared" si="46"/>
        <v>283.48738729114024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11.659189252212689</v>
      </c>
      <c r="EW52" s="21">
        <f>EXP(-LN(2)/25)*EW51+(1-EXP(-LN(2)/25))/(LN(2)/25)*Calculateur!ER52*Calculateur!ET52*VLOOKUP('Données projet'!$B$15,Paramètres!$A$1:$I$89,3,0)*0.475*44/12</f>
        <v>17.110722963689199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28.76991221590189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12.837499999999991</v>
      </c>
      <c r="FE52" s="12">
        <f>IF('Données projet'!$A$218&gt;35,FE51+FD52-FM51,IF(A52&lt;'Données projet'!$A$218,$FB$205^A52,IF(A52='Données projet'!$A$218,'Données projet'!$B$218,FE51+FD52-FM51)))</f>
        <v>356.614423076923</v>
      </c>
      <c r="FF52" s="17">
        <f>FE52*VLOOKUP('Données projet'!$B$16,Paramètres!$A$1:$I$89,3,0)*VLOOKUP('Données projet'!$B$16,Paramètres!$A$1:$I$89,5,0)</f>
        <v>213.25542499999997</v>
      </c>
      <c r="FG52" s="13">
        <f t="shared" si="47"/>
        <v>52.646339807871037</v>
      </c>
      <c r="FH52" s="20">
        <f t="shared" si="22"/>
        <v>463.11224037370863</v>
      </c>
      <c r="FI52" s="59">
        <f t="shared" si="23"/>
        <v>756.44557370704194</v>
      </c>
      <c r="FJ52" s="59">
        <f ca="1">AVERAGE(OFFSET($FI$3,0,0,'Données projet'!$E$16+1,1))-AVERAGE(OFFSET($H$3,0,0,'Données projet'!$E$16+1,1))</f>
        <v>323.17232038705157</v>
      </c>
      <c r="FK52" s="59">
        <f t="shared" si="48"/>
        <v>402.34685738619197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58.905327232555059</v>
      </c>
      <c r="FR52" s="21">
        <f>EXP(-LN(2)/25)*FR51+(1-EXP(-LN(2)/25))/(LN(2)/25)*Calculateur!FM52*Calculateur!FO52*VLOOKUP('Données projet'!$B$16,Paramètres!$A$1:$I$89,3,0)*0.475*44/12</f>
        <v>21.284495318586895</v>
      </c>
      <c r="FS52" s="21">
        <f>EXP(-LN(2)/2)*FS51+(1-EXP(-LN(2)/2))/(LN(2)/2)*FM52*FP52*VLOOKUP('Données projet'!$B$16,Paramètres!$A$1:$I$89,3,0)*0.475*44/12</f>
        <v>5.6907064548631912</v>
      </c>
      <c r="FT52" s="22">
        <f t="shared" si="24"/>
        <v>85.880529006005148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10.375</v>
      </c>
      <c r="FZ52" s="12">
        <f>IF('Données projet'!$A$244&gt;35,FZ51+FY52-GH51,IF(A52&lt;'Données projet'!$A$244,$FW$205^A52,IF(A52='Données projet'!$A$244,'Données projet'!$B$244,FZ51+FY52-GH51)))</f>
        <v>238.87499999999997</v>
      </c>
      <c r="GA52" s="17">
        <f>FZ52*VLOOKUP('Données projet'!$B$17,Paramètres!$A$1:$I$89,3,0)*VLOOKUP('Données projet'!$B$17,Paramètres!$A$1:$I$89,5,0)</f>
        <v>193.77539999999999</v>
      </c>
      <c r="GB52" s="13">
        <f t="shared" si="49"/>
        <v>48.373681964577997</v>
      </c>
      <c r="GC52" s="20">
        <f t="shared" si="25"/>
        <v>421.74298442163996</v>
      </c>
      <c r="GD52" s="59">
        <f t="shared" si="26"/>
        <v>715.07631775497327</v>
      </c>
      <c r="GE52" s="59">
        <f ca="1">AVERAGE(OFFSET($GD$3,0,0,'Données projet'!$E$17+1,1))-AVERAGE(OFFSET($H$3,0,0,'Données projet'!$E$17+1,1))</f>
        <v>298.96480270023716</v>
      </c>
      <c r="GF52" s="59">
        <f t="shared" si="50"/>
        <v>293.11447542333889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14.945453757720077</v>
      </c>
      <c r="GM52" s="21">
        <f>EXP(-LN(2)/25)*GM51+(1-EXP(-LN(2)/25))/(LN(2)/25)*Calculateur!GH52*Calculateur!GJ52*VLOOKUP('Données projet'!$B$17,Paramètres!$A$1:$I$89,3,0)*0.475*44/12</f>
        <v>21.933559296710435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36.879013054430516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10.386813186813185</v>
      </c>
      <c r="GU52" s="12">
        <f>IF('Données projet'!$A$270&gt;35,GU51+GT52-HC51,IF(A52&lt;'Données projet'!$A$270,$GR$205^A52,IF(A52='Données projet'!$A$270,'Données projet'!$B$270,GU51+GT52-HC51)))</f>
        <v>302.16703296703298</v>
      </c>
      <c r="GV52" s="17">
        <f>GU52*VLOOKUP('Données projet'!$B$18,Paramètres!$A$1:$I$89,3,0)*VLOOKUP('Données projet'!$B$18,Paramètres!$A$1:$I$89,5,0)</f>
        <v>172.83954285714287</v>
      </c>
      <c r="GW52" s="13">
        <f t="shared" si="51"/>
        <v>43.725372299103078</v>
      </c>
      <c r="GX52" s="20">
        <f t="shared" si="28"/>
        <v>377.18389389712837</v>
      </c>
      <c r="GY52" s="59">
        <f t="shared" si="29"/>
        <v>670.51722723046169</v>
      </c>
      <c r="GZ52" s="59">
        <f ca="1">AVERAGE(OFFSET($GY$3,0,0,'Données projet'!$E$18+1,1))-AVERAGE(OFFSET($H$3,0,0,'Données projet'!$E$18+1,1))</f>
        <v>320.76883487964511</v>
      </c>
      <c r="HA52" s="59">
        <f t="shared" si="52"/>
        <v>290.51177680335746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21.527949916375814</v>
      </c>
      <c r="HH52" s="21">
        <f>EXP(-LN(2)/25)*HH51+(1-EXP(-LN(2)/25))/(LN(2)/25)*Calculateur!HC52*Calculateur!HE52*VLOOKUP('Données projet'!$B$18,Paramètres!$A$1:$I$89,3,0)*0.475*44/12</f>
        <v>12.504518082391913</v>
      </c>
      <c r="HI52" s="21">
        <f>EXP(-LN(2)/2)*HI51+(1-EXP(-LN(2)/2))/(LN(2)/2)*HC52*HF52*VLOOKUP('Données projet'!$B$18,Paramètres!$A$1:$I$89,3,0)*0.475*44/12</f>
        <v>0.49668493357501858</v>
      </c>
      <c r="HJ52" s="22">
        <f t="shared" si="30"/>
        <v>34.529152932342747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156.23121428571437</v>
      </c>
      <c r="AK53" s="13">
        <f t="shared" si="35"/>
        <v>39.991279580917869</v>
      </c>
      <c r="AL53" s="20">
        <f t="shared" si="4"/>
        <v>341.75417681771779</v>
      </c>
      <c r="AM53" s="59">
        <f t="shared" si="5"/>
        <v>635.08751015105111</v>
      </c>
      <c r="AN53" s="59">
        <f ca="1">AVERAGE(OFFSET($AM$3,0,0,'Données projet'!$E$10+1,1))-AVERAGE(OFFSET($H$3,0,0,'Données projet'!$E$10+1,1))</f>
        <v>425.47148407510412</v>
      </c>
      <c r="AO53" s="59">
        <f t="shared" si="36"/>
        <v>308.54448799922471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173</v>
      </c>
      <c r="BB53" s="12">
        <f>VLOOKUP(A53,'Données projet'!$A$87:$I$107,9,0)</f>
        <v>6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173.00000000000003</v>
      </c>
      <c r="BE53" s="13">
        <f>BD53*VLOOKUP('Données projet'!$B$11,Paramètres!$A$1:$I$89,3,0)*VLOOKUP('Données projet'!$B$11,Paramètres!$A$1:$I$89,5,0)</f>
        <v>151.13280000000003</v>
      </c>
      <c r="BF53" s="13">
        <f t="shared" si="37"/>
        <v>38.835905653934425</v>
      </c>
      <c r="BG53" s="20">
        <f t="shared" si="7"/>
        <v>330.86216234726913</v>
      </c>
      <c r="BH53" s="59">
        <f t="shared" si="8"/>
        <v>624.19549568060245</v>
      </c>
      <c r="BI53" s="59">
        <f ca="1">AVERAGE(OFFSET($BH$3,0,0,'Données projet'!$E$11+1,1))-AVERAGE(OFFSET($H$3,0,0,'Données projet'!$E$11+1,1))</f>
        <v>300.63505444445104</v>
      </c>
      <c r="BJ53" s="59">
        <f t="shared" si="38"/>
        <v>266.32508105927997</v>
      </c>
      <c r="BK53" s="15">
        <f>IF(ISNA(VLOOKUP(A53,'Données projet'!$A$87:$I$107,3,0)),0,VLOOKUP(A53,'Données projet'!$A$87:$I$107,3,0))</f>
        <v>7</v>
      </c>
      <c r="BL53" s="15" t="str">
        <f>IF(ISNA(VLOOKUP(A53,'Données projet'!$A$87:$I$107,4,0)),0,VLOOKUP(A53,'Données projet'!$A$87:$I$107,4,0))</f>
        <v>18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10.278280939107942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10.278280939107942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6.826007326007324</v>
      </c>
      <c r="BY53" s="12">
        <f>IF('Données projet'!$A$114&gt;35,BY52+BX53-CG52,IF(A53&lt;'Données projet'!$A$114,$BV$205^A53,IF(A53='Données projet'!$A$114,'Données projet'!$B$114,BY52+BX53-CG52)))</f>
        <v>138.96245421245416</v>
      </c>
      <c r="BZ53" s="13">
        <f>BY53*VLOOKUP('Données projet'!$B$12,Paramètres!$A$1:$I$89,3,0)*VLOOKUP('Données projet'!$B$12,Paramètres!$A$1:$I$89,5,0)</f>
        <v>132.23667142857138</v>
      </c>
      <c r="CA53" s="13">
        <f t="shared" si="39"/>
        <v>34.512674190898878</v>
      </c>
      <c r="CB53" s="20">
        <f t="shared" si="10"/>
        <v>290.42177695391069</v>
      </c>
      <c r="CC53" s="59">
        <f t="shared" si="11"/>
        <v>583.75511028724395</v>
      </c>
      <c r="CD53" s="59">
        <f ca="1">AVERAGE(OFFSET($CC$3,0,0,'Données projet'!$E$12+1,1))-AVERAGE(OFFSET($H$3,0,0,'Données projet'!$E$12+1,1))</f>
        <v>361.26385625423757</v>
      </c>
      <c r="CE53" s="59">
        <f t="shared" si="40"/>
        <v>222.05197404028576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247.00000000000017</v>
      </c>
      <c r="CU53" s="17">
        <f>CT53*VLOOKUP('Données projet'!$B$13,Paramètres!$A$1:$I$89,3,0)*VLOOKUP('Données projet'!$B$13,Paramètres!$A$1:$I$89,5,0)</f>
        <v>223.48560000000012</v>
      </c>
      <c r="CV53" s="13">
        <f t="shared" si="41"/>
        <v>54.87176918107798</v>
      </c>
      <c r="CW53" s="20">
        <f t="shared" si="13"/>
        <v>484.80575132371092</v>
      </c>
      <c r="CX53" s="59">
        <f t="shared" si="14"/>
        <v>778.13908465704424</v>
      </c>
      <c r="CY53" s="59">
        <f ca="1">AVERAGE(OFFSET($CX$3,0,0,'Données projet'!$E$13+1,1))-AVERAGE(OFFSET($H$3,0,0,'Données projet'!$E$13+1,1))</f>
        <v>302.6937347295995</v>
      </c>
      <c r="CZ53" s="59">
        <f t="shared" si="42"/>
        <v>423.44006663873375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0.40766922804378025</v>
      </c>
      <c r="DG53" s="21">
        <f>EXP(-LN(2)/25)*DG52+(1-EXP(-LN(2)/25))/(LN(2)/25)*Calculateur!DB53*Calculateur!DD53*VLOOKUP('Données projet'!$B$13,Paramètres!$A$1:$I$89,3,0)*0.475*44/12</f>
        <v>2.4635143062507363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2.8711835342945164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134.40448571428567</v>
      </c>
      <c r="DQ53" s="13">
        <f t="shared" si="43"/>
        <v>35.012124670899802</v>
      </c>
      <c r="DR53" s="20">
        <f t="shared" si="16"/>
        <v>295.06726308753133</v>
      </c>
      <c r="DS53" s="59">
        <f t="shared" si="17"/>
        <v>588.40059642086464</v>
      </c>
      <c r="DT53" s="59">
        <f ca="1">AVERAGE(OFFSET($DS$3,0,0,'Données projet'!$E$14+1,1))-AVERAGE(OFFSET($H$3,0,0,'Données projet'!$E$14+1,1))</f>
        <v>366.51581861366333</v>
      </c>
      <c r="DU53" s="59">
        <f t="shared" si="44"/>
        <v>225.01415116995503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249.24999999999997</v>
      </c>
      <c r="EK53" s="17">
        <f>EJ53*VLOOKUP('Données projet'!$B$15,Paramètres!$A$1:$I$89,3,0)*VLOOKUP('Données projet'!$B$15,Paramètres!$A$1:$I$89,5,0)</f>
        <v>194.41499999999999</v>
      </c>
      <c r="EL53" s="13">
        <f t="shared" si="45"/>
        <v>48.514737888684969</v>
      </c>
      <c r="EM53" s="20">
        <f t="shared" si="19"/>
        <v>423.10262682279296</v>
      </c>
      <c r="EN53" s="59">
        <f t="shared" si="20"/>
        <v>716.43596015612627</v>
      </c>
      <c r="EO53" s="59">
        <f ca="1">AVERAGE(OFFSET($EN$3,0,0,'Données projet'!$E$15+1,1))-AVERAGE(OFFSET($H$3,0,0,'Données projet'!$E$15+1,1))</f>
        <v>288.80569134263209</v>
      </c>
      <c r="EP53" s="59">
        <f t="shared" si="46"/>
        <v>283.48738729114024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11.43055966238005</v>
      </c>
      <c r="EW53" s="21">
        <f>EXP(-LN(2)/25)*EW52+(1-EXP(-LN(2)/25))/(LN(2)/25)*Calculateur!ER53*Calculateur!ET53*VLOOKUP('Données projet'!$B$15,Paramètres!$A$1:$I$89,3,0)*0.475*44/12</f>
        <v>16.642829344433302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28.07338900681335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12.837499999999991</v>
      </c>
      <c r="FE53" s="12">
        <f>IF('Données projet'!$A$218&gt;35,FE52+FD53-FM52,IF(A53&lt;'Données projet'!$A$218,$FB$205^A53,IF(A53='Données projet'!$A$218,'Données projet'!$B$218,FE52+FD53-FM52)))</f>
        <v>369.45192307692298</v>
      </c>
      <c r="FF53" s="17">
        <f>FE53*VLOOKUP('Données projet'!$B$16,Paramètres!$A$1:$I$89,3,0)*VLOOKUP('Données projet'!$B$16,Paramètres!$A$1:$I$89,5,0)</f>
        <v>220.93224999999995</v>
      </c>
      <c r="FG53" s="13">
        <f t="shared" si="47"/>
        <v>54.31745576001893</v>
      </c>
      <c r="FH53" s="20">
        <f t="shared" si="22"/>
        <v>479.3932375320328</v>
      </c>
      <c r="FI53" s="59">
        <f t="shared" si="23"/>
        <v>772.72657086536606</v>
      </c>
      <c r="FJ53" s="59">
        <f ca="1">AVERAGE(OFFSET($FI$3,0,0,'Données projet'!$E$16+1,1))-AVERAGE(OFFSET($H$3,0,0,'Données projet'!$E$16+1,1))</f>
        <v>323.17232038705157</v>
      </c>
      <c r="FK53" s="59">
        <f t="shared" si="48"/>
        <v>402.34685738619197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57.750229694226604</v>
      </c>
      <c r="FR53" s="21">
        <f>EXP(-LN(2)/25)*FR52+(1-EXP(-LN(2)/25))/(LN(2)/25)*Calculateur!FM53*Calculateur!FO53*VLOOKUP('Données projet'!$B$16,Paramètres!$A$1:$I$89,3,0)*0.475*44/12</f>
        <v>20.702469674797175</v>
      </c>
      <c r="FS53" s="21">
        <f>EXP(-LN(2)/2)*FS52+(1-EXP(-LN(2)/2))/(LN(2)/2)*FM53*FP53*VLOOKUP('Données projet'!$B$16,Paramètres!$A$1:$I$89,3,0)*0.475*44/12</f>
        <v>4.0239371239758199</v>
      </c>
      <c r="FT53" s="22">
        <f t="shared" si="24"/>
        <v>82.476636492999603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10.375</v>
      </c>
      <c r="FZ53" s="12">
        <f>IF('Données projet'!$A$244&gt;35,FZ52+FY53-GH52,IF(A53&lt;'Données projet'!$A$244,$FW$205^A53,IF(A53='Données projet'!$A$244,'Données projet'!$B$244,FZ52+FY53-GH52)))</f>
        <v>249.24999999999997</v>
      </c>
      <c r="GA53" s="17">
        <f>FZ53*VLOOKUP('Données projet'!$B$17,Paramètres!$A$1:$I$89,3,0)*VLOOKUP('Données projet'!$B$17,Paramètres!$A$1:$I$89,5,0)</f>
        <v>202.19159999999999</v>
      </c>
      <c r="GB53" s="13">
        <f t="shared" si="49"/>
        <v>50.225509144346276</v>
      </c>
      <c r="GC53" s="20">
        <f t="shared" si="25"/>
        <v>439.62646509306978</v>
      </c>
      <c r="GD53" s="59">
        <f t="shared" si="26"/>
        <v>732.95979842640304</v>
      </c>
      <c r="GE53" s="59">
        <f ca="1">AVERAGE(OFFSET($GD$3,0,0,'Données projet'!$E$17+1,1))-AVERAGE(OFFSET($H$3,0,0,'Données projet'!$E$17+1,1))</f>
        <v>298.96480270023716</v>
      </c>
      <c r="GF53" s="59">
        <f t="shared" si="50"/>
        <v>293.11447542333889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14.652382525357865</v>
      </c>
      <c r="GM53" s="21">
        <f>EXP(-LN(2)/25)*GM52+(1-EXP(-LN(2)/25))/(LN(2)/25)*Calculateur!GH53*Calculateur!GJ53*VLOOKUP('Données projet'!$B$17,Paramètres!$A$1:$I$89,3,0)*0.475*44/12</f>
        <v>21.333784964306133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35.986167489663998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312.55384615384617</v>
      </c>
      <c r="GS53" s="12">
        <f>VLOOKUP(A53,'Données projet'!$A$269:$I$289,9,0)</f>
        <v>10.386813186813185</v>
      </c>
      <c r="GT53" s="12">
        <f t="array" ref="GT53">INDEX(GS:GS,MIN(IF(ISNUMBER(GS53:GS249),ROW(GS53:GS249),"")))</f>
        <v>10.386813186813185</v>
      </c>
      <c r="GU53" s="12">
        <f>IF('Données projet'!$A$270&gt;35,GU52+GT53-HC52,IF(A53&lt;'Données projet'!$A$270,$GR$205^A53,IF(A53='Données projet'!$A$270,'Données projet'!$B$270,GU52+GT53-HC52)))</f>
        <v>312.55384615384617</v>
      </c>
      <c r="GV53" s="17">
        <f>GU53*VLOOKUP('Données projet'!$B$18,Paramètres!$A$1:$I$89,3,0)*VLOOKUP('Données projet'!$B$18,Paramètres!$A$1:$I$89,5,0)</f>
        <v>178.7808</v>
      </c>
      <c r="GW53" s="13">
        <f t="shared" si="51"/>
        <v>45.050829429760697</v>
      </c>
      <c r="GX53" s="20">
        <f t="shared" si="28"/>
        <v>389.84008792349988</v>
      </c>
      <c r="GY53" s="59">
        <f t="shared" si="29"/>
        <v>683.17342125683319</v>
      </c>
      <c r="GZ53" s="59">
        <f ca="1">AVERAGE(OFFSET($GY$3,0,0,'Données projet'!$E$18+1,1))-AVERAGE(OFFSET($H$3,0,0,'Données projet'!$E$18+1,1))</f>
        <v>320.76883487964511</v>
      </c>
      <c r="HA53" s="59">
        <f t="shared" si="52"/>
        <v>290.51177680335746</v>
      </c>
      <c r="HB53" s="15">
        <f>IF(ISNA(VLOOKUP(A53,'Données projet'!$A$269:$I$289,3,0)),0,VLOOKUP(A53,'Données projet'!$A$269:$I$289,3,0))</f>
        <v>6</v>
      </c>
      <c r="HC53" s="15">
        <f>IF(ISNA(VLOOKUP(A53,'Données projet'!$A$269:$I$289,4,0)),0,VLOOKUP(A53,'Données projet'!$A$269:$I$289,4,0))</f>
        <v>43.4</v>
      </c>
      <c r="HD53" s="16">
        <f>IF(ISNA(VLOOKUP(A53,'Données projet'!$A$269:$I$289,5,0)),0%,VLOOKUP(A53,'Données projet'!$A$269:$I$289,5,0)*VLOOKUP('Données projet'!$B$18,Paramètres!$A$1:$I$89,7,0))</f>
        <v>0.315</v>
      </c>
      <c r="HE53" s="16">
        <f>IF(ISNA(VLOOKUP(A53,'Données projet'!$A$269:$I$289,6,0)),0%,VLOOKUP(A53,'Données projet'!$A$269:$I$289,6,0)*VLOOKUP('Données projet'!$B$18,Paramètres!$A$1:$I$89,7,0))</f>
        <v>7.6500000000000012E-2</v>
      </c>
      <c r="HF53" s="16">
        <f>IF(ISNA(VLOOKUP(A53,'Données projet'!$A$269:$I$289,7,0)),0%,VLOOKUP(A53,'Données projet'!$A$269:$I$289,7,0))</f>
        <v>0.13</v>
      </c>
      <c r="HG53" s="21">
        <f>EXP(-LN(2)/35)*HG52+(1-EXP(-LN(2)/35))/(LN(2)/35)*HC53*HD53*VLOOKUP('Données projet'!$B$18,Paramètres!$A$1:$I$89,3,0)*0.475*44/12</f>
        <v>31.47928459668816</v>
      </c>
      <c r="HH53" s="21">
        <f>EXP(-LN(2)/25)*HH52+(1-EXP(-LN(2)/25))/(LN(2)/25)*Calculateur!HC53*Calculateur!HE53*VLOOKUP('Données projet'!$B$18,Paramètres!$A$1:$I$89,3,0)*0.475*44/12</f>
        <v>14.671936875813991</v>
      </c>
      <c r="HI53" s="21">
        <f>EXP(-LN(2)/2)*HI52+(1-EXP(-LN(2)/2))/(LN(2)/2)*HC53*HF53*VLOOKUP('Données projet'!$B$18,Paramètres!$A$1:$I$89,3,0)*0.475*44/12</f>
        <v>4.0051765287966372</v>
      </c>
      <c r="HJ53" s="22">
        <f t="shared" si="30"/>
        <v>50.15639800129879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165.22907142857153</v>
      </c>
      <c r="AK54" s="13">
        <f t="shared" si="35"/>
        <v>42.019730517668535</v>
      </c>
      <c r="AL54" s="20">
        <f t="shared" si="4"/>
        <v>360.95833005636814</v>
      </c>
      <c r="AM54" s="59">
        <f t="shared" si="5"/>
        <v>654.2916633897014</v>
      </c>
      <c r="AN54" s="59">
        <f ca="1">AVERAGE(OFFSET($AM$3,0,0,'Données projet'!$E$10+1,1))-AVERAGE(OFFSET($H$3,0,0,'Données projet'!$E$10+1,1))</f>
        <v>425.47148407510412</v>
      </c>
      <c r="AO54" s="59">
        <f t="shared" si="36"/>
        <v>308.54448799922471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5.2</v>
      </c>
      <c r="BD54" s="12">
        <f>IF('Données projet'!$A$88&gt;35,BD53+BC54-BL53,IF(A54&lt;'Données projet'!$A$88,$BA$205^A54,IF(A54='Données projet'!$A$88,'Données projet'!$B$88,BD53+BC54-BL53)))</f>
        <v>160.20000000000002</v>
      </c>
      <c r="BE54" s="13">
        <f>BD54*VLOOKUP('Données projet'!$B$11,Paramètres!$A$1:$I$89,3,0)*VLOOKUP('Données projet'!$B$11,Paramètres!$A$1:$I$89,5,0)</f>
        <v>139.95072000000002</v>
      </c>
      <c r="BF54" s="13">
        <f t="shared" si="37"/>
        <v>36.285715907711918</v>
      </c>
      <c r="BG54" s="20">
        <f t="shared" si="7"/>
        <v>306.94512587259828</v>
      </c>
      <c r="BH54" s="59">
        <f t="shared" si="8"/>
        <v>600.27845920593154</v>
      </c>
      <c r="BI54" s="59">
        <f ca="1">AVERAGE(OFFSET($BH$3,0,0,'Données projet'!$E$11+1,1))-AVERAGE(OFFSET($H$3,0,0,'Données projet'!$E$11+1,1))</f>
        <v>300.63505444445104</v>
      </c>
      <c r="BJ54" s="59">
        <f t="shared" si="38"/>
        <v>266.32508105927997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9.9972208063167329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9.9972208063167329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145.78846153846152</v>
      </c>
      <c r="BW54" s="12">
        <f>VLOOKUP(A54,'Données projet'!$A$113:$I$133,9,0)</f>
        <v>6.826007326007324</v>
      </c>
      <c r="BX54" s="12">
        <f t="array" ref="BX54">INDEX(BW:BW,MIN(IF(ISNUMBER(BW54:BW250),ROW(BW54:BW250),"")))</f>
        <v>6.826007326007324</v>
      </c>
      <c r="BY54" s="12">
        <f>IF('Données projet'!$A$114&gt;35,BY53+BX54-CG53,IF(A54&lt;'Données projet'!$A$114,$BV$205^A54,IF(A54='Données projet'!$A$114,'Données projet'!$B$114,BY53+BX54-CG53)))</f>
        <v>145.78846153846149</v>
      </c>
      <c r="BZ54" s="13">
        <f>BY54*VLOOKUP('Données projet'!$B$12,Paramètres!$A$1:$I$89,3,0)*VLOOKUP('Données projet'!$B$12,Paramètres!$A$1:$I$89,5,0)</f>
        <v>138.73229999999995</v>
      </c>
      <c r="CA54" s="13">
        <f t="shared" si="39"/>
        <v>36.006439660876396</v>
      </c>
      <c r="CB54" s="20">
        <f t="shared" si="10"/>
        <v>304.33663824269297</v>
      </c>
      <c r="CC54" s="59">
        <f t="shared" si="11"/>
        <v>597.66997157602623</v>
      </c>
      <c r="CD54" s="59">
        <f ca="1">AVERAGE(OFFSET($CC$3,0,0,'Données projet'!$E$12+1,1))-AVERAGE(OFFSET($H$3,0,0,'Données projet'!$E$12+1,1))</f>
        <v>361.26385625423757</v>
      </c>
      <c r="CE54" s="59">
        <f t="shared" si="40"/>
        <v>222.05197404028576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37.685897435897431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247.00000000000017</v>
      </c>
      <c r="CU54" s="17">
        <f>CT54*VLOOKUP('Données projet'!$B$13,Paramètres!$A$1:$I$89,3,0)*VLOOKUP('Données projet'!$B$13,Paramètres!$A$1:$I$89,5,0)</f>
        <v>223.48560000000012</v>
      </c>
      <c r="CV54" s="13">
        <f t="shared" si="41"/>
        <v>54.87176918107798</v>
      </c>
      <c r="CW54" s="20">
        <f t="shared" si="13"/>
        <v>484.80575132371092</v>
      </c>
      <c r="CX54" s="59">
        <f t="shared" si="14"/>
        <v>778.13908465704424</v>
      </c>
      <c r="CY54" s="59">
        <f ca="1">AVERAGE(OFFSET($CX$3,0,0,'Données projet'!$E$13+1,1))-AVERAGE(OFFSET($H$3,0,0,'Données projet'!$E$13+1,1))</f>
        <v>302.6937347295995</v>
      </c>
      <c r="CZ54" s="59">
        <f t="shared" si="42"/>
        <v>423.44006663873375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0.39967508313551831</v>
      </c>
      <c r="DG54" s="21">
        <f>EXP(-LN(2)/25)*DG53+(1-EXP(-LN(2)/25))/(LN(2)/25)*Calculateur!DB54*Calculateur!DD54*VLOOKUP('Données projet'!$B$13,Paramètres!$A$1:$I$89,3,0)*0.475*44/12</f>
        <v>2.396149377995723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2.7958244611312413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145.78846153846152</v>
      </c>
      <c r="DM54" s="12">
        <f>VLOOKUP(A54,'Données projet'!$A$165:$I$185,9,0)</f>
        <v>6.826007326007324</v>
      </c>
      <c r="DN54" s="12">
        <f t="array" ref="DN54">INDEX(DM:DM,MIN(IF(ISNUMBER(DM54:DM250),ROW(DM54:DM250),"")))</f>
        <v>6.826007326007324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141.00659999999993</v>
      </c>
      <c r="DQ54" s="13">
        <f t="shared" si="43"/>
        <v>36.527507181529174</v>
      </c>
      <c r="DR54" s="20">
        <f t="shared" si="16"/>
        <v>309.20523667449658</v>
      </c>
      <c r="DS54" s="59">
        <f t="shared" si="17"/>
        <v>602.53857000782989</v>
      </c>
      <c r="DT54" s="59">
        <f ca="1">AVERAGE(OFFSET($DS$3,0,0,'Données projet'!$E$14+1,1))-AVERAGE(OFFSET($H$3,0,0,'Données projet'!$E$14+1,1))</f>
        <v>366.51581861366333</v>
      </c>
      <c r="DU54" s="59">
        <f t="shared" si="44"/>
        <v>225.01415116995503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259.625</v>
      </c>
      <c r="EK54" s="17">
        <f>EJ54*VLOOKUP('Données projet'!$B$15,Paramètres!$A$1:$I$89,3,0)*VLOOKUP('Données projet'!$B$15,Paramètres!$A$1:$I$89,5,0)</f>
        <v>202.50749999999999</v>
      </c>
      <c r="EL54" s="13">
        <f t="shared" si="45"/>
        <v>50.294840086606349</v>
      </c>
      <c r="EM54" s="20">
        <f t="shared" si="19"/>
        <v>440.29740898417271</v>
      </c>
      <c r="EN54" s="59">
        <f t="shared" si="20"/>
        <v>733.63074231750602</v>
      </c>
      <c r="EO54" s="59">
        <f ca="1">AVERAGE(OFFSET($EN$3,0,0,'Données projet'!$E$15+1,1))-AVERAGE(OFFSET($H$3,0,0,'Données projet'!$E$15+1,1))</f>
        <v>288.80569134263209</v>
      </c>
      <c r="EP54" s="59">
        <f t="shared" si="46"/>
        <v>283.48738729114024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11.206413359353748</v>
      </c>
      <c r="EW54" s="21">
        <f>EXP(-LN(2)/25)*EW53+(1-EXP(-LN(2)/25))/(LN(2)/25)*Calculateur!ER54*Calculateur!ET54*VLOOKUP('Données projet'!$B$15,Paramètres!$A$1:$I$89,3,0)*0.475*44/12</f>
        <v>16.187730300801416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27.394143660155166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12.837499999999991</v>
      </c>
      <c r="FE54" s="12">
        <f>IF('Données projet'!$A$218&gt;35,FE53+FD54-FM53,IF(A54&lt;'Données projet'!$A$218,$FB$205^A54,IF(A54='Données projet'!$A$218,'Données projet'!$B$218,FE53+FD54-FM53)))</f>
        <v>382.28942307692296</v>
      </c>
      <c r="FF54" s="17">
        <f>FE54*VLOOKUP('Données projet'!$B$16,Paramètres!$A$1:$I$89,3,0)*VLOOKUP('Données projet'!$B$16,Paramètres!$A$1:$I$89,5,0)</f>
        <v>228.60907499999993</v>
      </c>
      <c r="FG54" s="13">
        <f t="shared" si="47"/>
        <v>55.981824933821947</v>
      </c>
      <c r="FH54" s="20">
        <f t="shared" si="22"/>
        <v>495.66248405140641</v>
      </c>
      <c r="FI54" s="59">
        <f t="shared" si="23"/>
        <v>788.99581738473967</v>
      </c>
      <c r="FJ54" s="59">
        <f ca="1">AVERAGE(OFFSET($FI$3,0,0,'Données projet'!$E$16+1,1))-AVERAGE(OFFSET($H$3,0,0,'Données projet'!$E$16+1,1))</f>
        <v>323.17232038705157</v>
      </c>
      <c r="FK54" s="59">
        <f t="shared" si="48"/>
        <v>402.34685738619197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56.617782914084835</v>
      </c>
      <c r="FR54" s="21">
        <f>EXP(-LN(2)/25)*FR53+(1-EXP(-LN(2)/25))/(LN(2)/25)*Calculateur!FM54*Calculateur!FO54*VLOOKUP('Données projet'!$B$16,Paramètres!$A$1:$I$89,3,0)*0.475*44/12</f>
        <v>20.136359552844283</v>
      </c>
      <c r="FS54" s="21">
        <f>EXP(-LN(2)/2)*FS53+(1-EXP(-LN(2)/2))/(LN(2)/2)*FM54*FP54*VLOOKUP('Données projet'!$B$16,Paramètres!$A$1:$I$89,3,0)*0.475*44/12</f>
        <v>2.8453532274315956</v>
      </c>
      <c r="FT54" s="22">
        <f t="shared" si="24"/>
        <v>79.599495694360726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10.375</v>
      </c>
      <c r="FZ54" s="12">
        <f>IF('Données projet'!$A$244&gt;35,FZ53+FY54-GH53,IF(A54&lt;'Données projet'!$A$244,$FW$205^A54,IF(A54='Données projet'!$A$244,'Données projet'!$B$244,FZ53+FY54-GH53)))</f>
        <v>259.625</v>
      </c>
      <c r="GA54" s="17">
        <f>FZ54*VLOOKUP('Données projet'!$B$17,Paramètres!$A$1:$I$89,3,0)*VLOOKUP('Données projet'!$B$17,Paramètres!$A$1:$I$89,5,0)</f>
        <v>210.6078</v>
      </c>
      <c r="GB54" s="13">
        <f t="shared" si="49"/>
        <v>52.06838294126775</v>
      </c>
      <c r="GC54" s="20">
        <f t="shared" si="25"/>
        <v>457.49435195604133</v>
      </c>
      <c r="GD54" s="59">
        <f t="shared" si="26"/>
        <v>750.82768528937459</v>
      </c>
      <c r="GE54" s="59">
        <f ca="1">AVERAGE(OFFSET($GD$3,0,0,'Données projet'!$E$17+1,1))-AVERAGE(OFFSET($H$3,0,0,'Données projet'!$E$17+1,1))</f>
        <v>298.96480270023716</v>
      </c>
      <c r="GF54" s="59">
        <f t="shared" si="50"/>
        <v>293.11447542333889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14.365058241106475</v>
      </c>
      <c r="GM54" s="21">
        <f>EXP(-LN(2)/25)*GM53+(1-EXP(-LN(2)/25))/(LN(2)/25)*Calculateur!GH54*Calculateur!GJ54*VLOOKUP('Données projet'!$B$17,Paramètres!$A$1:$I$89,3,0)*0.475*44/12</f>
        <v>20.75041149256219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35.115469733668661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9.2076923076923052</v>
      </c>
      <c r="GU54" s="12">
        <f>IF('Données projet'!$A$270&gt;35,GU53+GT54-HC53,IF(A54&lt;'Données projet'!$A$270,$GR$205^A54,IF(A54='Données projet'!$A$270,'Données projet'!$B$270,GU53+GT54-HC53)))</f>
        <v>278.36153846153849</v>
      </c>
      <c r="GV54" s="17">
        <f>GU54*VLOOKUP('Données projet'!$B$18,Paramètres!$A$1:$I$89,3,0)*VLOOKUP('Données projet'!$B$18,Paramètres!$A$1:$I$89,5,0)</f>
        <v>159.22280000000001</v>
      </c>
      <c r="GW54" s="13">
        <f t="shared" si="51"/>
        <v>40.667166129112324</v>
      </c>
      <c r="GX54" s="20">
        <f t="shared" si="28"/>
        <v>348.14169100820396</v>
      </c>
      <c r="GY54" s="59">
        <f t="shared" si="29"/>
        <v>641.47502434153728</v>
      </c>
      <c r="GZ54" s="59">
        <f ca="1">AVERAGE(OFFSET($GY$3,0,0,'Données projet'!$E$18+1,1))-AVERAGE(OFFSET($H$3,0,0,'Données projet'!$E$18+1,1))</f>
        <v>320.76883487964511</v>
      </c>
      <c r="HA54" s="59">
        <f t="shared" si="52"/>
        <v>290.51177680335746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30.861995026214821</v>
      </c>
      <c r="HH54" s="21">
        <f>EXP(-LN(2)/25)*HH53+(1-EXP(-LN(2)/25))/(LN(2)/25)*Calculateur!HC54*Calculateur!HE54*VLOOKUP('Données projet'!$B$18,Paramètres!$A$1:$I$89,3,0)*0.475*44/12</f>
        <v>14.270731990381231</v>
      </c>
      <c r="HI54" s="21">
        <f>EXP(-LN(2)/2)*HI53+(1-EXP(-LN(2)/2))/(LN(2)/2)*HC54*HF54*VLOOKUP('Données projet'!$B$18,Paramètres!$A$1:$I$89,3,0)*0.475*44/12</f>
        <v>2.8320874833612999</v>
      </c>
      <c r="HJ54" s="22">
        <f t="shared" si="30"/>
        <v>47.964814499957349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174.22692857142866</v>
      </c>
      <c r="AK55" s="13">
        <f t="shared" si="35"/>
        <v>44.035357527108694</v>
      </c>
      <c r="AL55" s="20">
        <f t="shared" si="4"/>
        <v>380.1401482882859</v>
      </c>
      <c r="AM55" s="59">
        <f t="shared" si="5"/>
        <v>673.47348162161916</v>
      </c>
      <c r="AN55" s="59">
        <f ca="1">AVERAGE(OFFSET($AM$3,0,0,'Données projet'!$E$10+1,1))-AVERAGE(OFFSET($H$3,0,0,'Données projet'!$E$10+1,1))</f>
        <v>425.47148407510412</v>
      </c>
      <c r="AO55" s="59">
        <f t="shared" si="36"/>
        <v>308.54448799922471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5.2</v>
      </c>
      <c r="BD55" s="12">
        <f>IF('Données projet'!$A$88&gt;35,BD54+BC55-BL54,IF(A55&lt;'Données projet'!$A$88,$BA$205^A55,IF(A55='Données projet'!$A$88,'Données projet'!$B$88,BD54+BC55-BL54)))</f>
        <v>165.4</v>
      </c>
      <c r="BE55" s="13">
        <f>BD55*VLOOKUP('Données projet'!$B$11,Paramètres!$A$1:$I$89,3,0)*VLOOKUP('Données projet'!$B$11,Paramètres!$A$1:$I$89,5,0)</f>
        <v>144.49344000000002</v>
      </c>
      <c r="BF55" s="13">
        <f t="shared" si="37"/>
        <v>37.324489208332842</v>
      </c>
      <c r="BG55" s="20">
        <f t="shared" si="7"/>
        <v>316.66622670451306</v>
      </c>
      <c r="BH55" s="59">
        <f t="shared" si="8"/>
        <v>609.99956003784632</v>
      </c>
      <c r="BI55" s="59">
        <f ca="1">AVERAGE(OFFSET($BH$3,0,0,'Données projet'!$E$11+1,1))-AVERAGE(OFFSET($H$3,0,0,'Données projet'!$E$11+1,1))</f>
        <v>300.63505444445104</v>
      </c>
      <c r="BJ55" s="59">
        <f t="shared" si="38"/>
        <v>266.32508105927997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9.7238462776370085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9.7238462776370085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6.3942307692307701</v>
      </c>
      <c r="BY55" s="12">
        <f>IF('Données projet'!$A$114&gt;35,BY54+BX55-CG54,IF(A55&lt;'Données projet'!$A$114,$BV$205^A55,IF(A55='Données projet'!$A$114,'Données projet'!$B$114,BY54+BX55-CG54)))</f>
        <v>114.49679487179483</v>
      </c>
      <c r="BZ55" s="13">
        <f>BY55*VLOOKUP('Données projet'!$B$12,Paramètres!$A$1:$I$89,3,0)*VLOOKUP('Données projet'!$B$12,Paramètres!$A$1:$I$89,5,0)</f>
        <v>108.95514999999996</v>
      </c>
      <c r="CA55" s="13">
        <f t="shared" si="39"/>
        <v>29.084673189035946</v>
      </c>
      <c r="CB55" s="20">
        <f t="shared" si="10"/>
        <v>240.41935872090417</v>
      </c>
      <c r="CC55" s="59">
        <f t="shared" si="11"/>
        <v>533.75269205423751</v>
      </c>
      <c r="CD55" s="59">
        <f ca="1">AVERAGE(OFFSET($CC$3,0,0,'Données projet'!$E$12+1,1))-AVERAGE(OFFSET($H$3,0,0,'Données projet'!$E$12+1,1))</f>
        <v>361.26385625423757</v>
      </c>
      <c r="CE55" s="59">
        <f t="shared" si="40"/>
        <v>222.05197404028576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247.00000000000017</v>
      </c>
      <c r="CU55" s="17">
        <f>CT55*VLOOKUP('Données projet'!$B$13,Paramètres!$A$1:$I$89,3,0)*VLOOKUP('Données projet'!$B$13,Paramètres!$A$1:$I$89,5,0)</f>
        <v>223.48560000000012</v>
      </c>
      <c r="CV55" s="13">
        <f t="shared" si="41"/>
        <v>54.87176918107798</v>
      </c>
      <c r="CW55" s="20">
        <f t="shared" si="13"/>
        <v>484.80575132371092</v>
      </c>
      <c r="CX55" s="59">
        <f t="shared" si="14"/>
        <v>778.13908465704424</v>
      </c>
      <c r="CY55" s="59">
        <f ca="1">AVERAGE(OFFSET($CX$3,0,0,'Données projet'!$E$13+1,1))-AVERAGE(OFFSET($H$3,0,0,'Données projet'!$E$13+1,1))</f>
        <v>302.6937347295995</v>
      </c>
      <c r="CZ55" s="59">
        <f t="shared" si="42"/>
        <v>423.44006663873375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0.39183769853296047</v>
      </c>
      <c r="DG55" s="21">
        <f>EXP(-LN(2)/25)*DG54+(1-EXP(-LN(2)/25))/(LN(2)/25)*Calculateur!DB55*Calculateur!DD55*VLOOKUP('Données projet'!$B$13,Paramètres!$A$1:$I$89,3,0)*0.475*44/12</f>
        <v>2.3306265472464105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2.7224642457793711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6.3942307692307701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110.74129999999997</v>
      </c>
      <c r="DQ55" s="13">
        <f t="shared" si="43"/>
        <v>29.505572302926247</v>
      </c>
      <c r="DR55" s="20">
        <f t="shared" si="16"/>
        <v>244.26330259426319</v>
      </c>
      <c r="DS55" s="59">
        <f t="shared" si="17"/>
        <v>537.59663592759648</v>
      </c>
      <c r="DT55" s="59">
        <f ca="1">AVERAGE(OFFSET($DS$3,0,0,'Données projet'!$E$14+1,1))-AVERAGE(OFFSET($H$3,0,0,'Données projet'!$E$14+1,1))</f>
        <v>366.51581861366333</v>
      </c>
      <c r="DU55" s="59">
        <f t="shared" si="44"/>
        <v>225.01415116995503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270</v>
      </c>
      <c r="EK55" s="17">
        <f>EJ55*VLOOKUP('Données projet'!$B$15,Paramètres!$A$1:$I$89,3,0)*VLOOKUP('Données projet'!$B$15,Paramètres!$A$1:$I$89,5,0)</f>
        <v>210.6</v>
      </c>
      <c r="EL55" s="13">
        <f t="shared" si="45"/>
        <v>52.066679014659961</v>
      </c>
      <c r="EM55" s="20">
        <f t="shared" si="19"/>
        <v>457.47779928386609</v>
      </c>
      <c r="EN55" s="59">
        <f t="shared" si="20"/>
        <v>750.81113261719941</v>
      </c>
      <c r="EO55" s="59">
        <f ca="1">AVERAGE(OFFSET($EN$3,0,0,'Données projet'!$E$15+1,1))-AVERAGE(OFFSET($H$3,0,0,'Données projet'!$E$15+1,1))</f>
        <v>288.80569134263209</v>
      </c>
      <c r="EP55" s="59">
        <f t="shared" si="46"/>
        <v>283.48738729114024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49</v>
      </c>
      <c r="ES55" s="16">
        <f>IF(ISNA(VLOOKUP(A55,'Données projet'!$A$191:$I$211,5,0)),0%,VLOOKUP(A55,'Données projet'!$A$191:$I$211,5,0)*VLOOKUP('Données projet'!$B$15,Paramètres!$A$1:$I$89,7,0))</f>
        <v>0.17200000000000001</v>
      </c>
      <c r="ET55" s="16">
        <f>IF(ISNA(VLOOKUP(A55,'Données projet'!$A$191:$I$211,6,0)),0%,VLOOKUP(A55,'Données projet'!$A$191:$I$211,6,0)*VLOOKUP('Données projet'!$B$15,Paramètres!$A$1:$I$89,7,0))</f>
        <v>0.17200000000000001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18.253847828402936</v>
      </c>
      <c r="EW55" s="21">
        <f>EXP(-LN(2)/25)*EW54+(1-EXP(-LN(2)/25))/(LN(2)/25)*Calculateur!ER55*Calculateur!ET55*VLOOKUP('Données projet'!$B$15,Paramètres!$A$1:$I$89,3,0)*0.475*44/12</f>
        <v>22.983647686305456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41.237495514708392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12.837499999999991</v>
      </c>
      <c r="FE55" s="12">
        <f>IF('Données projet'!$A$218&gt;35,FE54+FD55-FM54,IF(A55&lt;'Données projet'!$A$218,$FB$205^A55,IF(A55='Données projet'!$A$218,'Données projet'!$B$218,FE54+FD55-FM54)))</f>
        <v>395.12692307692294</v>
      </c>
      <c r="FF55" s="17">
        <f>FE55*VLOOKUP('Données projet'!$B$16,Paramètres!$A$1:$I$89,3,0)*VLOOKUP('Données projet'!$B$16,Paramètres!$A$1:$I$89,5,0)</f>
        <v>236.28589999999994</v>
      </c>
      <c r="FG55" s="13">
        <f t="shared" si="47"/>
        <v>57.639699864397812</v>
      </c>
      <c r="FH55" s="20">
        <f t="shared" si="22"/>
        <v>511.92041976382615</v>
      </c>
      <c r="FI55" s="59">
        <f t="shared" si="23"/>
        <v>805.25375309715946</v>
      </c>
      <c r="FJ55" s="59">
        <f ca="1">AVERAGE(OFFSET($FI$3,0,0,'Données projet'!$E$16+1,1))-AVERAGE(OFFSET($H$3,0,0,'Données projet'!$E$16+1,1))</f>
        <v>323.17232038705157</v>
      </c>
      <c r="FK55" s="59">
        <f t="shared" si="48"/>
        <v>402.34685738619197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55.507542724577313</v>
      </c>
      <c r="FR55" s="21">
        <f>EXP(-LN(2)/25)*FR54+(1-EXP(-LN(2)/25))/(LN(2)/25)*Calculateur!FM55*Calculateur!FO55*VLOOKUP('Données projet'!$B$16,Paramètres!$A$1:$I$89,3,0)*0.475*44/12</f>
        <v>19.585729741946629</v>
      </c>
      <c r="FS55" s="21">
        <f>EXP(-LN(2)/2)*FS54+(1-EXP(-LN(2)/2))/(LN(2)/2)*FM55*FP55*VLOOKUP('Données projet'!$B$16,Paramètres!$A$1:$I$89,3,0)*0.475*44/12</f>
        <v>2.01196856198791</v>
      </c>
      <c r="FT55" s="22">
        <f t="shared" si="24"/>
        <v>77.105241028511855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>
        <f>VLOOKUP(A55,'Données projet'!$A$243:$I$263,2,0)</f>
        <v>270</v>
      </c>
      <c r="FX55" s="12">
        <f>VLOOKUP(A55,'Données projet'!$A$243:$I$263,9,0)</f>
        <v>10.375</v>
      </c>
      <c r="FY55" s="12">
        <f t="array" ref="FY55">INDEX(FX:FX,MIN(IF(ISNUMBER(FX55:FX251),ROW(FX55:FX251),"")))</f>
        <v>10.375</v>
      </c>
      <c r="FZ55" s="12">
        <f>IF('Données projet'!$A$244&gt;35,FZ54+FY55-GH54,IF(A55&lt;'Données projet'!$A$244,$FW$205^A55,IF(A55='Données projet'!$A$244,'Données projet'!$B$244,FZ54+FY55-GH54)))</f>
        <v>270</v>
      </c>
      <c r="GA55" s="17">
        <f>FZ55*VLOOKUP('Données projet'!$B$17,Paramètres!$A$1:$I$89,3,0)*VLOOKUP('Données projet'!$B$17,Paramètres!$A$1:$I$89,5,0)</f>
        <v>219.02400000000003</v>
      </c>
      <c r="GB55" s="13">
        <f t="shared" si="49"/>
        <v>53.902702081308355</v>
      </c>
      <c r="GC55" s="20">
        <f t="shared" si="25"/>
        <v>475.34733945827878</v>
      </c>
      <c r="GD55" s="59">
        <f t="shared" si="26"/>
        <v>768.6806727916121</v>
      </c>
      <c r="GE55" s="59">
        <f ca="1">AVERAGE(OFFSET($GD$3,0,0,'Données projet'!$E$17+1,1))-AVERAGE(OFFSET($H$3,0,0,'Données projet'!$E$17+1,1))</f>
        <v>298.96480270023716</v>
      </c>
      <c r="GF55" s="59">
        <f t="shared" si="50"/>
        <v>293.11447542333889</v>
      </c>
      <c r="GG55" s="15">
        <f>IF(ISNA(VLOOKUP(A55,'Données projet'!$A$243:$I$263,3,0)),0,VLOOKUP(A55,'Données projet'!$A$243:$I$263,3,0))</f>
        <v>7</v>
      </c>
      <c r="GH55" s="15">
        <f>IF(ISNA(VLOOKUP(A55,'Données projet'!$A$243:$I$263,4,0)),0,VLOOKUP(A55,'Données projet'!$A$243:$I$263,4,0))</f>
        <v>49</v>
      </c>
      <c r="GI55" s="16">
        <f>IF(ISNA(VLOOKUP(A55,'Données projet'!$A$243:$I$263,5,0)),0%,VLOOKUP(A55,'Données projet'!$A$243:$I$263,5,0)*VLOOKUP('Données projet'!$B$17,Paramètres!$A$1:$I$89,7,0))</f>
        <v>0.21200000000000002</v>
      </c>
      <c r="GJ55" s="16">
        <f>IF(ISNA(VLOOKUP(A55,'Données projet'!$A$243:$I$263,6,0)),0%,VLOOKUP(A55,'Données projet'!$A$243:$I$263,6,0)*VLOOKUP('Données projet'!$B$17,Paramètres!$A$1:$I$89,7,0))</f>
        <v>0.21200000000000002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23.398885867478363</v>
      </c>
      <c r="GM55" s="21">
        <f>EXP(-LN(2)/25)*GM54+(1-EXP(-LN(2)/25))/(LN(2)/25)*Calculateur!GH55*Calculateur!GJ55*VLOOKUP('Données projet'!$B$17,Paramètres!$A$1:$I$89,3,0)*0.475*44/12</f>
        <v>29.461829313236208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52.860715180714571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9.2076923076923052</v>
      </c>
      <c r="GU55" s="12">
        <f>IF('Données projet'!$A$270&gt;35,GU54+GT55-HC54,IF(A55&lt;'Données projet'!$A$270,$GR$205^A55,IF(A55='Données projet'!$A$270,'Données projet'!$B$270,GU54+GT55-HC54)))</f>
        <v>287.56923076923078</v>
      </c>
      <c r="GV55" s="17">
        <f>GU55*VLOOKUP('Données projet'!$B$18,Paramètres!$A$1:$I$89,3,0)*VLOOKUP('Données projet'!$B$18,Paramètres!$A$1:$I$89,5,0)</f>
        <v>164.48960000000002</v>
      </c>
      <c r="GW55" s="13">
        <f t="shared" si="51"/>
        <v>41.853520497873085</v>
      </c>
      <c r="GX55" s="20">
        <f t="shared" si="28"/>
        <v>359.38093486712893</v>
      </c>
      <c r="GY55" s="59">
        <f t="shared" si="29"/>
        <v>652.71426820046224</v>
      </c>
      <c r="GZ55" s="59">
        <f ca="1">AVERAGE(OFFSET($GY$3,0,0,'Données projet'!$E$18+1,1))-AVERAGE(OFFSET($H$3,0,0,'Données projet'!$E$18+1,1))</f>
        <v>320.76883487964511</v>
      </c>
      <c r="HA55" s="59">
        <f t="shared" si="52"/>
        <v>290.51177680335746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30.256810127709002</v>
      </c>
      <c r="HH55" s="21">
        <f>EXP(-LN(2)/25)*HH54+(1-EXP(-LN(2)/25))/(LN(2)/25)*Calculateur!HC55*Calculateur!HE55*VLOOKUP('Données projet'!$B$18,Paramètres!$A$1:$I$89,3,0)*0.475*44/12</f>
        <v>13.880498073639076</v>
      </c>
      <c r="HI55" s="21">
        <f>EXP(-LN(2)/2)*HI54+(1-EXP(-LN(2)/2))/(LN(2)/2)*HC55*HF55*VLOOKUP('Données projet'!$B$18,Paramètres!$A$1:$I$89,3,0)*0.475*44/12</f>
        <v>2.0025882643983191</v>
      </c>
      <c r="HJ55" s="22">
        <f t="shared" si="30"/>
        <v>46.139896465746396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183.22478571428579</v>
      </c>
      <c r="AK56" s="13">
        <f t="shared" si="35"/>
        <v>46.038898438557553</v>
      </c>
      <c r="AL56" s="20">
        <f t="shared" si="4"/>
        <v>399.30091656620215</v>
      </c>
      <c r="AM56" s="59">
        <f t="shared" si="5"/>
        <v>692.63424989953546</v>
      </c>
      <c r="AN56" s="59">
        <f ca="1">AVERAGE(OFFSET($AM$3,0,0,'Données projet'!$E$10+1,1))-AVERAGE(OFFSET($H$3,0,0,'Données projet'!$E$10+1,1))</f>
        <v>425.47148407510412</v>
      </c>
      <c r="AO56" s="59">
        <f t="shared" si="36"/>
        <v>308.54448799922471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5.2</v>
      </c>
      <c r="BD56" s="12">
        <f>IF('Données projet'!$A$88&gt;35,BD55+BC56-BL55,IF(A56&lt;'Données projet'!$A$88,$BA$205^A56,IF(A56='Données projet'!$A$88,'Données projet'!$B$88,BD55+BC56-BL55)))</f>
        <v>170.6</v>
      </c>
      <c r="BE56" s="13">
        <f>BD56*VLOOKUP('Données projet'!$B$11,Paramètres!$A$1:$I$89,3,0)*VLOOKUP('Données projet'!$B$11,Paramètres!$A$1:$I$89,5,0)</f>
        <v>149.03616</v>
      </c>
      <c r="BF56" s="13">
        <f t="shared" si="37"/>
        <v>38.35946741279561</v>
      </c>
      <c r="BG56" s="20">
        <f t="shared" si="7"/>
        <v>326.38071774395229</v>
      </c>
      <c r="BH56" s="59">
        <f t="shared" si="8"/>
        <v>619.7140510772856</v>
      </c>
      <c r="BI56" s="59">
        <f ca="1">AVERAGE(OFFSET($BH$3,0,0,'Données projet'!$E$11+1,1))-AVERAGE(OFFSET($H$3,0,0,'Données projet'!$E$11+1,1))</f>
        <v>300.63505444445104</v>
      </c>
      <c r="BJ56" s="59">
        <f t="shared" si="38"/>
        <v>266.32508105927997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9.4579471898201728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9.4579471898201728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6.3942307692307701</v>
      </c>
      <c r="BY56" s="12">
        <f>IF('Données projet'!$A$114&gt;35,BY55+BX56-CG55,IF(A56&lt;'Données projet'!$A$114,$BV$205^A56,IF(A56='Données projet'!$A$114,'Données projet'!$B$114,BY55+BX56-CG55)))</f>
        <v>120.89102564102561</v>
      </c>
      <c r="BZ56" s="13">
        <f>BY56*VLOOKUP('Données projet'!$B$12,Paramètres!$A$1:$I$89,3,0)*VLOOKUP('Données projet'!$B$12,Paramètres!$A$1:$I$89,5,0)</f>
        <v>115.03989999999996</v>
      </c>
      <c r="CA56" s="13">
        <f t="shared" si="39"/>
        <v>30.515310651508731</v>
      </c>
      <c r="CB56" s="20">
        <f t="shared" si="10"/>
        <v>253.50865855137769</v>
      </c>
      <c r="CC56" s="59">
        <f t="shared" si="11"/>
        <v>546.84199188471098</v>
      </c>
      <c r="CD56" s="59">
        <f ca="1">AVERAGE(OFFSET($CC$3,0,0,'Données projet'!$E$12+1,1))-AVERAGE(OFFSET($H$3,0,0,'Données projet'!$E$12+1,1))</f>
        <v>361.26385625423757</v>
      </c>
      <c r="CE56" s="59">
        <f t="shared" si="40"/>
        <v>222.05197404028576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247.00000000000017</v>
      </c>
      <c r="CU56" s="17">
        <f>CT56*VLOOKUP('Données projet'!$B$13,Paramètres!$A$1:$I$89,3,0)*VLOOKUP('Données projet'!$B$13,Paramètres!$A$1:$I$89,5,0)</f>
        <v>223.48560000000012</v>
      </c>
      <c r="CV56" s="13">
        <f t="shared" si="41"/>
        <v>54.87176918107798</v>
      </c>
      <c r="CW56" s="20">
        <f t="shared" si="13"/>
        <v>484.80575132371092</v>
      </c>
      <c r="CX56" s="59">
        <f t="shared" si="14"/>
        <v>778.13908465704424</v>
      </c>
      <c r="CY56" s="59">
        <f ca="1">AVERAGE(OFFSET($CX$3,0,0,'Données projet'!$E$13+1,1))-AVERAGE(OFFSET($H$3,0,0,'Données projet'!$E$13+1,1))</f>
        <v>302.6937347295995</v>
      </c>
      <c r="CZ56" s="59">
        <f t="shared" si="42"/>
        <v>423.44006663873375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0.38415400026212621</v>
      </c>
      <c r="DG56" s="21">
        <f>EXP(-LN(2)/25)*DG55+(1-EXP(-LN(2)/25))/(LN(2)/25)*Calculateur!DB56*Calculateur!DD56*VLOOKUP('Données projet'!$B$13,Paramètres!$A$1:$I$89,3,0)*0.475*44/12</f>
        <v>2.2668954417496341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2.6510494420117601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6.3942307692307701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116.92579999999997</v>
      </c>
      <c r="DQ56" s="13">
        <f t="shared" si="43"/>
        <v>30.956913248513292</v>
      </c>
      <c r="DR56" s="20">
        <f t="shared" si="16"/>
        <v>257.56239224116058</v>
      </c>
      <c r="DS56" s="59">
        <f t="shared" si="17"/>
        <v>550.89572557449389</v>
      </c>
      <c r="DT56" s="59">
        <f ca="1">AVERAGE(OFFSET($DS$3,0,0,'Données projet'!$E$14+1,1))-AVERAGE(OFFSET($H$3,0,0,'Données projet'!$E$14+1,1))</f>
        <v>366.51581861366333</v>
      </c>
      <c r="DU56" s="59">
        <f t="shared" si="44"/>
        <v>225.01415116995503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9.5</v>
      </c>
      <c r="EJ56" s="12">
        <f>IF('Données projet'!$A$192&gt;35,EJ55+EI56-ER55,IF(A56&lt;'Données projet'!$A$192,$EG$205^A56,IF(A56='Données projet'!$A$192,'Données projet'!$B$192,EJ55+EI56-ER55)))</f>
        <v>230.5</v>
      </c>
      <c r="EK56" s="17">
        <f>EJ56*VLOOKUP('Données projet'!$B$15,Paramètres!$A$1:$I$89,3,0)*VLOOKUP('Données projet'!$B$15,Paramètres!$A$1:$I$89,5,0)</f>
        <v>179.79</v>
      </c>
      <c r="EL56" s="13">
        <f t="shared" si="45"/>
        <v>45.275461861841535</v>
      </c>
      <c r="EM56" s="20">
        <f t="shared" si="19"/>
        <v>391.9890127427073</v>
      </c>
      <c r="EN56" s="59">
        <f t="shared" si="20"/>
        <v>685.32234607604062</v>
      </c>
      <c r="EO56" s="59">
        <f ca="1">AVERAGE(OFFSET($EN$3,0,0,'Données projet'!$E$15+1,1))-AVERAGE(OFFSET($H$3,0,0,'Données projet'!$E$15+1,1))</f>
        <v>288.80569134263209</v>
      </c>
      <c r="EP56" s="59">
        <f t="shared" si="46"/>
        <v>283.48738729114024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17.895901006235764</v>
      </c>
      <c r="EW56" s="21">
        <f>EXP(-LN(2)/25)*EW55+(1-EXP(-LN(2)/25))/(LN(2)/25)*Calculateur!ER56*Calculateur!ET56*VLOOKUP('Données projet'!$B$15,Paramètres!$A$1:$I$89,3,0)*0.475*44/12</f>
        <v>22.355158631665933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40.251059637901697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12.837499999999991</v>
      </c>
      <c r="FE56" s="12">
        <f>IF('Données projet'!$A$218&gt;35,FE55+FD56-FM55,IF(A56&lt;'Données projet'!$A$218,$FB$205^A56,IF(A56='Données projet'!$A$218,'Données projet'!$B$218,FE55+FD56-FM55)))</f>
        <v>407.96442307692291</v>
      </c>
      <c r="FF56" s="17">
        <f>FE56*VLOOKUP('Données projet'!$B$16,Paramètres!$A$1:$I$89,3,0)*VLOOKUP('Données projet'!$B$16,Paramètres!$A$1:$I$89,5,0)</f>
        <v>243.96272499999992</v>
      </c>
      <c r="FG56" s="13">
        <f t="shared" si="47"/>
        <v>59.291315745845196</v>
      </c>
      <c r="FH56" s="20">
        <f t="shared" si="22"/>
        <v>528.16745429901368</v>
      </c>
      <c r="FI56" s="59">
        <f t="shared" si="23"/>
        <v>821.50078763234706</v>
      </c>
      <c r="FJ56" s="59">
        <f ca="1">AVERAGE(OFFSET($FI$3,0,0,'Données projet'!$E$16+1,1))-AVERAGE(OFFSET($H$3,0,0,'Données projet'!$E$16+1,1))</f>
        <v>323.17232038705157</v>
      </c>
      <c r="FK56" s="59">
        <f t="shared" si="48"/>
        <v>402.34685738619197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54.419073668006384</v>
      </c>
      <c r="FR56" s="21">
        <f>EXP(-LN(2)/25)*FR55+(1-EXP(-LN(2)/25))/(LN(2)/25)*Calculateur!FM56*Calculateur!FO56*VLOOKUP('Données projet'!$B$16,Paramètres!$A$1:$I$89,3,0)*0.475*44/12</f>
        <v>19.050156932184336</v>
      </c>
      <c r="FS56" s="21">
        <f>EXP(-LN(2)/2)*FS55+(1-EXP(-LN(2)/2))/(LN(2)/2)*FM56*FP56*VLOOKUP('Données projet'!$B$16,Paramètres!$A$1:$I$89,3,0)*0.475*44/12</f>
        <v>1.4226766137157978</v>
      </c>
      <c r="FT56" s="22">
        <f t="shared" si="24"/>
        <v>74.891907213906507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9.5</v>
      </c>
      <c r="FZ56" s="12">
        <f>IF('Données projet'!$A$244&gt;35,FZ55+FY56-GH55,IF(A56&lt;'Données projet'!$A$244,$FW$205^A56,IF(A56='Données projet'!$A$244,'Données projet'!$B$244,FZ55+FY56-GH55)))</f>
        <v>230.5</v>
      </c>
      <c r="GA56" s="17">
        <f>FZ56*VLOOKUP('Données projet'!$B$17,Paramètres!$A$1:$I$89,3,0)*VLOOKUP('Données projet'!$B$17,Paramètres!$A$1:$I$89,5,0)</f>
        <v>186.98160000000001</v>
      </c>
      <c r="GB56" s="13">
        <f t="shared" si="49"/>
        <v>46.872006790472206</v>
      </c>
      <c r="GC56" s="20">
        <f t="shared" si="25"/>
        <v>407.29503182673903</v>
      </c>
      <c r="GD56" s="59">
        <f t="shared" si="26"/>
        <v>700.62836516007235</v>
      </c>
      <c r="GE56" s="59">
        <f ca="1">AVERAGE(OFFSET($GD$3,0,0,'Données projet'!$E$17+1,1))-AVERAGE(OFFSET($H$3,0,0,'Données projet'!$E$17+1,1))</f>
        <v>298.96480270023716</v>
      </c>
      <c r="GF56" s="59">
        <f t="shared" si="50"/>
        <v>293.11447542333889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22.940047987528256</v>
      </c>
      <c r="GM56" s="21">
        <f>EXP(-LN(2)/25)*GM55+(1-EXP(-LN(2)/25))/(LN(2)/25)*Calculateur!GH56*Calculateur!GJ56*VLOOKUP('Données projet'!$B$17,Paramètres!$A$1:$I$89,3,0)*0.475*44/12</f>
        <v>28.656194041335496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51.596242028863756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9.2076923076923052</v>
      </c>
      <c r="GU56" s="12">
        <f>IF('Données projet'!$A$270&gt;35,GU55+GT56-HC55,IF(A56&lt;'Données projet'!$A$270,$GR$205^A56,IF(A56='Données projet'!$A$270,'Données projet'!$B$270,GU55+GT56-HC55)))</f>
        <v>296.77692307692308</v>
      </c>
      <c r="GV56" s="17">
        <f>GU56*VLOOKUP('Données projet'!$B$18,Paramètres!$A$1:$I$89,3,0)*VLOOKUP('Données projet'!$B$18,Paramètres!$A$1:$I$89,5,0)</f>
        <v>169.75640000000001</v>
      </c>
      <c r="GW56" s="13">
        <f t="shared" si="51"/>
        <v>43.03546073638779</v>
      </c>
      <c r="GX56" s="20">
        <f t="shared" si="28"/>
        <v>370.61249078254201</v>
      </c>
      <c r="GY56" s="59">
        <f t="shared" si="29"/>
        <v>663.94582411587533</v>
      </c>
      <c r="GZ56" s="59">
        <f ca="1">AVERAGE(OFFSET($GY$3,0,0,'Données projet'!$E$18+1,1))-AVERAGE(OFFSET($H$3,0,0,'Données projet'!$E$18+1,1))</f>
        <v>320.76883487964511</v>
      </c>
      <c r="HA56" s="59">
        <f t="shared" si="52"/>
        <v>290.51177680335746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29.663492535936545</v>
      </c>
      <c r="HH56" s="21">
        <f>EXP(-LN(2)/25)*HH55+(1-EXP(-LN(2)/25))/(LN(2)/25)*Calculateur!HC56*Calculateur!HE56*VLOOKUP('Données projet'!$B$18,Paramètres!$A$1:$I$89,3,0)*0.475*44/12</f>
        <v>13.500935123871747</v>
      </c>
      <c r="HI56" s="21">
        <f>EXP(-LN(2)/2)*HI55+(1-EXP(-LN(2)/2))/(LN(2)/2)*HC56*HF56*VLOOKUP('Données projet'!$B$18,Paramètres!$A$1:$I$89,3,0)*0.475*44/12</f>
        <v>1.4160437416806502</v>
      </c>
      <c r="HJ56" s="22">
        <f t="shared" si="30"/>
        <v>44.580471401488943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192.22264285714294</v>
      </c>
      <c r="AK57" s="13">
        <f t="shared" si="35"/>
        <v>48.031014520243914</v>
      </c>
      <c r="AL57" s="20">
        <f t="shared" si="4"/>
        <v>418.44178659894874</v>
      </c>
      <c r="AM57" s="59">
        <f t="shared" si="5"/>
        <v>711.775119932282</v>
      </c>
      <c r="AN57" s="59">
        <f ca="1">AVERAGE(OFFSET($AM$3,0,0,'Données projet'!$E$10+1,1))-AVERAGE(OFFSET($H$3,0,0,'Données projet'!$E$10+1,1))</f>
        <v>425.47148407510412</v>
      </c>
      <c r="AO57" s="59">
        <f t="shared" si="36"/>
        <v>308.54448799922471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5.2</v>
      </c>
      <c r="BD57" s="12">
        <f>IF('Données projet'!$A$88&gt;35,BD56+BC57-BL56,IF(A57&lt;'Données projet'!$A$88,$BA$205^A57,IF(A57='Données projet'!$A$88,'Données projet'!$B$88,BD56+BC57-BL56)))</f>
        <v>175.79999999999998</v>
      </c>
      <c r="BE57" s="13">
        <f>BD57*VLOOKUP('Données projet'!$B$11,Paramètres!$A$1:$I$89,3,0)*VLOOKUP('Données projet'!$B$11,Paramètres!$A$1:$I$89,5,0)</f>
        <v>153.57888</v>
      </c>
      <c r="BF57" s="13">
        <f t="shared" si="37"/>
        <v>39.390779474606148</v>
      </c>
      <c r="BG57" s="20">
        <f t="shared" si="7"/>
        <v>336.08882358493901</v>
      </c>
      <c r="BH57" s="59">
        <f t="shared" si="8"/>
        <v>629.42215691827232</v>
      </c>
      <c r="BI57" s="59">
        <f ca="1">AVERAGE(OFFSET($BH$3,0,0,'Données projet'!$E$11+1,1))-AVERAGE(OFFSET($H$3,0,0,'Données projet'!$E$11+1,1))</f>
        <v>300.63505444445104</v>
      </c>
      <c r="BJ57" s="59">
        <f t="shared" si="38"/>
        <v>266.32508105927997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9.1993191265427132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9.1993191265427132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6.3942307692307701</v>
      </c>
      <c r="BY57" s="12">
        <f>IF('Données projet'!$A$114&gt;35,BY56+BX57-CG56,IF(A57&lt;'Données projet'!$A$114,$BV$205^A57,IF(A57='Données projet'!$A$114,'Données projet'!$B$114,BY56+BX57-CG56)))</f>
        <v>127.28525641025638</v>
      </c>
      <c r="BZ57" s="13">
        <f>BY57*VLOOKUP('Données projet'!$B$12,Paramètres!$A$1:$I$89,3,0)*VLOOKUP('Données projet'!$B$12,Paramètres!$A$1:$I$89,5,0)</f>
        <v>121.12464999999997</v>
      </c>
      <c r="CA57" s="13">
        <f t="shared" si="39"/>
        <v>31.937162858052172</v>
      </c>
      <c r="CB57" s="20">
        <f t="shared" si="10"/>
        <v>266.58265739444079</v>
      </c>
      <c r="CC57" s="59">
        <f t="shared" si="11"/>
        <v>559.9159907277741</v>
      </c>
      <c r="CD57" s="59">
        <f ca="1">AVERAGE(OFFSET($CC$3,0,0,'Données projet'!$E$12+1,1))-AVERAGE(OFFSET($H$3,0,0,'Données projet'!$E$12+1,1))</f>
        <v>361.26385625423757</v>
      </c>
      <c r="CE57" s="59">
        <f t="shared" si="40"/>
        <v>222.05197404028576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247.00000000000017</v>
      </c>
      <c r="CU57" s="17">
        <f>CT57*VLOOKUP('Données projet'!$B$13,Paramètres!$A$1:$I$89,3,0)*VLOOKUP('Données projet'!$B$13,Paramètres!$A$1:$I$89,5,0)</f>
        <v>223.48560000000012</v>
      </c>
      <c r="CV57" s="13">
        <f t="shared" si="41"/>
        <v>54.87176918107798</v>
      </c>
      <c r="CW57" s="20">
        <f t="shared" si="13"/>
        <v>484.80575132371092</v>
      </c>
      <c r="CX57" s="59">
        <f t="shared" si="14"/>
        <v>778.13908465704424</v>
      </c>
      <c r="CY57" s="59">
        <f ca="1">AVERAGE(OFFSET($CX$3,0,0,'Données projet'!$E$13+1,1))-AVERAGE(OFFSET($H$3,0,0,'Données projet'!$E$13+1,1))</f>
        <v>302.6937347295995</v>
      </c>
      <c r="CZ57" s="59">
        <f t="shared" si="42"/>
        <v>423.44006663873375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0.37662097462778982</v>
      </c>
      <c r="DG57" s="21">
        <f>EXP(-LN(2)/25)*DG56+(1-EXP(-LN(2)/25))/(LN(2)/25)*Calculateur!DB57*Calculateur!DD57*VLOOKUP('Données projet'!$B$13,Paramètres!$A$1:$I$89,3,0)*0.475*44/12</f>
        <v>2.2049070666841399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2.5815280413119299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6.3942307692307701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123.11029999999998</v>
      </c>
      <c r="DQ57" s="13">
        <f t="shared" si="43"/>
        <v>32.399341802259549</v>
      </c>
      <c r="DR57" s="20">
        <f t="shared" si="16"/>
        <v>270.8459594722687</v>
      </c>
      <c r="DS57" s="59">
        <f t="shared" si="17"/>
        <v>564.17929280560202</v>
      </c>
      <c r="DT57" s="59">
        <f ca="1">AVERAGE(OFFSET($DS$3,0,0,'Données projet'!$E$14+1,1))-AVERAGE(OFFSET($H$3,0,0,'Données projet'!$E$14+1,1))</f>
        <v>366.51581861366333</v>
      </c>
      <c r="DU57" s="59">
        <f t="shared" si="44"/>
        <v>225.01415116995503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9.5</v>
      </c>
      <c r="EJ57" s="12">
        <f>IF('Données projet'!$A$192&gt;35,EJ56+EI57-ER56,IF(A57&lt;'Données projet'!$A$192,$EG$205^A57,IF(A57='Données projet'!$A$192,'Données projet'!$B$192,EJ56+EI57-ER56)))</f>
        <v>240</v>
      </c>
      <c r="EK57" s="17">
        <f>EJ57*VLOOKUP('Données projet'!$B$15,Paramètres!$A$1:$I$89,3,0)*VLOOKUP('Données projet'!$B$15,Paramètres!$A$1:$I$89,5,0)</f>
        <v>187.20000000000002</v>
      </c>
      <c r="EL57" s="13">
        <f t="shared" si="45"/>
        <v>46.920378730551299</v>
      </c>
      <c r="EM57" s="20">
        <f t="shared" si="19"/>
        <v>407.75965962237683</v>
      </c>
      <c r="EN57" s="59">
        <f t="shared" si="20"/>
        <v>701.09299295571009</v>
      </c>
      <c r="EO57" s="59">
        <f ca="1">AVERAGE(OFFSET($EN$3,0,0,'Données projet'!$E$15+1,1))-AVERAGE(OFFSET($H$3,0,0,'Données projet'!$E$15+1,1))</f>
        <v>288.80569134263209</v>
      </c>
      <c r="EP57" s="59">
        <f t="shared" si="46"/>
        <v>283.48738729114024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17.544973302925285</v>
      </c>
      <c r="EW57" s="21">
        <f>EXP(-LN(2)/25)*EW56+(1-EXP(-LN(2)/25))/(LN(2)/25)*Calculateur!ER57*Calculateur!ET57*VLOOKUP('Données projet'!$B$15,Paramètres!$A$1:$I$89,3,0)*0.475*44/12</f>
        <v>21.74385564327633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39.288828946201619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12.837499999999991</v>
      </c>
      <c r="FE57" s="12">
        <f>IF('Données projet'!$A$218&gt;35,FE56+FD57-FM56,IF(A57&lt;'Données projet'!$A$218,$FB$205^A57,IF(A57='Données projet'!$A$218,'Données projet'!$B$218,FE56+FD57-FM56)))</f>
        <v>420.80192307692289</v>
      </c>
      <c r="FF57" s="17">
        <f>FE57*VLOOKUP('Données projet'!$B$16,Paramètres!$A$1:$I$89,3,0)*VLOOKUP('Données projet'!$B$16,Paramètres!$A$1:$I$89,5,0)</f>
        <v>251.63954999999993</v>
      </c>
      <c r="FG57" s="13">
        <f t="shared" si="47"/>
        <v>60.936892129812684</v>
      </c>
      <c r="FH57" s="20">
        <f t="shared" si="22"/>
        <v>544.4039700427569</v>
      </c>
      <c r="FI57" s="59">
        <f t="shared" si="23"/>
        <v>837.73730337609027</v>
      </c>
      <c r="FJ57" s="59">
        <f ca="1">AVERAGE(OFFSET($FI$3,0,0,'Données projet'!$E$16+1,1))-AVERAGE(OFFSET($H$3,0,0,'Données projet'!$E$16+1,1))</f>
        <v>323.17232038705157</v>
      </c>
      <c r="FK57" s="59">
        <f t="shared" si="48"/>
        <v>402.34685738619197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53.35194882573424</v>
      </c>
      <c r="FR57" s="21">
        <f>EXP(-LN(2)/25)*FR56+(1-EXP(-LN(2)/25))/(LN(2)/25)*Calculateur!FM57*Calculateur!FO57*VLOOKUP('Données projet'!$B$16,Paramètres!$A$1:$I$89,3,0)*0.475*44/12</f>
        <v>18.529229389069542</v>
      </c>
      <c r="FS57" s="21">
        <f>EXP(-LN(2)/2)*FS56+(1-EXP(-LN(2)/2))/(LN(2)/2)*FM57*FP57*VLOOKUP('Données projet'!$B$16,Paramètres!$A$1:$I$89,3,0)*0.475*44/12</f>
        <v>1.005984280993955</v>
      </c>
      <c r="FT57" s="22">
        <f t="shared" si="24"/>
        <v>72.887162495797739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9.5</v>
      </c>
      <c r="FZ57" s="12">
        <f>IF('Données projet'!$A$244&gt;35,FZ56+FY57-GH56,IF(A57&lt;'Données projet'!$A$244,$FW$205^A57,IF(A57='Données projet'!$A$244,'Données projet'!$B$244,FZ56+FY57-GH56)))</f>
        <v>240</v>
      </c>
      <c r="GA57" s="17">
        <f>FZ57*VLOOKUP('Données projet'!$B$17,Paramètres!$A$1:$I$89,3,0)*VLOOKUP('Données projet'!$B$17,Paramètres!$A$1:$I$89,5,0)</f>
        <v>194.68800000000002</v>
      </c>
      <c r="GB57" s="13">
        <f t="shared" si="49"/>
        <v>48.574928228914978</v>
      </c>
      <c r="GC57" s="20">
        <f t="shared" si="25"/>
        <v>423.68293333202695</v>
      </c>
      <c r="GD57" s="59">
        <f t="shared" si="26"/>
        <v>717.01626666536026</v>
      </c>
      <c r="GE57" s="59">
        <f ca="1">AVERAGE(OFFSET($GD$3,0,0,'Données projet'!$E$17+1,1))-AVERAGE(OFFSET($H$3,0,0,'Données projet'!$E$17+1,1))</f>
        <v>298.96480270023716</v>
      </c>
      <c r="GF57" s="59">
        <f t="shared" si="50"/>
        <v>293.11447542333889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22.4902076385405</v>
      </c>
      <c r="GM57" s="21">
        <f>EXP(-LN(2)/25)*GM56+(1-EXP(-LN(2)/25))/(LN(2)/25)*Calculateur!GH57*Calculateur!GJ57*VLOOKUP('Données projet'!$B$17,Paramètres!$A$1:$I$89,3,0)*0.475*44/12</f>
        <v>27.872588908311428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50.362796546851925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9.2076923076923052</v>
      </c>
      <c r="GU57" s="12">
        <f>IF('Données projet'!$A$270&gt;35,GU56+GT57-HC56,IF(A57&lt;'Données projet'!$A$270,$GR$205^A57,IF(A57='Données projet'!$A$270,'Données projet'!$B$270,GU56+GT57-HC56)))</f>
        <v>305.98461538461538</v>
      </c>
      <c r="GV57" s="17">
        <f>GU57*VLOOKUP('Données projet'!$B$18,Paramètres!$A$1:$I$89,3,0)*VLOOKUP('Données projet'!$B$18,Paramètres!$A$1:$I$89,5,0)</f>
        <v>175.02320000000003</v>
      </c>
      <c r="GW57" s="13">
        <f t="shared" si="51"/>
        <v>44.213139510914147</v>
      </c>
      <c r="GX57" s="20">
        <f t="shared" si="28"/>
        <v>381.83662464817547</v>
      </c>
      <c r="GY57" s="59">
        <f t="shared" si="29"/>
        <v>675.16995798150879</v>
      </c>
      <c r="GZ57" s="59">
        <f ca="1">AVERAGE(OFFSET($GY$3,0,0,'Données projet'!$E$18+1,1))-AVERAGE(OFFSET($H$3,0,0,'Données projet'!$E$18+1,1))</f>
        <v>320.76883487964511</v>
      </c>
      <c r="HA57" s="59">
        <f t="shared" si="52"/>
        <v>290.51177680335746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29.081809540250745</v>
      </c>
      <c r="HH57" s="21">
        <f>EXP(-LN(2)/25)*HH56+(1-EXP(-LN(2)/25))/(LN(2)/25)*Calculateur!HC57*Calculateur!HE57*VLOOKUP('Données projet'!$B$18,Paramètres!$A$1:$I$89,3,0)*0.475*44/12</f>
        <v>13.131751342926153</v>
      </c>
      <c r="HI57" s="21">
        <f>EXP(-LN(2)/2)*HI56+(1-EXP(-LN(2)/2))/(LN(2)/2)*HC57*HF57*VLOOKUP('Données projet'!$B$18,Paramètres!$A$1:$I$89,3,0)*0.475*44/12</f>
        <v>1.0012941321991595</v>
      </c>
      <c r="HJ57" s="22">
        <f t="shared" si="30"/>
        <v>43.214855015376052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201.22050000000007</v>
      </c>
      <c r="AK58" s="13">
        <f t="shared" si="35"/>
        <v>50.012301634497518</v>
      </c>
      <c r="AL58" s="20">
        <f t="shared" si="4"/>
        <v>437.56379618008327</v>
      </c>
      <c r="AM58" s="59">
        <f t="shared" si="5"/>
        <v>730.89712951341653</v>
      </c>
      <c r="AN58" s="59">
        <f ca="1">AVERAGE(OFFSET($AM$3,0,0,'Données projet'!$E$10+1,1))-AVERAGE(OFFSET($H$3,0,0,'Données projet'!$E$10+1,1))</f>
        <v>425.47148407510412</v>
      </c>
      <c r="AO58" s="59">
        <f t="shared" si="36"/>
        <v>308.54448799922471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181</v>
      </c>
      <c r="BB58" s="12">
        <f>VLOOKUP(A58,'Données projet'!$A$87:$I$107,9,0)</f>
        <v>5.2</v>
      </c>
      <c r="BC58" s="12">
        <f t="array" ref="BC58">INDEX(BB:BB,MIN(IF(ISNUMBER(BB58:BB254),ROW(BB58:BB254),"")))</f>
        <v>5.2</v>
      </c>
      <c r="BD58" s="12">
        <f>IF('Données projet'!$A$88&gt;35,BD57+BC58-BL57,IF(A58&lt;'Données projet'!$A$88,$BA$205^A58,IF(A58='Données projet'!$A$88,'Données projet'!$B$88,BD57+BC58-BL57)))</f>
        <v>180.99999999999997</v>
      </c>
      <c r="BE58" s="13">
        <f>BD58*VLOOKUP('Données projet'!$B$11,Paramètres!$A$1:$I$89,3,0)*VLOOKUP('Données projet'!$B$11,Paramètres!$A$1:$I$89,5,0)</f>
        <v>158.1216</v>
      </c>
      <c r="BF58" s="13">
        <f t="shared" si="37"/>
        <v>40.418546284954211</v>
      </c>
      <c r="BG58" s="20">
        <f t="shared" si="7"/>
        <v>345.79075477962851</v>
      </c>
      <c r="BH58" s="59">
        <f t="shared" si="8"/>
        <v>639.12408811296177</v>
      </c>
      <c r="BI58" s="59">
        <f ca="1">AVERAGE(OFFSET($BH$3,0,0,'Données projet'!$E$11+1,1))-AVERAGE(OFFSET($H$3,0,0,'Données projet'!$E$11+1,1))</f>
        <v>300.63505444445104</v>
      </c>
      <c r="BJ58" s="59">
        <f t="shared" si="38"/>
        <v>266.32508105927997</v>
      </c>
      <c r="BK58" s="15">
        <f>IF(ISNA(VLOOKUP(A58,'Données projet'!$A$87:$I$107,3,0)),0,VLOOKUP(A58,'Données projet'!$A$87:$I$107,3,0))</f>
        <v>8</v>
      </c>
      <c r="BL58" s="15" t="str">
        <f>IF(ISNA(VLOOKUP(A58,'Données projet'!$A$87:$I$107,4,0)),0,VLOOKUP(A58,'Données projet'!$A$87:$I$107,4,0))</f>
        <v>17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0.17200000000000001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2.823820612489397</v>
      </c>
      <c r="BQ58" s="21">
        <f>EXP(-LN(2)/25)*BQ57+(1-EXP(-LN(2)/25))/(LN(2)/25)*Calculateur!BL58*Calculateur!BN58*VLOOKUP('Données projet'!$B$11,Paramètres!$A$1:$I$89,3,0)*0.475*44/12</f>
        <v>11.760465416034254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14.584286028523652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6.3942307692307701</v>
      </c>
      <c r="BY58" s="12">
        <f>IF('Données projet'!$A$114&gt;35,BY57+BX58-CG57,IF(A58&lt;'Données projet'!$A$114,$BV$205^A58,IF(A58='Données projet'!$A$114,'Données projet'!$B$114,BY57+BX58-CG57)))</f>
        <v>133.67948717948715</v>
      </c>
      <c r="BZ58" s="13">
        <f>BY58*VLOOKUP('Données projet'!$B$12,Paramètres!$A$1:$I$89,3,0)*VLOOKUP('Données projet'!$B$12,Paramètres!$A$1:$I$89,5,0)</f>
        <v>127.20939999999997</v>
      </c>
      <c r="CA58" s="13">
        <f t="shared" si="39"/>
        <v>33.350721496721917</v>
      </c>
      <c r="CB58" s="20">
        <f t="shared" si="10"/>
        <v>279.64221160679057</v>
      </c>
      <c r="CC58" s="59">
        <f t="shared" si="11"/>
        <v>572.97554494012388</v>
      </c>
      <c r="CD58" s="59">
        <f ca="1">AVERAGE(OFFSET($CC$3,0,0,'Données projet'!$E$12+1,1))-AVERAGE(OFFSET($H$3,0,0,'Données projet'!$E$12+1,1))</f>
        <v>361.26385625423757</v>
      </c>
      <c r="CE58" s="59">
        <f t="shared" si="40"/>
        <v>222.05197404028576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247.00000000000017</v>
      </c>
      <c r="CU58" s="17">
        <f>CT58*VLOOKUP('Données projet'!$B$13,Paramètres!$A$1:$I$89,3,0)*VLOOKUP('Données projet'!$B$13,Paramètres!$A$1:$I$89,5,0)</f>
        <v>223.48560000000012</v>
      </c>
      <c r="CV58" s="13">
        <f t="shared" si="41"/>
        <v>54.87176918107798</v>
      </c>
      <c r="CW58" s="20">
        <f t="shared" si="13"/>
        <v>484.80575132371092</v>
      </c>
      <c r="CX58" s="59">
        <f t="shared" si="14"/>
        <v>778.13908465704424</v>
      </c>
      <c r="CY58" s="59">
        <f ca="1">AVERAGE(OFFSET($CX$3,0,0,'Données projet'!$E$13+1,1))-AVERAGE(OFFSET($H$3,0,0,'Données projet'!$E$13+1,1))</f>
        <v>302.6937347295995</v>
      </c>
      <c r="CZ58" s="59">
        <f t="shared" si="42"/>
        <v>423.44006663873375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0.36923566703145078</v>
      </c>
      <c r="DG58" s="21">
        <f>EXP(-LN(2)/25)*DG57+(1-EXP(-LN(2)/25))/(LN(2)/25)*Calculateur!DB58*Calculateur!DD58*VLOOKUP('Données projet'!$B$13,Paramètres!$A$1:$I$89,3,0)*0.475*44/12</f>
        <v>2.144613766994639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2.5138494340260897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6.3942307692307701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129.29479999999998</v>
      </c>
      <c r="DQ58" s="13">
        <f t="shared" si="43"/>
        <v>33.833356767688763</v>
      </c>
      <c r="DR58" s="20">
        <f t="shared" si="16"/>
        <v>284.11487303705792</v>
      </c>
      <c r="DS58" s="59">
        <f t="shared" si="17"/>
        <v>577.44820637039129</v>
      </c>
      <c r="DT58" s="59">
        <f ca="1">AVERAGE(OFFSET($DS$3,0,0,'Données projet'!$E$14+1,1))-AVERAGE(OFFSET($H$3,0,0,'Données projet'!$E$14+1,1))</f>
        <v>366.51581861366333</v>
      </c>
      <c r="DU58" s="59">
        <f t="shared" si="44"/>
        <v>225.01415116995503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9.5</v>
      </c>
      <c r="EJ58" s="12">
        <f>IF('Données projet'!$A$192&gt;35,EJ57+EI58-ER57,IF(A58&lt;'Données projet'!$A$192,$EG$205^A58,IF(A58='Données projet'!$A$192,'Données projet'!$B$192,EJ57+EI58-ER57)))</f>
        <v>249.5</v>
      </c>
      <c r="EK58" s="17">
        <f>EJ58*VLOOKUP('Données projet'!$B$15,Paramètres!$A$1:$I$89,3,0)*VLOOKUP('Données projet'!$B$15,Paramètres!$A$1:$I$89,5,0)</f>
        <v>194.61</v>
      </c>
      <c r="EL58" s="13">
        <f t="shared" si="45"/>
        <v>48.557731991923845</v>
      </c>
      <c r="EM58" s="20">
        <f t="shared" si="19"/>
        <v>423.51713321926735</v>
      </c>
      <c r="EN58" s="59">
        <f t="shared" si="20"/>
        <v>716.85046655260066</v>
      </c>
      <c r="EO58" s="59">
        <f ca="1">AVERAGE(OFFSET($EN$3,0,0,'Données projet'!$E$15+1,1))-AVERAGE(OFFSET($H$3,0,0,'Données projet'!$E$15+1,1))</f>
        <v>288.80569134263209</v>
      </c>
      <c r="EP58" s="59">
        <f t="shared" si="46"/>
        <v>283.48738729114024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17.200927077831963</v>
      </c>
      <c r="EW58" s="21">
        <f>EXP(-LN(2)/25)*EW57+(1-EXP(-LN(2)/25))/(LN(2)/25)*Calculateur!ER58*Calculateur!ET58*VLOOKUP('Données projet'!$B$15,Paramètres!$A$1:$I$89,3,0)*0.475*44/12</f>
        <v>21.149268767251268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38.350195845083235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12.837499999999991</v>
      </c>
      <c r="FE58" s="12">
        <f>IF('Données projet'!$A$218&gt;35,FE57+FD58-FM57,IF(A58&lt;'Données projet'!$A$218,$FB$205^A58,IF(A58='Données projet'!$A$218,'Données projet'!$B$218,FE57+FD58-FM57)))</f>
        <v>433.63942307692287</v>
      </c>
      <c r="FF58" s="17">
        <f>FE58*VLOOKUP('Données projet'!$B$16,Paramètres!$A$1:$I$89,3,0)*VLOOKUP('Données projet'!$B$16,Paramètres!$A$1:$I$89,5,0)</f>
        <v>259.31637499999988</v>
      </c>
      <c r="FG58" s="13">
        <f t="shared" si="47"/>
        <v>62.576634410968637</v>
      </c>
      <c r="FH58" s="20">
        <f t="shared" si="22"/>
        <v>560.63032472410339</v>
      </c>
      <c r="FI58" s="59">
        <f t="shared" si="23"/>
        <v>853.96365805743676</v>
      </c>
      <c r="FJ58" s="59">
        <f ca="1">AVERAGE(OFFSET($FI$3,0,0,'Données projet'!$E$16+1,1))-AVERAGE(OFFSET($H$3,0,0,'Données projet'!$E$16+1,1))</f>
        <v>323.17232038705157</v>
      </c>
      <c r="FK58" s="59">
        <f t="shared" si="48"/>
        <v>402.34685738619197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52.30574965073717</v>
      </c>
      <c r="FR58" s="21">
        <f>EXP(-LN(2)/25)*FR57+(1-EXP(-LN(2)/25))/(LN(2)/25)*Calculateur!FM58*Calculateur!FO58*VLOOKUP('Données projet'!$B$16,Paramètres!$A$1:$I$89,3,0)*0.475*44/12</f>
        <v>18.022546637015612</v>
      </c>
      <c r="FS58" s="21">
        <f>EXP(-LN(2)/2)*FS57+(1-EXP(-LN(2)/2))/(LN(2)/2)*FM58*FP58*VLOOKUP('Données projet'!$B$16,Paramètres!$A$1:$I$89,3,0)*0.475*44/12</f>
        <v>0.71133830685789889</v>
      </c>
      <c r="FT58" s="22">
        <f t="shared" si="24"/>
        <v>71.039634594610675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9.5</v>
      </c>
      <c r="FZ58" s="12">
        <f>IF('Données projet'!$A$244&gt;35,FZ57+FY58-GH57,IF(A58&lt;'Données projet'!$A$244,$FW$205^A58,IF(A58='Données projet'!$A$244,'Données projet'!$B$244,FZ57+FY58-GH57)))</f>
        <v>249.5</v>
      </c>
      <c r="GA58" s="17">
        <f>FZ58*VLOOKUP('Données projet'!$B$17,Paramètres!$A$1:$I$89,3,0)*VLOOKUP('Données projet'!$B$17,Paramètres!$A$1:$I$89,5,0)</f>
        <v>202.39440000000002</v>
      </c>
      <c r="GB58" s="13">
        <f t="shared" si="49"/>
        <v>50.270019345150196</v>
      </c>
      <c r="GC58" s="20">
        <f t="shared" si="25"/>
        <v>440.05719702613652</v>
      </c>
      <c r="GD58" s="59">
        <f t="shared" si="26"/>
        <v>733.39053035946984</v>
      </c>
      <c r="GE58" s="59">
        <f ca="1">AVERAGE(OFFSET($GD$3,0,0,'Données projet'!$E$17+1,1))-AVERAGE(OFFSET($H$3,0,0,'Données projet'!$E$17+1,1))</f>
        <v>298.96480270023716</v>
      </c>
      <c r="GF58" s="59">
        <f t="shared" si="50"/>
        <v>293.11447542333889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22.049188384420873</v>
      </c>
      <c r="GM58" s="21">
        <f>EXP(-LN(2)/25)*GM57+(1-EXP(-LN(2)/25))/(LN(2)/25)*Calculateur!GH58*Calculateur!GJ58*VLOOKUP('Données projet'!$B$17,Paramètres!$A$1:$I$89,3,0)*0.475*44/12</f>
        <v>27.110411498857903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49.159599883278773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9.2076923076923052</v>
      </c>
      <c r="GU58" s="12">
        <f>IF('Données projet'!$A$270&gt;35,GU57+GT58-HC57,IF(A58&lt;'Données projet'!$A$270,$GR$205^A58,IF(A58='Données projet'!$A$270,'Données projet'!$B$270,GU57+GT58-HC57)))</f>
        <v>315.19230769230768</v>
      </c>
      <c r="GV58" s="17">
        <f>GU58*VLOOKUP('Données projet'!$B$18,Paramètres!$A$1:$I$89,3,0)*VLOOKUP('Données projet'!$B$18,Paramètres!$A$1:$I$89,5,0)</f>
        <v>180.29</v>
      </c>
      <c r="GW58" s="13">
        <f t="shared" si="51"/>
        <v>45.386699777461899</v>
      </c>
      <c r="GX58" s="20">
        <f t="shared" si="28"/>
        <v>393.05358544574614</v>
      </c>
      <c r="GY58" s="59">
        <f t="shared" si="29"/>
        <v>686.38691877907945</v>
      </c>
      <c r="GZ58" s="59">
        <f ca="1">AVERAGE(OFFSET($GY$3,0,0,'Données projet'!$E$18+1,1))-AVERAGE(OFFSET($H$3,0,0,'Données projet'!$E$18+1,1))</f>
        <v>320.76883487964511</v>
      </c>
      <c r="HA58" s="59">
        <f t="shared" si="52"/>
        <v>290.51177680335746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28.511532993318749</v>
      </c>
      <c r="HH58" s="21">
        <f>EXP(-LN(2)/25)*HH57+(1-EXP(-LN(2)/25))/(LN(2)/25)*Calculateur!HC58*Calculateur!HE58*VLOOKUP('Données projet'!$B$18,Paramètres!$A$1:$I$89,3,0)*0.475*44/12</f>
        <v>12.772662911885048</v>
      </c>
      <c r="HI58" s="21">
        <f>EXP(-LN(2)/2)*HI57+(1-EXP(-LN(2)/2))/(LN(2)/2)*HC58*HF58*VLOOKUP('Données projet'!$B$18,Paramètres!$A$1:$I$89,3,0)*0.475*44/12</f>
        <v>0.70802187084032508</v>
      </c>
      <c r="HJ58" s="22">
        <f t="shared" si="30"/>
        <v>41.992217776044122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163.93243750000005</v>
      </c>
      <c r="AK59" s="13">
        <f t="shared" si="35"/>
        <v>41.728230370613375</v>
      </c>
      <c r="AL59" s="20">
        <f t="shared" si="4"/>
        <v>358.1923298746517</v>
      </c>
      <c r="AM59" s="59">
        <f t="shared" si="5"/>
        <v>651.52566320798496</v>
      </c>
      <c r="AN59" s="59">
        <f ca="1">AVERAGE(OFFSET($AM$3,0,0,'Données projet'!$E$10+1,1))-AVERAGE(OFFSET($H$3,0,0,'Données projet'!$E$10+1,1))</f>
        <v>425.47148407510412</v>
      </c>
      <c r="AO59" s="59">
        <f t="shared" si="36"/>
        <v>308.54448799922471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</v>
      </c>
      <c r="BD59" s="12">
        <f>IF('Données projet'!$A$88&gt;35,BD58+BC59-BL58,IF(A59&lt;'Données projet'!$A$88,$BA$205^A59,IF(A59='Données projet'!$A$88,'Données projet'!$B$88,BD58+BC59-BL58)))</f>
        <v>168.99999999999997</v>
      </c>
      <c r="BE59" s="13">
        <f>BD59*VLOOKUP('Données projet'!$B$11,Paramètres!$A$1:$I$89,3,0)*VLOOKUP('Données projet'!$B$11,Paramètres!$A$1:$I$89,5,0)</f>
        <v>147.63839999999999</v>
      </c>
      <c r="BF59" s="13">
        <f t="shared" si="37"/>
        <v>38.041408878951295</v>
      </c>
      <c r="BG59" s="20">
        <f t="shared" si="7"/>
        <v>323.39233379750681</v>
      </c>
      <c r="BH59" s="59">
        <f t="shared" si="8"/>
        <v>616.72566713084007</v>
      </c>
      <c r="BI59" s="59">
        <f ca="1">AVERAGE(OFFSET($BH$3,0,0,'Données projet'!$E$11+1,1))-AVERAGE(OFFSET($H$3,0,0,'Données projet'!$E$11+1,1))</f>
        <v>300.63505444445104</v>
      </c>
      <c r="BJ59" s="59">
        <f t="shared" si="38"/>
        <v>266.32508105927997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2.7684472126389847</v>
      </c>
      <c r="BQ59" s="21">
        <f>EXP(-LN(2)/25)*BQ58+(1-EXP(-LN(2)/25))/(LN(2)/25)*Calculateur!BL59*Calculateur!BN59*VLOOKUP('Données projet'!$B$11,Paramètres!$A$1:$I$89,3,0)*0.475*44/12</f>
        <v>11.4388748707768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14.207322083415786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6.3942307692307701</v>
      </c>
      <c r="BY59" s="12">
        <f>IF('Données projet'!$A$114&gt;35,BY58+BX59-CG58,IF(A59&lt;'Données projet'!$A$114,$BV$205^A59,IF(A59='Données projet'!$A$114,'Données projet'!$B$114,BY58+BX59-CG58)))</f>
        <v>140.07371794871793</v>
      </c>
      <c r="BZ59" s="13">
        <f>BY59*VLOOKUP('Données projet'!$B$12,Paramètres!$A$1:$I$89,3,0)*VLOOKUP('Données projet'!$B$12,Paramètres!$A$1:$I$89,5,0)</f>
        <v>133.29414999999997</v>
      </c>
      <c r="CA59" s="13">
        <f t="shared" si="39"/>
        <v>34.756428560390589</v>
      </c>
      <c r="CB59" s="20">
        <f t="shared" si="10"/>
        <v>292.6880909926802</v>
      </c>
      <c r="CC59" s="59">
        <f t="shared" si="11"/>
        <v>586.02142432601352</v>
      </c>
      <c r="CD59" s="59">
        <f ca="1">AVERAGE(OFFSET($CC$3,0,0,'Données projet'!$E$12+1,1))-AVERAGE(OFFSET($H$3,0,0,'Données projet'!$E$12+1,1))</f>
        <v>361.26385625423757</v>
      </c>
      <c r="CE59" s="59">
        <f t="shared" si="40"/>
        <v>222.05197404028576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247.00000000000017</v>
      </c>
      <c r="CU59" s="17">
        <f>CT59*VLOOKUP('Données projet'!$B$13,Paramètres!$A$1:$I$89,3,0)*VLOOKUP('Données projet'!$B$13,Paramètres!$A$1:$I$89,5,0)</f>
        <v>223.48560000000012</v>
      </c>
      <c r="CV59" s="13">
        <f t="shared" si="41"/>
        <v>54.87176918107798</v>
      </c>
      <c r="CW59" s="20">
        <f t="shared" si="13"/>
        <v>484.80575132371092</v>
      </c>
      <c r="CX59" s="59">
        <f t="shared" si="14"/>
        <v>778.13908465704424</v>
      </c>
      <c r="CY59" s="59">
        <f ca="1">AVERAGE(OFFSET($CX$3,0,0,'Données projet'!$E$13+1,1))-AVERAGE(OFFSET($H$3,0,0,'Données projet'!$E$13+1,1))</f>
        <v>302.6937347295995</v>
      </c>
      <c r="CZ59" s="59">
        <f t="shared" si="42"/>
        <v>423.44006663873375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0.36199518081248311</v>
      </c>
      <c r="DG59" s="21">
        <f>EXP(-LN(2)/25)*DG58+(1-EXP(-LN(2)/25))/(LN(2)/25)*Calculateur!DB59*Calculateur!DD59*VLOOKUP('Données projet'!$B$13,Paramètres!$A$1:$I$89,3,0)*0.475*44/12</f>
        <v>2.0859691907558342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2.4479643715683173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6.3942307692307701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135.47929999999997</v>
      </c>
      <c r="DQ59" s="13">
        <f t="shared" si="43"/>
        <v>35.259406533977533</v>
      </c>
      <c r="DR59" s="20">
        <f t="shared" si="16"/>
        <v>297.36991388001081</v>
      </c>
      <c r="DS59" s="59">
        <f t="shared" si="17"/>
        <v>590.70324721334418</v>
      </c>
      <c r="DT59" s="59">
        <f ca="1">AVERAGE(OFFSET($DS$3,0,0,'Données projet'!$E$14+1,1))-AVERAGE(OFFSET($H$3,0,0,'Données projet'!$E$14+1,1))</f>
        <v>366.51581861366333</v>
      </c>
      <c r="DU59" s="59">
        <f t="shared" si="44"/>
        <v>225.01415116995503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9.5</v>
      </c>
      <c r="EJ59" s="12">
        <f>IF('Données projet'!$A$192&gt;35,EJ58+EI59-ER58,IF(A59&lt;'Données projet'!$A$192,$EG$205^A59,IF(A59='Données projet'!$A$192,'Données projet'!$B$192,EJ58+EI59-ER58)))</f>
        <v>259</v>
      </c>
      <c r="EK59" s="17">
        <f>EJ59*VLOOKUP('Données projet'!$B$15,Paramètres!$A$1:$I$89,3,0)*VLOOKUP('Données projet'!$B$15,Paramètres!$A$1:$I$89,5,0)</f>
        <v>202.02</v>
      </c>
      <c r="EL59" s="13">
        <f t="shared" si="45"/>
        <v>50.187842607873506</v>
      </c>
      <c r="EM59" s="20">
        <f t="shared" si="19"/>
        <v>439.26199254204636</v>
      </c>
      <c r="EN59" s="59">
        <f t="shared" si="20"/>
        <v>732.59532587537967</v>
      </c>
      <c r="EO59" s="59">
        <f ca="1">AVERAGE(OFFSET($EN$3,0,0,'Données projet'!$E$15+1,1))-AVERAGE(OFFSET($H$3,0,0,'Données projet'!$E$15+1,1))</f>
        <v>288.80569134263209</v>
      </c>
      <c r="EP59" s="59">
        <f t="shared" si="46"/>
        <v>283.48738729114024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16.863627389365245</v>
      </c>
      <c r="EW59" s="21">
        <f>EXP(-LN(2)/25)*EW58+(1-EXP(-LN(2)/25))/(LN(2)/25)*Calculateur!ER59*Calculateur!ET59*VLOOKUP('Données projet'!$B$15,Paramètres!$A$1:$I$89,3,0)*0.475*44/12</f>
        <v>20.570940900619075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37.43456828998432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>
        <f>VLOOKUP(A59,'Données projet'!$A$217:$I$237,2,0)</f>
        <v>446.47692307692301</v>
      </c>
      <c r="FC59" s="12">
        <f>VLOOKUP(A59,'Données projet'!$A$217:$I$237,9,0)</f>
        <v>12.837499999999991</v>
      </c>
      <c r="FD59" s="12">
        <f t="array" ref="FD59">INDEX(FC:FC,MIN(IF(ISNUMBER(FC59:FC255),ROW(FC59:FC255),"")))</f>
        <v>12.837499999999991</v>
      </c>
      <c r="FE59" s="12">
        <f>IF('Données projet'!$A$218&gt;35,FE58+FD59-FM58,IF(A59&lt;'Données projet'!$A$218,$FB$205^A59,IF(A59='Données projet'!$A$218,'Données projet'!$B$218,FE58+FD59-FM58)))</f>
        <v>446.47692307692284</v>
      </c>
      <c r="FF59" s="17">
        <f>FE59*VLOOKUP('Données projet'!$B$16,Paramètres!$A$1:$I$89,3,0)*VLOOKUP('Données projet'!$B$16,Paramètres!$A$1:$I$89,5,0)</f>
        <v>266.99319999999989</v>
      </c>
      <c r="FG59" s="13">
        <f t="shared" si="47"/>
        <v>64.210735131625498</v>
      </c>
      <c r="FH59" s="20">
        <f t="shared" si="22"/>
        <v>576.84685368758085</v>
      </c>
      <c r="FI59" s="59">
        <f t="shared" si="23"/>
        <v>870.18018702091422</v>
      </c>
      <c r="FJ59" s="59">
        <f ca="1">AVERAGE(OFFSET($FI$3,0,0,'Données projet'!$E$16+1,1))-AVERAGE(OFFSET($H$3,0,0,'Données projet'!$E$16+1,1))</f>
        <v>323.17232038705157</v>
      </c>
      <c r="FK59" s="59">
        <f t="shared" si="48"/>
        <v>402.34685738619197</v>
      </c>
      <c r="FL59" s="15">
        <f>IF(ISNA(VLOOKUP(A59,'Données projet'!$A$217:$I$237,3,0)),0,VLOOKUP(A59,'Données projet'!$A$217:$I$237,3,0))</f>
        <v>7</v>
      </c>
      <c r="FM59" s="15">
        <f>IF(ISNA(VLOOKUP(A59,'Données projet'!$A$217:$I$237,4,0)),0,VLOOKUP(A59,'Données projet'!$A$217:$I$237,4,0))</f>
        <v>446.47692307692301</v>
      </c>
      <c r="FN59" s="16">
        <f>IF(ISNA(VLOOKUP(A59,'Données projet'!$A$217:$I$237,5,0)),0%,VLOOKUP(A59,'Données projet'!$A$217:$I$237,5,0)*VLOOKUP('Données projet'!$B$16,Paramètres!$A$1:$I$89,7,0))</f>
        <v>0.315</v>
      </c>
      <c r="FO59" s="16">
        <f>IF(ISNA(VLOOKUP(A59,'Données projet'!$A$217:$I$237,6,0)),0%,VLOOKUP(A59,'Données projet'!$A$217:$I$237,6,0)*VLOOKUP('Données projet'!$B$16,Paramètres!$A$1:$I$89,7,0))</f>
        <v>7.5600000000000001E-2</v>
      </c>
      <c r="FP59" s="16">
        <f>IF(ISNA(VLOOKUP(A59,'Données projet'!$A$217:$I$237,7,0)),0%,VLOOKUP(A59,'Données projet'!$A$217:$I$237,7,0))</f>
        <v>0.13200000000000001</v>
      </c>
      <c r="FQ59" s="21">
        <f>EXP(-LN(2)/35)*FQ58+(1-EXP(-LN(2)/35))/(LN(2)/35)*FM59*FN59*VLOOKUP('Données projet'!$B$16,Paramètres!$A$1:$I$89,3,0)*0.475*44/12</f>
        <v>162.84792782712228</v>
      </c>
      <c r="FR59" s="21">
        <f>EXP(-LN(2)/25)*FR58+(1-EXP(-LN(2)/25))/(LN(2)/25)*Calculateur!FM59*Calculateur!FO59*VLOOKUP('Données projet'!$B$16,Paramètres!$A$1:$I$89,3,0)*0.475*44/12</f>
        <v>44.200577593110729</v>
      </c>
      <c r="FS59" s="21">
        <f>EXP(-LN(2)/2)*FS58+(1-EXP(-LN(2)/2))/(LN(2)/2)*FM59*FP59*VLOOKUP('Données projet'!$B$16,Paramètres!$A$1:$I$89,3,0)*0.475*44/12</f>
        <v>40.406370942809481</v>
      </c>
      <c r="FT59" s="22">
        <f t="shared" si="24"/>
        <v>247.45487636304247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9.5</v>
      </c>
      <c r="FZ59" s="12">
        <f>IF('Données projet'!$A$244&gt;35,FZ58+FY59-GH58,IF(A59&lt;'Données projet'!$A$244,$FW$205^A59,IF(A59='Données projet'!$A$244,'Données projet'!$B$244,FZ58+FY59-GH58)))</f>
        <v>259</v>
      </c>
      <c r="GA59" s="17">
        <f>FZ59*VLOOKUP('Données projet'!$B$17,Paramètres!$A$1:$I$89,3,0)*VLOOKUP('Données projet'!$B$17,Paramètres!$A$1:$I$89,5,0)</f>
        <v>210.10080000000002</v>
      </c>
      <c r="GB59" s="13">
        <f t="shared" si="49"/>
        <v>51.95761241914623</v>
      </c>
      <c r="GC59" s="20">
        <f t="shared" si="25"/>
        <v>456.41840163001302</v>
      </c>
      <c r="GD59" s="59">
        <f t="shared" si="26"/>
        <v>749.75173496334628</v>
      </c>
      <c r="GE59" s="59">
        <f ca="1">AVERAGE(OFFSET($GD$3,0,0,'Données projet'!$E$17+1,1))-AVERAGE(OFFSET($H$3,0,0,'Données projet'!$E$17+1,1))</f>
        <v>298.96480270023716</v>
      </c>
      <c r="GF59" s="59">
        <f t="shared" si="50"/>
        <v>293.11447542333889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21.616817248879347</v>
      </c>
      <c r="GM59" s="21">
        <f>EXP(-LN(2)/25)*GM58+(1-EXP(-LN(2)/25))/(LN(2)/25)*Calculateur!GH59*Calculateur!GJ59*VLOOKUP('Données projet'!$B$17,Paramètres!$A$1:$I$89,3,0)*0.475*44/12</f>
        <v>26.369075870747054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47.985893119626397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9.2076923076923052</v>
      </c>
      <c r="GU59" s="12">
        <f>IF('Données projet'!$A$270&gt;35,GU58+GT59-HC58,IF(A59&lt;'Données projet'!$A$270,$GR$205^A59,IF(A59='Données projet'!$A$270,'Données projet'!$B$270,GU58+GT59-HC58)))</f>
        <v>324.39999999999998</v>
      </c>
      <c r="GV59" s="17">
        <f>GU59*VLOOKUP('Données projet'!$B$18,Paramètres!$A$1:$I$89,3,0)*VLOOKUP('Données projet'!$B$18,Paramètres!$A$1:$I$89,5,0)</f>
        <v>185.55679999999998</v>
      </c>
      <c r="GW59" s="13">
        <f t="shared" si="51"/>
        <v>46.556275664814912</v>
      </c>
      <c r="GX59" s="20">
        <f t="shared" si="28"/>
        <v>404.26360678288592</v>
      </c>
      <c r="GY59" s="59">
        <f t="shared" si="29"/>
        <v>697.59694011621923</v>
      </c>
      <c r="GZ59" s="59">
        <f ca="1">AVERAGE(OFFSET($GY$3,0,0,'Données projet'!$E$18+1,1))-AVERAGE(OFFSET($H$3,0,0,'Données projet'!$E$18+1,1))</f>
        <v>320.76883487964511</v>
      </c>
      <c r="HA59" s="59">
        <f t="shared" si="52"/>
        <v>290.51177680335746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27.952439221637743</v>
      </c>
      <c r="HH59" s="21">
        <f>EXP(-LN(2)/25)*HH58+(1-EXP(-LN(2)/25))/(LN(2)/25)*Calculateur!HC59*Calculateur!HE59*VLOOKUP('Données projet'!$B$18,Paramètres!$A$1:$I$89,3,0)*0.475*44/12</f>
        <v>12.423393772874402</v>
      </c>
      <c r="HI59" s="21">
        <f>EXP(-LN(2)/2)*HI58+(1-EXP(-LN(2)/2))/(LN(2)/2)*HC59*HF59*VLOOKUP('Données projet'!$B$18,Paramètres!$A$1:$I$89,3,0)*0.475*44/12</f>
        <v>0.50064706609957976</v>
      </c>
      <c r="HJ59" s="22">
        <f t="shared" si="30"/>
        <v>40.876480060611726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172.42387500000007</v>
      </c>
      <c r="AK60" s="13">
        <f t="shared" si="35"/>
        <v>43.632442843290029</v>
      </c>
      <c r="AL60" s="20">
        <f t="shared" si="4"/>
        <v>376.29808691039688</v>
      </c>
      <c r="AM60" s="59">
        <f t="shared" si="5"/>
        <v>669.63142024373019</v>
      </c>
      <c r="AN60" s="59">
        <f ca="1">AVERAGE(OFFSET($AM$3,0,0,'Données projet'!$E$10+1,1))-AVERAGE(OFFSET($H$3,0,0,'Données projet'!$E$10+1,1))</f>
        <v>425.47148407510412</v>
      </c>
      <c r="AO60" s="59">
        <f t="shared" si="36"/>
        <v>308.54448799922471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</v>
      </c>
      <c r="BD60" s="12">
        <f>IF('Données projet'!$A$88&gt;35,BD59+BC60-BL59,IF(A60&lt;'Données projet'!$A$88,$BA$205^A60,IF(A60='Données projet'!$A$88,'Données projet'!$B$88,BD59+BC60-BL59)))</f>
        <v>173.99999999999997</v>
      </c>
      <c r="BE60" s="13">
        <f>BD60*VLOOKUP('Données projet'!$B$11,Paramètres!$A$1:$I$89,3,0)*VLOOKUP('Données projet'!$B$11,Paramètres!$A$1:$I$89,5,0)</f>
        <v>152.00640000000001</v>
      </c>
      <c r="BF60" s="13">
        <f t="shared" si="37"/>
        <v>39.03419401656145</v>
      </c>
      <c r="BG60" s="20">
        <f t="shared" si="7"/>
        <v>332.72903457884451</v>
      </c>
      <c r="BH60" s="59">
        <f t="shared" si="8"/>
        <v>626.06236791217782</v>
      </c>
      <c r="BI60" s="59">
        <f ca="1">AVERAGE(OFFSET($BH$3,0,0,'Données projet'!$E$11+1,1))-AVERAGE(OFFSET($H$3,0,0,'Données projet'!$E$11+1,1))</f>
        <v>300.63505444445104</v>
      </c>
      <c r="BJ60" s="59">
        <f t="shared" si="38"/>
        <v>266.32508105927997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2.7141596513852</v>
      </c>
      <c r="BQ60" s="21">
        <f>EXP(-LN(2)/25)*BQ59+(1-EXP(-LN(2)/25))/(LN(2)/25)*Calculateur!BL60*Calculateur!BN60*VLOOKUP('Données projet'!$B$11,Paramètres!$A$1:$I$89,3,0)*0.475*44/12</f>
        <v>11.126078235891123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13.840237887276324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6.3942307692307701</v>
      </c>
      <c r="BY60" s="12">
        <f>IF('Données projet'!$A$114&gt;35,BY59+BX60-CG59,IF(A60&lt;'Données projet'!$A$114,$BV$205^A60,IF(A60='Données projet'!$A$114,'Données projet'!$B$114,BY59+BX60-CG59)))</f>
        <v>146.4679487179487</v>
      </c>
      <c r="BZ60" s="13">
        <f>BY60*VLOOKUP('Données projet'!$B$12,Paramètres!$A$1:$I$89,3,0)*VLOOKUP('Données projet'!$B$12,Paramètres!$A$1:$I$89,5,0)</f>
        <v>139.37889999999999</v>
      </c>
      <c r="CA60" s="13">
        <f t="shared" si="39"/>
        <v>36.154683407903839</v>
      </c>
      <c r="CB60" s="20">
        <f t="shared" si="10"/>
        <v>305.72099110209916</v>
      </c>
      <c r="CC60" s="59">
        <f t="shared" si="11"/>
        <v>599.05432443543248</v>
      </c>
      <c r="CD60" s="59">
        <f ca="1">AVERAGE(OFFSET($CC$3,0,0,'Données projet'!$E$12+1,1))-AVERAGE(OFFSET($H$3,0,0,'Données projet'!$E$12+1,1))</f>
        <v>361.26385625423757</v>
      </c>
      <c r="CE60" s="59">
        <f t="shared" si="40"/>
        <v>222.05197404028576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247.00000000000017</v>
      </c>
      <c r="CU60" s="17">
        <f>CT60*VLOOKUP('Données projet'!$B$13,Paramètres!$A$1:$I$89,3,0)*VLOOKUP('Données projet'!$B$13,Paramètres!$A$1:$I$89,5,0)</f>
        <v>223.48560000000012</v>
      </c>
      <c r="CV60" s="13">
        <f t="shared" si="41"/>
        <v>54.87176918107798</v>
      </c>
      <c r="CW60" s="20">
        <f t="shared" si="13"/>
        <v>484.80575132371092</v>
      </c>
      <c r="CX60" s="59">
        <f t="shared" si="14"/>
        <v>778.13908465704424</v>
      </c>
      <c r="CY60" s="59">
        <f ca="1">AVERAGE(OFFSET($CX$3,0,0,'Données projet'!$E$13+1,1))-AVERAGE(OFFSET($H$3,0,0,'Données projet'!$E$13+1,1))</f>
        <v>302.6937347295995</v>
      </c>
      <c r="CZ60" s="59">
        <f t="shared" si="42"/>
        <v>423.44006663873375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0.35489667611200887</v>
      </c>
      <c r="DG60" s="21">
        <f>EXP(-LN(2)/25)*DG59+(1-EXP(-LN(2)/25))/(LN(2)/25)*Calculateur!DB60*Calculateur!DD60*VLOOKUP('Données projet'!$B$13,Paramètres!$A$1:$I$89,3,0)*0.475*44/12</f>
        <v>2.0289282535382638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2.3838249296502725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6.3942307692307701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141.66379999999998</v>
      </c>
      <c r="DQ60" s="13">
        <f t="shared" si="43"/>
        <v>36.677896239296679</v>
      </c>
      <c r="DR60" s="20">
        <f t="shared" si="16"/>
        <v>310.61178761677502</v>
      </c>
      <c r="DS60" s="59">
        <f t="shared" si="17"/>
        <v>603.94512095010828</v>
      </c>
      <c r="DT60" s="59">
        <f ca="1">AVERAGE(OFFSET($DS$3,0,0,'Données projet'!$E$14+1,1))-AVERAGE(OFFSET($H$3,0,0,'Données projet'!$E$14+1,1))</f>
        <v>366.51581861366333</v>
      </c>
      <c r="DU60" s="59">
        <f t="shared" si="44"/>
        <v>225.01415116995503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9.5</v>
      </c>
      <c r="EJ60" s="12">
        <f>IF('Données projet'!$A$192&gt;35,EJ59+EI60-ER59,IF(A60&lt;'Données projet'!$A$192,$EG$205^A60,IF(A60='Données projet'!$A$192,'Données projet'!$B$192,EJ59+EI60-ER59)))</f>
        <v>268.5</v>
      </c>
      <c r="EK60" s="17">
        <f>EJ60*VLOOKUP('Données projet'!$B$15,Paramètres!$A$1:$I$89,3,0)*VLOOKUP('Données projet'!$B$15,Paramètres!$A$1:$I$89,5,0)</f>
        <v>209.43</v>
      </c>
      <c r="EL60" s="13">
        <f t="shared" si="45"/>
        <v>51.811006660589165</v>
      </c>
      <c r="EM60" s="20">
        <f t="shared" si="19"/>
        <v>454.99475326719272</v>
      </c>
      <c r="EN60" s="59">
        <f t="shared" si="20"/>
        <v>748.32808660052603</v>
      </c>
      <c r="EO60" s="59">
        <f ca="1">AVERAGE(OFFSET($EN$3,0,0,'Données projet'!$E$15+1,1))-AVERAGE(OFFSET($H$3,0,0,'Données projet'!$E$15+1,1))</f>
        <v>288.80569134263209</v>
      </c>
      <c r="EP60" s="59">
        <f t="shared" si="46"/>
        <v>283.48738729114024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16.532941942056862</v>
      </c>
      <c r="EW60" s="21">
        <f>EXP(-LN(2)/25)*EW59+(1-EXP(-LN(2)/25))/(LN(2)/25)*Calculateur!ER60*Calculateur!ET60*VLOOKUP('Données projet'!$B$15,Paramètres!$A$1:$I$89,3,0)*0.475*44/12</f>
        <v>20.008427439912879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36.541369381969744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-1.7053025658242404E-13</v>
      </c>
      <c r="FF60" s="17">
        <f>FE60*VLOOKUP('Données projet'!$B$16,Paramètres!$A$1:$I$89,3,0)*VLOOKUP('Données projet'!$B$16,Paramètres!$A$1:$I$89,5,0)</f>
        <v>-1.0197709343628959E-13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323.17232038705157</v>
      </c>
      <c r="FK60" s="59">
        <f t="shared" si="48"/>
        <v>402.34685738619197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159.65457928986061</v>
      </c>
      <c r="FR60" s="21">
        <f>EXP(-LN(2)/25)*FR59+(1-EXP(-LN(2)/25))/(LN(2)/25)*Calculateur!FM60*Calculateur!FO60*VLOOKUP('Données projet'!$B$16,Paramètres!$A$1:$I$89,3,0)*0.475*44/12</f>
        <v>42.991910474419761</v>
      </c>
      <c r="FS60" s="21">
        <f>EXP(-LN(2)/2)*FS59+(1-EXP(-LN(2)/2))/(LN(2)/2)*FM60*FP60*VLOOKUP('Données projet'!$B$16,Paramètres!$A$1:$I$89,3,0)*0.475*44/12</f>
        <v>28.571618896799659</v>
      </c>
      <c r="FT60" s="22">
        <f t="shared" si="24"/>
        <v>231.21810866108004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9.5</v>
      </c>
      <c r="FZ60" s="12">
        <f>IF('Données projet'!$A$244&gt;35,FZ59+FY60-GH59,IF(A60&lt;'Données projet'!$A$244,$FW$205^A60,IF(A60='Données projet'!$A$244,'Données projet'!$B$244,FZ59+FY60-GH59)))</f>
        <v>268.5</v>
      </c>
      <c r="GA60" s="17">
        <f>FZ60*VLOOKUP('Données projet'!$B$17,Paramètres!$A$1:$I$89,3,0)*VLOOKUP('Données projet'!$B$17,Paramètres!$A$1:$I$89,5,0)</f>
        <v>217.80720000000002</v>
      </c>
      <c r="GB60" s="13">
        <f t="shared" si="49"/>
        <v>53.638013973813976</v>
      </c>
      <c r="GC60" s="20">
        <f t="shared" si="25"/>
        <v>472.76708100439265</v>
      </c>
      <c r="GD60" s="59">
        <f t="shared" si="26"/>
        <v>766.10041433772597</v>
      </c>
      <c r="GE60" s="59">
        <f ca="1">AVERAGE(OFFSET($GD$3,0,0,'Données projet'!$E$17+1,1))-AVERAGE(OFFSET($H$3,0,0,'Données projet'!$E$17+1,1))</f>
        <v>298.96480270023716</v>
      </c>
      <c r="GF60" s="59">
        <f t="shared" si="50"/>
        <v>293.11447542333889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21.192924647585439</v>
      </c>
      <c r="GM60" s="21">
        <f>EXP(-LN(2)/25)*GM59+(1-EXP(-LN(2)/25))/(LN(2)/25)*Calculateur!GH60*Calculateur!GJ60*VLOOKUP('Données projet'!$B$17,Paramètres!$A$1:$I$89,3,0)*0.475*44/12</f>
        <v>25.648012104372043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46.840936751957486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9.2076923076923052</v>
      </c>
      <c r="GU60" s="12">
        <f>IF('Données projet'!$A$270&gt;35,GU59+GT60-HC59,IF(A60&lt;'Données projet'!$A$270,$GR$205^A60,IF(A60='Données projet'!$A$270,'Données projet'!$B$270,GU59+GT60-HC59)))</f>
        <v>333.60769230769228</v>
      </c>
      <c r="GV60" s="17">
        <f>GU60*VLOOKUP('Données projet'!$B$18,Paramètres!$A$1:$I$89,3,0)*VLOOKUP('Données projet'!$B$18,Paramètres!$A$1:$I$89,5,0)</f>
        <v>190.8236</v>
      </c>
      <c r="GW60" s="13">
        <f t="shared" si="51"/>
        <v>47.721993254480594</v>
      </c>
      <c r="GX60" s="20">
        <f t="shared" si="28"/>
        <v>415.46690825155366</v>
      </c>
      <c r="GY60" s="59">
        <f t="shared" si="29"/>
        <v>708.80024158488698</v>
      </c>
      <c r="GZ60" s="59">
        <f ca="1">AVERAGE(OFFSET($GY$3,0,0,'Données projet'!$E$18+1,1))-AVERAGE(OFFSET($H$3,0,0,'Données projet'!$E$18+1,1))</f>
        <v>320.76883487964511</v>
      </c>
      <c r="HA60" s="59">
        <f t="shared" si="52"/>
        <v>290.51177680335746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27.404308937805872</v>
      </c>
      <c r="HH60" s="21">
        <f>EXP(-LN(2)/25)*HH59+(1-EXP(-LN(2)/25))/(LN(2)/25)*Calculateur!HC60*Calculateur!HE60*VLOOKUP('Données projet'!$B$18,Paramètres!$A$1:$I$89,3,0)*0.475*44/12</f>
        <v>12.083675416837266</v>
      </c>
      <c r="HI60" s="21">
        <f>EXP(-LN(2)/2)*HI59+(1-EXP(-LN(2)/2))/(LN(2)/2)*HC60*HF60*VLOOKUP('Données projet'!$B$18,Paramètres!$A$1:$I$89,3,0)*0.475*44/12</f>
        <v>0.35401093542016254</v>
      </c>
      <c r="HJ60" s="22">
        <f t="shared" si="30"/>
        <v>39.841995290063302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180.91531250000008</v>
      </c>
      <c r="AK61" s="13">
        <f t="shared" si="35"/>
        <v>45.525766180401902</v>
      </c>
      <c r="AL61" s="20">
        <f t="shared" si="4"/>
        <v>394.38487870170007</v>
      </c>
      <c r="AM61" s="59">
        <f t="shared" si="5"/>
        <v>687.71821203503339</v>
      </c>
      <c r="AN61" s="59">
        <f ca="1">AVERAGE(OFFSET($AM$3,0,0,'Données projet'!$E$10+1,1))-AVERAGE(OFFSET($H$3,0,0,'Données projet'!$E$10+1,1))</f>
        <v>425.47148407510412</v>
      </c>
      <c r="AO61" s="59">
        <f t="shared" si="36"/>
        <v>308.54448799922471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</v>
      </c>
      <c r="BD61" s="12">
        <f>IF('Données projet'!$A$88&gt;35,BD60+BC61-BL60,IF(A61&lt;'Données projet'!$A$88,$BA$205^A61,IF(A61='Données projet'!$A$88,'Données projet'!$B$88,BD60+BC61-BL60)))</f>
        <v>178.99999999999997</v>
      </c>
      <c r="BE61" s="13">
        <f>BD61*VLOOKUP('Données projet'!$B$11,Paramètres!$A$1:$I$89,3,0)*VLOOKUP('Données projet'!$B$11,Paramètres!$A$1:$I$89,5,0)</f>
        <v>156.37440000000001</v>
      </c>
      <c r="BF61" s="13">
        <f t="shared" si="37"/>
        <v>40.023663524293205</v>
      </c>
      <c r="BG61" s="20">
        <f t="shared" si="7"/>
        <v>342.05996063814399</v>
      </c>
      <c r="BH61" s="59">
        <f t="shared" si="8"/>
        <v>635.39329397147731</v>
      </c>
      <c r="BI61" s="59">
        <f ca="1">AVERAGE(OFFSET($BH$3,0,0,'Données projet'!$E$11+1,1))-AVERAGE(OFFSET($H$3,0,0,'Données projet'!$E$11+1,1))</f>
        <v>300.63505444445104</v>
      </c>
      <c r="BJ61" s="59">
        <f t="shared" si="38"/>
        <v>266.32508105927997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2.6609366360954589</v>
      </c>
      <c r="BQ61" s="21">
        <f>EXP(-LN(2)/25)*BQ60+(1-EXP(-LN(2)/25))/(LN(2)/25)*Calculateur!BL61*Calculateur!BN61*VLOOKUP('Données projet'!$B$11,Paramètres!$A$1:$I$89,3,0)*0.475*44/12</f>
        <v>10.821835041435655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13.482771677531113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6.3942307692307701</v>
      </c>
      <c r="BY61" s="12">
        <f>IF('Données projet'!$A$114&gt;35,BY60+BX61-CG60,IF(A61&lt;'Données projet'!$A$114,$BV$205^A61,IF(A61='Données projet'!$A$114,'Données projet'!$B$114,BY60+BX61-CG60)))</f>
        <v>152.86217948717947</v>
      </c>
      <c r="BZ61" s="13">
        <f>BY61*VLOOKUP('Données projet'!$B$12,Paramètres!$A$1:$I$89,3,0)*VLOOKUP('Données projet'!$B$12,Paramètres!$A$1:$I$89,5,0)</f>
        <v>145.46365</v>
      </c>
      <c r="CA61" s="13">
        <f t="shared" si="39"/>
        <v>37.545848557386066</v>
      </c>
      <c r="CB61" s="20">
        <f t="shared" si="10"/>
        <v>318.74154332078069</v>
      </c>
      <c r="CC61" s="59">
        <f t="shared" si="11"/>
        <v>612.07487665411395</v>
      </c>
      <c r="CD61" s="59">
        <f ca="1">AVERAGE(OFFSET($CC$3,0,0,'Données projet'!$E$12+1,1))-AVERAGE(OFFSET($H$3,0,0,'Données projet'!$E$12+1,1))</f>
        <v>361.26385625423757</v>
      </c>
      <c r="CE61" s="59">
        <f t="shared" si="40"/>
        <v>222.05197404028576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247.00000000000017</v>
      </c>
      <c r="CU61" s="17">
        <f>CT61*VLOOKUP('Données projet'!$B$13,Paramètres!$A$1:$I$89,3,0)*VLOOKUP('Données projet'!$B$13,Paramètres!$A$1:$I$89,5,0)</f>
        <v>223.48560000000012</v>
      </c>
      <c r="CV61" s="13">
        <f t="shared" si="41"/>
        <v>54.87176918107798</v>
      </c>
      <c r="CW61" s="20">
        <f t="shared" si="13"/>
        <v>484.80575132371092</v>
      </c>
      <c r="CX61" s="59">
        <f t="shared" si="14"/>
        <v>778.13908465704424</v>
      </c>
      <c r="CY61" s="59">
        <f ca="1">AVERAGE(OFFSET($CX$3,0,0,'Données projet'!$E$13+1,1))-AVERAGE(OFFSET($H$3,0,0,'Données projet'!$E$13+1,1))</f>
        <v>302.6937347295995</v>
      </c>
      <c r="CZ61" s="59">
        <f t="shared" si="42"/>
        <v>423.44006663873375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0.34793736875905062</v>
      </c>
      <c r="DG61" s="21">
        <f>EXP(-LN(2)/25)*DG60+(1-EXP(-LN(2)/25))/(LN(2)/25)*Calculateur!DB61*Calculateur!DD61*VLOOKUP('Données projet'!$B$13,Paramètres!$A$1:$I$89,3,0)*0.475*44/12</f>
        <v>1.9734471037485604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2.3213844725076109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6.3942307692307701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147.84829999999999</v>
      </c>
      <c r="DQ61" s="13">
        <f t="shared" si="43"/>
        <v>38.08919364795495</v>
      </c>
      <c r="DR61" s="20">
        <f t="shared" si="16"/>
        <v>323.84113477018821</v>
      </c>
      <c r="DS61" s="59">
        <f t="shared" si="17"/>
        <v>617.17446810352158</v>
      </c>
      <c r="DT61" s="59">
        <f ca="1">AVERAGE(OFFSET($DS$3,0,0,'Données projet'!$E$14+1,1))-AVERAGE(OFFSET($H$3,0,0,'Données projet'!$E$14+1,1))</f>
        <v>366.51581861366333</v>
      </c>
      <c r="DU61" s="59">
        <f t="shared" si="44"/>
        <v>225.01415116995503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9.5</v>
      </c>
      <c r="EJ61" s="12">
        <f>IF('Données projet'!$A$192&gt;35,EJ60+EI61-ER60,IF(A61&lt;'Données projet'!$A$192,$EG$205^A61,IF(A61='Données projet'!$A$192,'Données projet'!$B$192,EJ60+EI61-ER60)))</f>
        <v>278</v>
      </c>
      <c r="EK61" s="17">
        <f>EJ61*VLOOKUP('Données projet'!$B$15,Paramètres!$A$1:$I$89,3,0)*VLOOKUP('Données projet'!$B$15,Paramètres!$A$1:$I$89,5,0)</f>
        <v>216.84</v>
      </c>
      <c r="EL61" s="13">
        <f t="shared" si="45"/>
        <v>53.427498092567944</v>
      </c>
      <c r="EM61" s="20">
        <f t="shared" si="19"/>
        <v>470.71589251122253</v>
      </c>
      <c r="EN61" s="59">
        <f t="shared" si="20"/>
        <v>764.04922584455585</v>
      </c>
      <c r="EO61" s="59">
        <f ca="1">AVERAGE(OFFSET($EN$3,0,0,'Données projet'!$E$15+1,1))-AVERAGE(OFFSET($H$3,0,0,'Données projet'!$E$15+1,1))</f>
        <v>288.80569134263209</v>
      </c>
      <c r="EP61" s="59">
        <f t="shared" si="46"/>
        <v>283.48738729114024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16.208741034671988</v>
      </c>
      <c r="EW61" s="21">
        <f>EXP(-LN(2)/25)*EW60+(1-EXP(-LN(2)/25))/(LN(2)/25)*Calculateur!ER61*Calculateur!ET61*VLOOKUP('Données projet'!$B$15,Paramètres!$A$1:$I$89,3,0)*0.475*44/12</f>
        <v>19.461295939370991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35.670036974042979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-1.7053025658242404E-13</v>
      </c>
      <c r="FF61" s="17">
        <f>FE61*VLOOKUP('Données projet'!$B$16,Paramètres!$A$1:$I$89,3,0)*VLOOKUP('Données projet'!$B$16,Paramètres!$A$1:$I$89,5,0)</f>
        <v>-1.0197709343628959E-13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323.17232038705157</v>
      </c>
      <c r="FK61" s="59">
        <f t="shared" si="48"/>
        <v>402.34685738619197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156.52385036966436</v>
      </c>
      <c r="FR61" s="21">
        <f>EXP(-LN(2)/25)*FR60+(1-EXP(-LN(2)/25))/(LN(2)/25)*Calculateur!FM61*Calculateur!FO61*VLOOKUP('Données projet'!$B$16,Paramètres!$A$1:$I$89,3,0)*0.475*44/12</f>
        <v>41.81629442165044</v>
      </c>
      <c r="FS61" s="21">
        <f>EXP(-LN(2)/2)*FS60+(1-EXP(-LN(2)/2))/(LN(2)/2)*FM61*FP61*VLOOKUP('Données projet'!$B$16,Paramètres!$A$1:$I$89,3,0)*0.475*44/12</f>
        <v>20.203185471404744</v>
      </c>
      <c r="FT61" s="22">
        <f t="shared" si="24"/>
        <v>218.54333026271954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9.5</v>
      </c>
      <c r="FZ61" s="12">
        <f>IF('Données projet'!$A$244&gt;35,FZ60+FY61-GH60,IF(A61&lt;'Données projet'!$A$244,$FW$205^A61,IF(A61='Données projet'!$A$244,'Données projet'!$B$244,FZ60+FY61-GH60)))</f>
        <v>278</v>
      </c>
      <c r="GA61" s="17">
        <f>FZ61*VLOOKUP('Données projet'!$B$17,Paramètres!$A$1:$I$89,3,0)*VLOOKUP('Données projet'!$B$17,Paramètres!$A$1:$I$89,5,0)</f>
        <v>225.51360000000003</v>
      </c>
      <c r="GB61" s="13">
        <f t="shared" si="49"/>
        <v>55.311507611662641</v>
      </c>
      <c r="GC61" s="20">
        <f t="shared" si="25"/>
        <v>489.10372909031236</v>
      </c>
      <c r="GD61" s="59">
        <f t="shared" si="26"/>
        <v>782.43706242364567</v>
      </c>
      <c r="GE61" s="59">
        <f ca="1">AVERAGE(OFFSET($GD$3,0,0,'Données projet'!$E$17+1,1))-AVERAGE(OFFSET($H$3,0,0,'Données projet'!$E$17+1,1))</f>
        <v>298.96480270023716</v>
      </c>
      <c r="GF61" s="59">
        <f t="shared" si="50"/>
        <v>293.11447542333889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20.777344321653946</v>
      </c>
      <c r="GM61" s="21">
        <f>EXP(-LN(2)/25)*GM60+(1-EXP(-LN(2)/25))/(LN(2)/25)*Calculateur!GH61*Calculateur!GJ61*VLOOKUP('Données projet'!$B$17,Paramètres!$A$1:$I$89,3,0)*0.475*44/12</f>
        <v>24.946665864607652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45.724010186261594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>
        <f>VLOOKUP(A61,'Données projet'!$A$269:$I$289,2,0)</f>
        <v>342.81538461538463</v>
      </c>
      <c r="GS61" s="12">
        <f>VLOOKUP(A61,'Données projet'!$A$269:$I$289,9,0)</f>
        <v>9.2076923076923052</v>
      </c>
      <c r="GT61" s="12">
        <f t="array" ref="GT61">INDEX(GS:GS,MIN(IF(ISNUMBER(GS61:GS257),ROW(GS61:GS257),"")))</f>
        <v>9.2076923076923052</v>
      </c>
      <c r="GU61" s="12">
        <f>IF('Données projet'!$A$270&gt;35,GU60+GT61-HC60,IF(A61&lt;'Données projet'!$A$270,$GR$205^A61,IF(A61='Données projet'!$A$270,'Données projet'!$B$270,GU60+GT61-HC60)))</f>
        <v>342.81538461538457</v>
      </c>
      <c r="GV61" s="17">
        <f>GU61*VLOOKUP('Données projet'!$B$18,Paramètres!$A$1:$I$89,3,0)*VLOOKUP('Données projet'!$B$18,Paramètres!$A$1:$I$89,5,0)</f>
        <v>196.09039999999996</v>
      </c>
      <c r="GW61" s="13">
        <f t="shared" si="51"/>
        <v>48.883971272111502</v>
      </c>
      <c r="GX61" s="20">
        <f t="shared" si="28"/>
        <v>426.66369663226078</v>
      </c>
      <c r="GY61" s="59">
        <f t="shared" si="29"/>
        <v>719.99702996559404</v>
      </c>
      <c r="GZ61" s="59">
        <f ca="1">AVERAGE(OFFSET($GY$3,0,0,'Données projet'!$E$18+1,1))-AVERAGE(OFFSET($H$3,0,0,'Données projet'!$E$18+1,1))</f>
        <v>320.76883487964511</v>
      </c>
      <c r="HA61" s="59">
        <f t="shared" si="52"/>
        <v>290.51177680335746</v>
      </c>
      <c r="HB61" s="15">
        <f>IF(ISNA(VLOOKUP(A61,'Données projet'!$A$269:$I$289,3,0)),0,VLOOKUP(A61,'Données projet'!$A$269:$I$289,3,0))</f>
        <v>7</v>
      </c>
      <c r="HC61" s="15">
        <f>IF(ISNA(VLOOKUP(A61,'Données projet'!$A$269:$I$289,4,0)),0,VLOOKUP(A61,'Données projet'!$A$269:$I$289,4,0))</f>
        <v>45.669230769230765</v>
      </c>
      <c r="HD61" s="16">
        <f>IF(ISNA(VLOOKUP(A61,'Données projet'!$A$269:$I$289,5,0)),0%,VLOOKUP(A61,'Données projet'!$A$269:$I$289,5,0)*VLOOKUP('Données projet'!$B$18,Paramètres!$A$1:$I$89,7,0))</f>
        <v>0.315</v>
      </c>
      <c r="HE61" s="16">
        <f>IF(ISNA(VLOOKUP(A61,'Données projet'!$A$269:$I$289,6,0)),0%,VLOOKUP(A61,'Données projet'!$A$269:$I$289,6,0)*VLOOKUP('Données projet'!$B$18,Paramètres!$A$1:$I$89,7,0))</f>
        <v>7.6500000000000012E-2</v>
      </c>
      <c r="HF61" s="16">
        <f>IF(ISNA(VLOOKUP(A61,'Données projet'!$A$269:$I$289,7,0)),0%,VLOOKUP(A61,'Données projet'!$A$269:$I$289,7,0))</f>
        <v>0.13</v>
      </c>
      <c r="HG61" s="21">
        <f>EXP(-LN(2)/35)*HG60+(1-EXP(-LN(2)/35))/(LN(2)/35)*HC61*HD61*VLOOKUP('Données projet'!$B$18,Paramètres!$A$1:$I$89,3,0)*0.475*44/12</f>
        <v>37.78280421082863</v>
      </c>
      <c r="HH61" s="21">
        <f>EXP(-LN(2)/25)*HH60+(1-EXP(-LN(2)/25))/(LN(2)/25)*Calculateur!HC61*Calculateur!HE61*VLOOKUP('Données projet'!$B$18,Paramètres!$A$1:$I$89,3,0)*0.475*44/12</f>
        <v>14.393807398742069</v>
      </c>
      <c r="HI61" s="21">
        <f>EXP(-LN(2)/2)*HI60+(1-EXP(-LN(2)/2))/(LN(2)/2)*HC61*HF61*VLOOKUP('Données projet'!$B$18,Paramètres!$A$1:$I$89,3,0)*0.475*44/12</f>
        <v>4.095343655086956</v>
      </c>
      <c r="HJ61" s="22">
        <f t="shared" si="30"/>
        <v>56.271955264657656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189.40675000000007</v>
      </c>
      <c r="AK62" s="13">
        <f t="shared" si="35"/>
        <v>47.408769837095797</v>
      </c>
      <c r="AL62" s="20">
        <f t="shared" si="4"/>
        <v>412.45369704960859</v>
      </c>
      <c r="AM62" s="59">
        <f t="shared" si="5"/>
        <v>705.78703038294191</v>
      </c>
      <c r="AN62" s="59">
        <f ca="1">AVERAGE(OFFSET($AM$3,0,0,'Données projet'!$E$10+1,1))-AVERAGE(OFFSET($H$3,0,0,'Données projet'!$E$10+1,1))</f>
        <v>425.47148407510412</v>
      </c>
      <c r="AO62" s="59">
        <f t="shared" si="36"/>
        <v>308.54448799922471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</v>
      </c>
      <c r="BD62" s="12">
        <f>IF('Données projet'!$A$88&gt;35,BD61+BC62-BL61,IF(A62&lt;'Données projet'!$A$88,$BA$205^A62,IF(A62='Données projet'!$A$88,'Données projet'!$B$88,BD61+BC62-BL61)))</f>
        <v>183.99999999999997</v>
      </c>
      <c r="BE62" s="13">
        <f>BD62*VLOOKUP('Données projet'!$B$11,Paramètres!$A$1:$I$89,3,0)*VLOOKUP('Données projet'!$B$11,Paramètres!$A$1:$I$89,5,0)</f>
        <v>160.7424</v>
      </c>
      <c r="BF62" s="13">
        <f t="shared" si="37"/>
        <v>41.009920657227809</v>
      </c>
      <c r="BG62" s="20">
        <f t="shared" si="7"/>
        <v>351.38529181133845</v>
      </c>
      <c r="BH62" s="59">
        <f t="shared" si="8"/>
        <v>644.71862514467171</v>
      </c>
      <c r="BI62" s="59">
        <f ca="1">AVERAGE(OFFSET($BH$3,0,0,'Données projet'!$E$11+1,1))-AVERAGE(OFFSET($H$3,0,0,'Données projet'!$E$11+1,1))</f>
        <v>300.63505444445104</v>
      </c>
      <c r="BJ62" s="59">
        <f t="shared" si="38"/>
        <v>266.32508105927997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2.608757291672716</v>
      </c>
      <c r="BQ62" s="21">
        <f>EXP(-LN(2)/25)*BQ61+(1-EXP(-LN(2)/25))/(LN(2)/25)*Calculateur!BL62*Calculateur!BN62*VLOOKUP('Données projet'!$B$11,Paramètres!$A$1:$I$89,3,0)*0.475*44/12</f>
        <v>10.525911393132025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13.13466868480474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159.25641025641025</v>
      </c>
      <c r="BW62" s="12">
        <f>VLOOKUP(A62,'Données projet'!$A$113:$I$133,9,0)</f>
        <v>6.3942307692307701</v>
      </c>
      <c r="BX62" s="12">
        <f t="array" ref="BX62">INDEX(BW:BW,MIN(IF(ISNUMBER(BW62:BW258),ROW(BW62:BW258),"")))</f>
        <v>6.3942307692307701</v>
      </c>
      <c r="BY62" s="12">
        <f>IF('Données projet'!$A$114&gt;35,BY61+BX62-CG61,IF(A62&lt;'Données projet'!$A$114,$BV$205^A62,IF(A62='Données projet'!$A$114,'Données projet'!$B$114,BY61+BX62-CG61)))</f>
        <v>159.25641025641025</v>
      </c>
      <c r="BZ62" s="13">
        <f>BY62*VLOOKUP('Données projet'!$B$12,Paramètres!$A$1:$I$89,3,0)*VLOOKUP('Données projet'!$B$12,Paramètres!$A$1:$I$89,5,0)</f>
        <v>151.54839999999999</v>
      </c>
      <c r="CA62" s="13">
        <f t="shared" si="39"/>
        <v>38.930254482891996</v>
      </c>
      <c r="CB62" s="20">
        <f t="shared" si="10"/>
        <v>331.75032322437022</v>
      </c>
      <c r="CC62" s="59">
        <f t="shared" si="11"/>
        <v>625.08365655770353</v>
      </c>
      <c r="CD62" s="59">
        <f ca="1">AVERAGE(OFFSET($CC$3,0,0,'Données projet'!$E$12+1,1))-AVERAGE(OFFSET($H$3,0,0,'Données projet'!$E$12+1,1))</f>
        <v>361.26385625423757</v>
      </c>
      <c r="CE62" s="59">
        <f t="shared" si="40"/>
        <v>222.05197404028576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38.942307692307693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247.00000000000017</v>
      </c>
      <c r="CU62" s="17">
        <f>CT62*VLOOKUP('Données projet'!$B$13,Paramètres!$A$1:$I$89,3,0)*VLOOKUP('Données projet'!$B$13,Paramètres!$A$1:$I$89,5,0)</f>
        <v>223.48560000000012</v>
      </c>
      <c r="CV62" s="13">
        <f t="shared" si="41"/>
        <v>54.87176918107798</v>
      </c>
      <c r="CW62" s="20">
        <f t="shared" si="13"/>
        <v>484.80575132371092</v>
      </c>
      <c r="CX62" s="59">
        <f t="shared" si="14"/>
        <v>778.13908465704424</v>
      </c>
      <c r="CY62" s="59">
        <f ca="1">AVERAGE(OFFSET($CX$3,0,0,'Données projet'!$E$13+1,1))-AVERAGE(OFFSET($H$3,0,0,'Données projet'!$E$13+1,1))</f>
        <v>302.6937347295995</v>
      </c>
      <c r="CZ62" s="59">
        <f t="shared" si="42"/>
        <v>423.44006663873375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0.34111452917852553</v>
      </c>
      <c r="DG62" s="21">
        <f>EXP(-LN(2)/25)*DG61+(1-EXP(-LN(2)/25))/(LN(2)/25)*Calculateur!DB62*Calculateur!DD62*VLOOKUP('Données projet'!$B$13,Paramètres!$A$1:$I$89,3,0)*0.475*44/12</f>
        <v>1.9194830889174832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2.2605976180960088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6.3942307692307701</v>
      </c>
      <c r="DN62" s="12">
        <f t="array" ref="DN62">INDEX(DM:DM,MIN(IF(ISNUMBER(DM62:DM258),ROW(DM62:DM258),"")))</f>
        <v>6.3942307692307701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154.03280000000001</v>
      </c>
      <c r="DQ62" s="13">
        <f t="shared" si="43"/>
        <v>39.493634016465371</v>
      </c>
      <c r="DR62" s="20">
        <f t="shared" si="16"/>
        <v>337.05853924534387</v>
      </c>
      <c r="DS62" s="59">
        <f t="shared" si="17"/>
        <v>630.39187257867718</v>
      </c>
      <c r="DT62" s="59">
        <f ca="1">AVERAGE(OFFSET($DS$3,0,0,'Données projet'!$E$14+1,1))-AVERAGE(OFFSET($H$3,0,0,'Données projet'!$E$14+1,1))</f>
        <v>366.51581861366333</v>
      </c>
      <c r="DU62" s="59">
        <f t="shared" si="44"/>
        <v>225.01415116995503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9.5</v>
      </c>
      <c r="EJ62" s="12">
        <f>IF('Données projet'!$A$192&gt;35,EJ61+EI62-ER61,IF(A62&lt;'Données projet'!$A$192,$EG$205^A62,IF(A62='Données projet'!$A$192,'Données projet'!$B$192,EJ61+EI62-ER61)))</f>
        <v>287.5</v>
      </c>
      <c r="EK62" s="17">
        <f>EJ62*VLOOKUP('Données projet'!$B$15,Paramètres!$A$1:$I$89,3,0)*VLOOKUP('Données projet'!$B$15,Paramètres!$A$1:$I$89,5,0)</f>
        <v>224.25</v>
      </c>
      <c r="EL62" s="13">
        <f t="shared" si="45"/>
        <v>55.037571061589858</v>
      </c>
      <c r="EM62" s="20">
        <f t="shared" si="19"/>
        <v>486.42585293226904</v>
      </c>
      <c r="EN62" s="59">
        <f t="shared" si="20"/>
        <v>779.75918626560235</v>
      </c>
      <c r="EO62" s="59">
        <f ca="1">AVERAGE(OFFSET($EN$3,0,0,'Données projet'!$E$15+1,1))-AVERAGE(OFFSET($H$3,0,0,'Données projet'!$E$15+1,1))</f>
        <v>288.80569134263209</v>
      </c>
      <c r="EP62" s="59">
        <f t="shared" si="46"/>
        <v>283.48738729114024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15.890897509337904</v>
      </c>
      <c r="EW62" s="21">
        <f>EXP(-LN(2)/25)*EW61+(1-EXP(-LN(2)/25))/(LN(2)/25)*Calculateur!ER62*Calculateur!ET62*VLOOKUP('Données projet'!$B$15,Paramètres!$A$1:$I$89,3,0)*0.475*44/12</f>
        <v>18.929125778483819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34.820023287821726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-1.7053025658242404E-13</v>
      </c>
      <c r="FF62" s="17">
        <f>FE62*VLOOKUP('Données projet'!$B$16,Paramètres!$A$1:$I$89,3,0)*VLOOKUP('Données projet'!$B$16,Paramètres!$A$1:$I$89,5,0)</f>
        <v>-1.0197709343628959E-13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323.17232038705157</v>
      </c>
      <c r="FK62" s="59">
        <f t="shared" si="48"/>
        <v>402.34685738619197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153.45451313403709</v>
      </c>
      <c r="FR62" s="21">
        <f>EXP(-LN(2)/25)*FR61+(1-EXP(-LN(2)/25))/(LN(2)/25)*Calculateur!FM62*Calculateur!FO62*VLOOKUP('Données projet'!$B$16,Paramètres!$A$1:$I$89,3,0)*0.475*44/12</f>
        <v>40.672825651667054</v>
      </c>
      <c r="FS62" s="21">
        <f>EXP(-LN(2)/2)*FS61+(1-EXP(-LN(2)/2))/(LN(2)/2)*FM62*FP62*VLOOKUP('Données projet'!$B$16,Paramètres!$A$1:$I$89,3,0)*0.475*44/12</f>
        <v>14.285809448399831</v>
      </c>
      <c r="FT62" s="22">
        <f t="shared" si="24"/>
        <v>208.41314823410397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9.5</v>
      </c>
      <c r="FZ62" s="12">
        <f>IF('Données projet'!$A$244&gt;35,FZ61+FY62-GH61,IF(A62&lt;'Données projet'!$A$244,$FW$205^A62,IF(A62='Données projet'!$A$244,'Données projet'!$B$244,FZ61+FY62-GH61)))</f>
        <v>287.5</v>
      </c>
      <c r="GA62" s="17">
        <f>FZ62*VLOOKUP('Données projet'!$B$17,Paramètres!$A$1:$I$89,3,0)*VLOOKUP('Données projet'!$B$17,Paramètres!$A$1:$I$89,5,0)</f>
        <v>233.22</v>
      </c>
      <c r="GB62" s="13">
        <f t="shared" si="49"/>
        <v>56.978356452817273</v>
      </c>
      <c r="GC62" s="20">
        <f t="shared" si="25"/>
        <v>505.42880415532341</v>
      </c>
      <c r="GD62" s="59">
        <f t="shared" si="26"/>
        <v>798.76213748865666</v>
      </c>
      <c r="GE62" s="59">
        <f ca="1">AVERAGE(OFFSET($GD$3,0,0,'Données projet'!$E$17+1,1))-AVERAGE(OFFSET($H$3,0,0,'Données projet'!$E$17+1,1))</f>
        <v>298.96480270023716</v>
      </c>
      <c r="GF62" s="59">
        <f t="shared" si="50"/>
        <v>293.11447542333889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20.369913272434999</v>
      </c>
      <c r="GM62" s="21">
        <f>EXP(-LN(2)/25)*GM61+(1-EXP(-LN(2)/25))/(LN(2)/25)*Calculateur!GH62*Calculateur!GJ62*VLOOKUP('Données projet'!$B$17,Paramètres!$A$1:$I$89,3,0)*0.475*44/12</f>
        <v>24.264497974651814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44.634411247086817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8.0507692307692249</v>
      </c>
      <c r="GU62" s="12">
        <f>IF('Données projet'!$A$270&gt;35,GU61+GT62-HC61,IF(A62&lt;'Données projet'!$A$270,$GR$205^A62,IF(A62='Données projet'!$A$270,'Données projet'!$B$270,GU61+GT62-HC61)))</f>
        <v>305.19692307692304</v>
      </c>
      <c r="GV62" s="17">
        <f>GU62*VLOOKUP('Données projet'!$B$18,Paramètres!$A$1:$I$89,3,0)*VLOOKUP('Données projet'!$B$18,Paramètres!$A$1:$I$89,5,0)</f>
        <v>174.57263999999998</v>
      </c>
      <c r="GW62" s="13">
        <f t="shared" si="51"/>
        <v>44.112555441999305</v>
      </c>
      <c r="GX62" s="20">
        <f t="shared" si="28"/>
        <v>380.87671539481539</v>
      </c>
      <c r="GY62" s="59">
        <f t="shared" si="29"/>
        <v>674.21004872814865</v>
      </c>
      <c r="GZ62" s="59">
        <f ca="1">AVERAGE(OFFSET($GY$3,0,0,'Données projet'!$E$18+1,1))-AVERAGE(OFFSET($H$3,0,0,'Données projet'!$E$18+1,1))</f>
        <v>320.76883487964511</v>
      </c>
      <c r="HA62" s="59">
        <f t="shared" si="52"/>
        <v>290.51177680335746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37.041906465489319</v>
      </c>
      <c r="HH62" s="21">
        <f>EXP(-LN(2)/25)*HH61+(1-EXP(-LN(2)/25))/(LN(2)/25)*Calculateur!HC62*Calculateur!HE62*VLOOKUP('Données projet'!$B$18,Paramètres!$A$1:$I$89,3,0)*0.475*44/12</f>
        <v>14.000207978486033</v>
      </c>
      <c r="HI62" s="21">
        <f>EXP(-LN(2)/2)*HI61+(1-EXP(-LN(2)/2))/(LN(2)/2)*HC62*HF62*VLOOKUP('Données projet'!$B$18,Paramètres!$A$1:$I$89,3,0)*0.475*44/12</f>
        <v>2.895845269801288</v>
      </c>
      <c r="HJ62" s="22">
        <f t="shared" si="30"/>
        <v>53.937959713776635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197.89818750000012</v>
      </c>
      <c r="AK63" s="13">
        <f t="shared" si="35"/>
        <v>49.281969322616803</v>
      </c>
      <c r="AL63" s="20">
        <f t="shared" si="4"/>
        <v>430.50543979939113</v>
      </c>
      <c r="AM63" s="59">
        <f t="shared" si="5"/>
        <v>723.83877313272444</v>
      </c>
      <c r="AN63" s="59">
        <f ca="1">AVERAGE(OFFSET($AM$3,0,0,'Données projet'!$E$10+1,1))-AVERAGE(OFFSET($H$3,0,0,'Données projet'!$E$10+1,1))</f>
        <v>425.47148407510412</v>
      </c>
      <c r="AO63" s="59">
        <f t="shared" si="36"/>
        <v>308.54448799922471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189</v>
      </c>
      <c r="BB63" s="12">
        <f>VLOOKUP(A63,'Données projet'!$A$87:$I$107,9,0)</f>
        <v>5</v>
      </c>
      <c r="BC63" s="12">
        <f t="array" ref="BC63">INDEX(BB:BB,MIN(IF(ISNUMBER(BB63:BB259),ROW(BB63:BB259),"")))</f>
        <v>5</v>
      </c>
      <c r="BD63" s="12">
        <f>IF('Données projet'!$A$88&gt;35,BD62+BC63-BL62,IF(A63&lt;'Données projet'!$A$88,$BA$205^A63,IF(A63='Données projet'!$A$88,'Données projet'!$B$88,BD62+BC63-BL62)))</f>
        <v>188.99999999999997</v>
      </c>
      <c r="BE63" s="13">
        <f>BD63*VLOOKUP('Données projet'!$B$11,Paramètres!$A$1:$I$89,3,0)*VLOOKUP('Données projet'!$B$11,Paramètres!$A$1:$I$89,5,0)</f>
        <v>165.1104</v>
      </c>
      <c r="BF63" s="13">
        <f t="shared" si="37"/>
        <v>41.993062739333446</v>
      </c>
      <c r="BG63" s="20">
        <f t="shared" si="7"/>
        <v>360.70519760433905</v>
      </c>
      <c r="BH63" s="59">
        <f t="shared" si="8"/>
        <v>654.03853093767236</v>
      </c>
      <c r="BI63" s="59">
        <f ca="1">AVERAGE(OFFSET($BH$3,0,0,'Données projet'!$E$11+1,1))-AVERAGE(OFFSET($H$3,0,0,'Données projet'!$E$11+1,1))</f>
        <v>300.63505444445104</v>
      </c>
      <c r="BJ63" s="59">
        <f t="shared" si="38"/>
        <v>266.32508105927997</v>
      </c>
      <c r="BK63" s="15">
        <f>IF(ISNA(VLOOKUP(A63,'Données projet'!$A$87:$I$107,3,0)),0,VLOOKUP(A63,'Données projet'!$A$87:$I$107,3,0))</f>
        <v>9</v>
      </c>
      <c r="BL63" s="15" t="str">
        <f>IF(ISNA(VLOOKUP(A63,'Données projet'!$A$87:$I$107,4,0)),0,VLOOKUP(A63,'Données projet'!$A$87:$I$107,4,0))</f>
        <v>16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5.2153146700049255</v>
      </c>
      <c r="BQ63" s="21">
        <f>EXP(-LN(2)/25)*BQ62+(1-EXP(-LN(2)/25))/(LN(2)/25)*Calculateur!BL63*Calculateur!BN63*VLOOKUP('Données projet'!$B$11,Paramètres!$A$1:$I$89,3,0)*0.475*44/12</f>
        <v>12.885328879403108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18.100643549408034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5.9431089743589762</v>
      </c>
      <c r="BY63" s="12">
        <f>IF('Données projet'!$A$114&gt;35,BY62+BX63-CG62,IF(A63&lt;'Données projet'!$A$114,$BV$205^A63,IF(A63='Données projet'!$A$114,'Données projet'!$B$114,BY62+BX63-CG62)))</f>
        <v>126.25721153846153</v>
      </c>
      <c r="BZ63" s="13">
        <f>BY63*VLOOKUP('Données projet'!$B$12,Paramètres!$A$1:$I$89,3,0)*VLOOKUP('Données projet'!$B$12,Paramètres!$A$1:$I$89,5,0)</f>
        <v>120.1463625</v>
      </c>
      <c r="CA63" s="13">
        <f t="shared" si="39"/>
        <v>31.709133521584306</v>
      </c>
      <c r="CB63" s="20">
        <f t="shared" si="10"/>
        <v>264.48165557092597</v>
      </c>
      <c r="CC63" s="59">
        <f t="shared" si="11"/>
        <v>557.81498890425928</v>
      </c>
      <c r="CD63" s="59">
        <f ca="1">AVERAGE(OFFSET($CC$3,0,0,'Données projet'!$E$12+1,1))-AVERAGE(OFFSET($H$3,0,0,'Données projet'!$E$12+1,1))</f>
        <v>361.26385625423757</v>
      </c>
      <c r="CE63" s="59">
        <f t="shared" si="40"/>
        <v>222.05197404028576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247.00000000000017</v>
      </c>
      <c r="CU63" s="17">
        <f>CT63*VLOOKUP('Données projet'!$B$13,Paramètres!$A$1:$I$89,3,0)*VLOOKUP('Données projet'!$B$13,Paramètres!$A$1:$I$89,5,0)</f>
        <v>223.48560000000012</v>
      </c>
      <c r="CV63" s="13">
        <f t="shared" si="41"/>
        <v>54.87176918107798</v>
      </c>
      <c r="CW63" s="20">
        <f t="shared" si="13"/>
        <v>484.80575132371092</v>
      </c>
      <c r="CX63" s="59">
        <f t="shared" si="14"/>
        <v>778.13908465704424</v>
      </c>
      <c r="CY63" s="59">
        <f ca="1">AVERAGE(OFFSET($CX$3,0,0,'Données projet'!$E$13+1,1))-AVERAGE(OFFSET($H$3,0,0,'Données projet'!$E$13+1,1))</f>
        <v>302.6937347295995</v>
      </c>
      <c r="CZ63" s="59">
        <f t="shared" si="42"/>
        <v>423.44006663873375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0.33442548132065331</v>
      </c>
      <c r="DG63" s="21">
        <f>EXP(-LN(2)/25)*DG62+(1-EXP(-LN(2)/25))/(LN(2)/25)*Calculateur!DB63*Calculateur!DD63*VLOOKUP('Données projet'!$B$13,Paramètres!$A$1:$I$89,3,0)*0.475*44/12</f>
        <v>1.8669947229098061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2.2014202042304594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122.11597499999999</v>
      </c>
      <c r="DQ63" s="13">
        <f t="shared" si="43"/>
        <v>32.168012537164756</v>
      </c>
      <c r="DR63" s="20">
        <f t="shared" si="16"/>
        <v>268.7112782938953</v>
      </c>
      <c r="DS63" s="59">
        <f t="shared" si="17"/>
        <v>562.04461162722862</v>
      </c>
      <c r="DT63" s="59">
        <f ca="1">AVERAGE(OFFSET($DS$3,0,0,'Données projet'!$E$14+1,1))-AVERAGE(OFFSET($H$3,0,0,'Données projet'!$E$14+1,1))</f>
        <v>366.51581861366333</v>
      </c>
      <c r="DU63" s="59">
        <f t="shared" si="44"/>
        <v>225.01415116995503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9.5</v>
      </c>
      <c r="EI63" s="12">
        <f t="array" ref="EI63">INDEX(EH:EH,MIN(IF(ISNUMBER(EH63:EH259),ROW(EH63:EH259),"")))</f>
        <v>9.5</v>
      </c>
      <c r="EJ63" s="12">
        <f>IF('Données projet'!$A$192&gt;35,EJ62+EI63-ER62,IF(A63&lt;'Données projet'!$A$192,$EG$205^A63,IF(A63='Données projet'!$A$192,'Données projet'!$B$192,EJ62+EI63-ER62)))</f>
        <v>297</v>
      </c>
      <c r="EK63" s="17">
        <f>EJ63*VLOOKUP('Données projet'!$B$15,Paramètres!$A$1:$I$89,3,0)*VLOOKUP('Données projet'!$B$15,Paramètres!$A$1:$I$89,5,0)</f>
        <v>231.66</v>
      </c>
      <c r="EL63" s="13">
        <f t="shared" si="45"/>
        <v>56.641461975682766</v>
      </c>
      <c r="EM63" s="20">
        <f t="shared" si="19"/>
        <v>502.12504627431412</v>
      </c>
      <c r="EN63" s="59">
        <f t="shared" si="20"/>
        <v>795.45837960764743</v>
      </c>
      <c r="EO63" s="59">
        <f ca="1">AVERAGE(OFFSET($EN$3,0,0,'Données projet'!$E$15+1,1))-AVERAGE(OFFSET($H$3,0,0,'Données projet'!$E$15+1,1))</f>
        <v>288.80569134263209</v>
      </c>
      <c r="EP63" s="59">
        <f t="shared" si="46"/>
        <v>283.48738729114024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0.17200000000000001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24.292493686110973</v>
      </c>
      <c r="EW63" s="21">
        <f>EXP(-LN(2)/25)*EW62+(1-EXP(-LN(2)/25))/(LN(2)/25)*Calculateur!ER63*Calculateur!ET63*VLOOKUP('Données projet'!$B$15,Paramètres!$A$1:$I$89,3,0)*0.475*44/12</f>
        <v>25.354627653472416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49.647121339583393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-1.7053025658242404E-13</v>
      </c>
      <c r="FF63" s="17">
        <f>FE63*VLOOKUP('Données projet'!$B$16,Paramètres!$A$1:$I$89,3,0)*VLOOKUP('Données projet'!$B$16,Paramètres!$A$1:$I$89,5,0)</f>
        <v>-1.0197709343628959E-13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323.17232038705157</v>
      </c>
      <c r="FK63" s="59">
        <f t="shared" si="48"/>
        <v>402.34685738619197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150.4453637294896</v>
      </c>
      <c r="FR63" s="21">
        <f>EXP(-LN(2)/25)*FR62+(1-EXP(-LN(2)/25))/(LN(2)/25)*Calculateur!FM63*Calculateur!FO63*VLOOKUP('Données projet'!$B$16,Paramètres!$A$1:$I$89,3,0)*0.475*44/12</f>
        <v>39.560625095331275</v>
      </c>
      <c r="FS63" s="21">
        <f>EXP(-LN(2)/2)*FS62+(1-EXP(-LN(2)/2))/(LN(2)/2)*FM63*FP63*VLOOKUP('Données projet'!$B$16,Paramètres!$A$1:$I$89,3,0)*0.475*44/12</f>
        <v>10.101592735702374</v>
      </c>
      <c r="FT63" s="22">
        <f t="shared" si="24"/>
        <v>200.10758156052324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297</v>
      </c>
      <c r="FX63" s="12">
        <f>VLOOKUP(A63,'Données projet'!$A$243:$I$263,9,0)</f>
        <v>9.5</v>
      </c>
      <c r="FY63" s="12">
        <f t="array" ref="FY63">INDEX(FX:FX,MIN(IF(ISNUMBER(FX63:FX259),ROW(FX63:FX259),"")))</f>
        <v>9.5</v>
      </c>
      <c r="FZ63" s="12">
        <f>IF('Données projet'!$A$244&gt;35,FZ62+FY63-GH62,IF(A63&lt;'Données projet'!$A$244,$FW$205^A63,IF(A63='Données projet'!$A$244,'Données projet'!$B$244,FZ62+FY63-GH62)))</f>
        <v>297</v>
      </c>
      <c r="GA63" s="17">
        <f>FZ63*VLOOKUP('Données projet'!$B$17,Paramètres!$A$1:$I$89,3,0)*VLOOKUP('Données projet'!$B$17,Paramètres!$A$1:$I$89,5,0)</f>
        <v>240.9264</v>
      </c>
      <c r="GB63" s="13">
        <f t="shared" si="49"/>
        <v>58.638805241742823</v>
      </c>
      <c r="GC63" s="20">
        <f t="shared" si="25"/>
        <v>521.74273246270207</v>
      </c>
      <c r="GD63" s="59">
        <f t="shared" si="26"/>
        <v>815.07606579603544</v>
      </c>
      <c r="GE63" s="59">
        <f ca="1">AVERAGE(OFFSET($GD$3,0,0,'Données projet'!$E$17+1,1))-AVERAGE(OFFSET($H$3,0,0,'Données projet'!$E$17+1,1))</f>
        <v>298.96480270023716</v>
      </c>
      <c r="GF63" s="59">
        <f t="shared" si="50"/>
        <v>293.11447542333889</v>
      </c>
      <c r="GG63" s="15">
        <f>IF(ISNA(VLOOKUP(A63,'Données projet'!$A$243:$I$263,3,0)),0,VLOOKUP(A63,'Données projet'!$A$243:$I$263,3,0))</f>
        <v>8</v>
      </c>
      <c r="GH63" s="15">
        <f>IF(ISNA(VLOOKUP(A63,'Données projet'!$A$243:$I$263,4,0)),0,VLOOKUP(A63,'Données projet'!$A$243:$I$263,4,0))</f>
        <v>47</v>
      </c>
      <c r="GI63" s="16">
        <f>IF(ISNA(VLOOKUP(A63,'Données projet'!$A$243:$I$263,5,0)),0%,VLOOKUP(A63,'Données projet'!$A$243:$I$263,5,0)*VLOOKUP('Données projet'!$B$17,Paramètres!$A$1:$I$89,7,0))</f>
        <v>0.26500000000000001</v>
      </c>
      <c r="GJ63" s="16">
        <f>IF(ISNA(VLOOKUP(A63,'Données projet'!$A$243:$I$263,6,0)),0%,VLOOKUP(A63,'Données projet'!$A$243:$I$263,6,0)*VLOOKUP('Données projet'!$B$17,Paramètres!$A$1:$I$89,7,0))</f>
        <v>0.21200000000000002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31.139587255312478</v>
      </c>
      <c r="GM63" s="21">
        <f>EXP(-LN(2)/25)*GM62+(1-EXP(-LN(2)/25))/(LN(2)/25)*Calculateur!GH63*Calculateur!GJ63*VLOOKUP('Données projet'!$B$17,Paramètres!$A$1:$I$89,3,0)*0.475*44/12</f>
        <v>32.501094796730222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63.640682052042699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8.0507692307692249</v>
      </c>
      <c r="GU63" s="12">
        <f>IF('Données projet'!$A$270&gt;35,GU62+GT63-HC62,IF(A63&lt;'Données projet'!$A$270,$GR$205^A63,IF(A63='Données projet'!$A$270,'Données projet'!$B$270,GU62+GT63-HC62)))</f>
        <v>313.24769230769226</v>
      </c>
      <c r="GV63" s="17">
        <f>GU63*VLOOKUP('Données projet'!$B$18,Paramètres!$A$1:$I$89,3,0)*VLOOKUP('Données projet'!$B$18,Paramètres!$A$1:$I$89,5,0)</f>
        <v>179.17767999999998</v>
      </c>
      <c r="GW63" s="13">
        <f t="shared" si="51"/>
        <v>45.139186390353657</v>
      </c>
      <c r="GX63" s="20">
        <f t="shared" si="28"/>
        <v>390.68520896319927</v>
      </c>
      <c r="GY63" s="59">
        <f t="shared" si="29"/>
        <v>684.01854229653259</v>
      </c>
      <c r="GZ63" s="59">
        <f ca="1">AVERAGE(OFFSET($GY$3,0,0,'Données projet'!$E$18+1,1))-AVERAGE(OFFSET($H$3,0,0,'Données projet'!$E$18+1,1))</f>
        <v>320.76883487964511</v>
      </c>
      <c r="HA63" s="59">
        <f t="shared" si="52"/>
        <v>290.51177680335746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36.315537273033108</v>
      </c>
      <c r="HH63" s="21">
        <f>EXP(-LN(2)/25)*HH62+(1-EXP(-LN(2)/25))/(LN(2)/25)*Calculateur!HC63*Calculateur!HE63*VLOOKUP('Données projet'!$B$18,Paramètres!$A$1:$I$89,3,0)*0.475*44/12</f>
        <v>13.617371555075392</v>
      </c>
      <c r="HI63" s="21">
        <f>EXP(-LN(2)/2)*HI62+(1-EXP(-LN(2)/2))/(LN(2)/2)*HC63*HF63*VLOOKUP('Données projet'!$B$18,Paramètres!$A$1:$I$89,3,0)*0.475*44/12</f>
        <v>2.047671827543478</v>
      </c>
      <c r="HJ63" s="22">
        <f t="shared" si="30"/>
        <v>51.980580655651977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206.38962500000014</v>
      </c>
      <c r="AK64" s="13">
        <f t="shared" si="35"/>
        <v>51.145833405091373</v>
      </c>
      <c r="AL64" s="20">
        <f t="shared" si="4"/>
        <v>448.54092338886767</v>
      </c>
      <c r="AM64" s="59">
        <f t="shared" si="5"/>
        <v>741.87425672220093</v>
      </c>
      <c r="AN64" s="59">
        <f ca="1">AVERAGE(OFFSET($AM$3,0,0,'Données projet'!$E$10+1,1))-AVERAGE(OFFSET($H$3,0,0,'Données projet'!$E$10+1,1))</f>
        <v>425.47148407510412</v>
      </c>
      <c r="AO64" s="59">
        <f t="shared" si="36"/>
        <v>308.54448799922471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177.39999999999998</v>
      </c>
      <c r="BE64" s="13">
        <f>BD64*VLOOKUP('Données projet'!$B$11,Paramètres!$A$1:$I$89,3,0)*VLOOKUP('Données projet'!$B$11,Paramètres!$A$1:$I$89,5,0)</f>
        <v>154.97664</v>
      </c>
      <c r="BF64" s="13">
        <f t="shared" si="37"/>
        <v>39.707387607123913</v>
      </c>
      <c r="BG64" s="20">
        <f t="shared" si="7"/>
        <v>339.07468141574077</v>
      </c>
      <c r="BH64" s="59">
        <f t="shared" si="8"/>
        <v>632.40801474907403</v>
      </c>
      <c r="BI64" s="59">
        <f ca="1">AVERAGE(OFFSET($BH$3,0,0,'Données projet'!$E$11+1,1))-AVERAGE(OFFSET($H$3,0,0,'Données projet'!$E$11+1,1))</f>
        <v>300.63505444445104</v>
      </c>
      <c r="BJ64" s="59">
        <f t="shared" si="38"/>
        <v>266.32508105927997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5.1130455303539772</v>
      </c>
      <c r="BQ64" s="21">
        <f>EXP(-LN(2)/25)*BQ63+(1-EXP(-LN(2)/25))/(LN(2)/25)*Calculateur!BL64*Calculateur!BN64*VLOOKUP('Données projet'!$B$11,Paramètres!$A$1:$I$89,3,0)*0.475*44/12</f>
        <v>12.532978883585834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17.646024413939813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5.9431089743589762</v>
      </c>
      <c r="BY64" s="12">
        <f>IF('Données projet'!$A$114&gt;35,BY63+BX64-CG63,IF(A64&lt;'Données projet'!$A$114,$BV$205^A64,IF(A64='Données projet'!$A$114,'Données projet'!$B$114,BY63+BX64-CG63)))</f>
        <v>132.2003205128205</v>
      </c>
      <c r="BZ64" s="13">
        <f>BY64*VLOOKUP('Données projet'!$B$12,Paramètres!$A$1:$I$89,3,0)*VLOOKUP('Données projet'!$B$12,Paramètres!$A$1:$I$89,5,0)</f>
        <v>125.80182499999999</v>
      </c>
      <c r="CA64" s="13">
        <f t="shared" si="39"/>
        <v>33.024438811399982</v>
      </c>
      <c r="CB64" s="20">
        <f t="shared" si="10"/>
        <v>276.62240947152162</v>
      </c>
      <c r="CC64" s="59">
        <f t="shared" si="11"/>
        <v>569.95574280485494</v>
      </c>
      <c r="CD64" s="59">
        <f ca="1">AVERAGE(OFFSET($CC$3,0,0,'Données projet'!$E$12+1,1))-AVERAGE(OFFSET($H$3,0,0,'Données projet'!$E$12+1,1))</f>
        <v>361.26385625423757</v>
      </c>
      <c r="CE64" s="59">
        <f t="shared" si="40"/>
        <v>222.05197404028576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247.00000000000017</v>
      </c>
      <c r="CU64" s="17">
        <f>CT64*VLOOKUP('Données projet'!$B$13,Paramètres!$A$1:$I$89,3,0)*VLOOKUP('Données projet'!$B$13,Paramètres!$A$1:$I$89,5,0)</f>
        <v>223.48560000000012</v>
      </c>
      <c r="CV64" s="13">
        <f t="shared" si="41"/>
        <v>54.87176918107798</v>
      </c>
      <c r="CW64" s="20">
        <f t="shared" si="13"/>
        <v>484.80575132371092</v>
      </c>
      <c r="CX64" s="59">
        <f t="shared" si="14"/>
        <v>778.13908465704424</v>
      </c>
      <c r="CY64" s="59">
        <f ca="1">AVERAGE(OFFSET($CX$3,0,0,'Données projet'!$E$13+1,1))-AVERAGE(OFFSET($H$3,0,0,'Données projet'!$E$13+1,1))</f>
        <v>302.6937347295995</v>
      </c>
      <c r="CZ64" s="59">
        <f t="shared" si="42"/>
        <v>423.44006663873375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0.32786760161135758</v>
      </c>
      <c r="DG64" s="21">
        <f>EXP(-LN(2)/25)*DG63+(1-EXP(-LN(2)/25))/(LN(2)/25)*Calculateur!DB64*Calculateur!DD64*VLOOKUP('Données projet'!$B$13,Paramètres!$A$1:$I$89,3,0)*0.475*44/12</f>
        <v>1.8159416540308519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2.1438092556422097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127.86414999999998</v>
      </c>
      <c r="DQ64" s="13">
        <f t="shared" si="43"/>
        <v>33.502352279503945</v>
      </c>
      <c r="DR64" s="20">
        <f t="shared" si="16"/>
        <v>281.04665813680271</v>
      </c>
      <c r="DS64" s="59">
        <f t="shared" si="17"/>
        <v>574.37999147013602</v>
      </c>
      <c r="DT64" s="59">
        <f ca="1">AVERAGE(OFFSET($DS$3,0,0,'Données projet'!$E$14+1,1))-AVERAGE(OFFSET($H$3,0,0,'Données projet'!$E$14+1,1))</f>
        <v>366.51581861366333</v>
      </c>
      <c r="DU64" s="59">
        <f t="shared" si="44"/>
        <v>225.01415116995503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258.66666666666669</v>
      </c>
      <c r="EK64" s="17">
        <f>EJ64*VLOOKUP('Données projet'!$B$15,Paramètres!$A$1:$I$89,3,0)*VLOOKUP('Données projet'!$B$15,Paramètres!$A$1:$I$89,5,0)</f>
        <v>201.76000000000002</v>
      </c>
      <c r="EL64" s="13">
        <f t="shared" si="45"/>
        <v>50.130765000424212</v>
      </c>
      <c r="EM64" s="20">
        <f t="shared" si="19"/>
        <v>438.70974904240552</v>
      </c>
      <c r="EN64" s="59">
        <f t="shared" si="20"/>
        <v>732.04308237573878</v>
      </c>
      <c r="EO64" s="59">
        <f ca="1">AVERAGE(OFFSET($EN$3,0,0,'Données projet'!$E$15+1,1))-AVERAGE(OFFSET($H$3,0,0,'Données projet'!$E$15+1,1))</f>
        <v>288.80569134263209</v>
      </c>
      <c r="EP64" s="59">
        <f t="shared" si="46"/>
        <v>283.48738729114024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23.816132701884431</v>
      </c>
      <c r="EW64" s="21">
        <f>EXP(-LN(2)/25)*EW63+(1-EXP(-LN(2)/25))/(LN(2)/25)*Calculateur!ER64*Calculateur!ET64*VLOOKUP('Données projet'!$B$15,Paramètres!$A$1:$I$89,3,0)*0.475*44/12</f>
        <v>24.661304026946294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48.477436728830725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-1.7053025658242404E-13</v>
      </c>
      <c r="FF64" s="17">
        <f>FE64*VLOOKUP('Données projet'!$B$16,Paramètres!$A$1:$I$89,3,0)*VLOOKUP('Données projet'!$B$16,Paramètres!$A$1:$I$89,5,0)</f>
        <v>-1.0197709343628959E-13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323.17232038705157</v>
      </c>
      <c r="FK64" s="59">
        <f t="shared" si="48"/>
        <v>402.34685738619197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147.49522190936537</v>
      </c>
      <c r="FR64" s="21">
        <f>EXP(-LN(2)/25)*FR63+(1-EXP(-LN(2)/25))/(LN(2)/25)*Calculateur!FM64*Calculateur!FO64*VLOOKUP('Données projet'!$B$16,Paramètres!$A$1:$I$89,3,0)*0.475*44/12</f>
        <v>38.478837721696586</v>
      </c>
      <c r="FS64" s="21">
        <f>EXP(-LN(2)/2)*FS63+(1-EXP(-LN(2)/2))/(LN(2)/2)*FM64*FP64*VLOOKUP('Données projet'!$B$16,Paramètres!$A$1:$I$89,3,0)*0.475*44/12</f>
        <v>7.1429047241999166</v>
      </c>
      <c r="FT64" s="22">
        <f t="shared" si="24"/>
        <v>193.11696435526187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8.6666666666666661</v>
      </c>
      <c r="FZ64" s="12">
        <f>IF('Données projet'!$A$244&gt;35,FZ63+FY64-GH63,IF(A64&lt;'Données projet'!$A$244,$FW$205^A64,IF(A64='Données projet'!$A$244,'Données projet'!$B$244,FZ63+FY64-GH63)))</f>
        <v>258.66666666666669</v>
      </c>
      <c r="GA64" s="17">
        <f>FZ64*VLOOKUP('Données projet'!$B$17,Paramètres!$A$1:$I$89,3,0)*VLOOKUP('Données projet'!$B$17,Paramètres!$A$1:$I$89,5,0)</f>
        <v>209.83040000000005</v>
      </c>
      <c r="GB64" s="13">
        <f t="shared" si="49"/>
        <v>51.898522088668571</v>
      </c>
      <c r="GC64" s="20">
        <f t="shared" si="25"/>
        <v>455.84453930443124</v>
      </c>
      <c r="GD64" s="59">
        <f t="shared" si="26"/>
        <v>749.17787263776449</v>
      </c>
      <c r="GE64" s="59">
        <f ca="1">AVERAGE(OFFSET($GD$3,0,0,'Données projet'!$E$17+1,1))-AVERAGE(OFFSET($H$3,0,0,'Données projet'!$E$17+1,1))</f>
        <v>298.96480270023716</v>
      </c>
      <c r="GF64" s="59">
        <f t="shared" si="50"/>
        <v>293.11447542333889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30.528958942508595</v>
      </c>
      <c r="GM64" s="21">
        <f>EXP(-LN(2)/25)*GM63+(1-EXP(-LN(2)/25))/(LN(2)/25)*Calculateur!GH64*Calculateur!GJ64*VLOOKUP('Données projet'!$B$17,Paramètres!$A$1:$I$89,3,0)*0.475*44/12</f>
        <v>31.612350650355342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62.141309592863934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8.0507692307692249</v>
      </c>
      <c r="GU64" s="12">
        <f>IF('Données projet'!$A$270&gt;35,GU63+GT64-HC63,IF(A64&lt;'Données projet'!$A$270,$GR$205^A64,IF(A64='Données projet'!$A$270,'Données projet'!$B$270,GU63+GT64-HC63)))</f>
        <v>321.29846153846148</v>
      </c>
      <c r="GV64" s="17">
        <f>GU64*VLOOKUP('Données projet'!$B$18,Paramètres!$A$1:$I$89,3,0)*VLOOKUP('Données projet'!$B$18,Paramètres!$A$1:$I$89,5,0)</f>
        <v>183.78271999999998</v>
      </c>
      <c r="GW64" s="13">
        <f t="shared" si="51"/>
        <v>46.162750309543931</v>
      </c>
      <c r="GX64" s="20">
        <f t="shared" si="28"/>
        <v>400.48836078912228</v>
      </c>
      <c r="GY64" s="59">
        <f t="shared" si="29"/>
        <v>693.8216941224556</v>
      </c>
      <c r="GZ64" s="59">
        <f ca="1">AVERAGE(OFFSET($GY$3,0,0,'Données projet'!$E$18+1,1))-AVERAGE(OFFSET($H$3,0,0,'Données projet'!$E$18+1,1))</f>
        <v>320.76883487964511</v>
      </c>
      <c r="HA64" s="59">
        <f t="shared" si="52"/>
        <v>290.51177680335746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35.603411737399504</v>
      </c>
      <c r="HH64" s="21">
        <f>EXP(-LN(2)/25)*HH63+(1-EXP(-LN(2)/25))/(LN(2)/25)*Calculateur!HC64*Calculateur!HE64*VLOOKUP('Données projet'!$B$18,Paramètres!$A$1:$I$89,3,0)*0.475*44/12</f>
        <v>13.245003813795408</v>
      </c>
      <c r="HI64" s="21">
        <f>EXP(-LN(2)/2)*HI63+(1-EXP(-LN(2)/2))/(LN(2)/2)*HC64*HF64*VLOOKUP('Données projet'!$B$18,Paramètres!$A$1:$I$89,3,0)*0.475*44/12</f>
        <v>1.447922634900644</v>
      </c>
      <c r="HJ64" s="22">
        <f t="shared" si="30"/>
        <v>50.296338186095554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214.88106250000013</v>
      </c>
      <c r="AK65" s="13">
        <f t="shared" si="35"/>
        <v>53.000790097212402</v>
      </c>
      <c r="AL65" s="20">
        <f t="shared" si="4"/>
        <v>466.56089327347848</v>
      </c>
      <c r="AM65" s="59">
        <f t="shared" si="5"/>
        <v>759.8942266068118</v>
      </c>
      <c r="AN65" s="59">
        <f ca="1">AVERAGE(OFFSET($AM$3,0,0,'Données projet'!$E$10+1,1))-AVERAGE(OFFSET($H$3,0,0,'Données projet'!$E$10+1,1))</f>
        <v>425.47148407510412</v>
      </c>
      <c r="AO65" s="59">
        <f t="shared" si="36"/>
        <v>308.54448799922471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181.79999999999998</v>
      </c>
      <c r="BE65" s="13">
        <f>BD65*VLOOKUP('Données projet'!$B$11,Paramètres!$A$1:$I$89,3,0)*VLOOKUP('Données projet'!$B$11,Paramètres!$A$1:$I$89,5,0)</f>
        <v>158.82048</v>
      </c>
      <c r="BF65" s="13">
        <f t="shared" si="37"/>
        <v>40.57635691759311</v>
      </c>
      <c r="BG65" s="20">
        <f t="shared" si="7"/>
        <v>347.28282429814129</v>
      </c>
      <c r="BH65" s="59">
        <f t="shared" si="8"/>
        <v>640.61615763147461</v>
      </c>
      <c r="BI65" s="59">
        <f ca="1">AVERAGE(OFFSET($BH$3,0,0,'Données projet'!$E$11+1,1))-AVERAGE(OFFSET($H$3,0,0,'Données projet'!$E$11+1,1))</f>
        <v>300.63505444445104</v>
      </c>
      <c r="BJ65" s="59">
        <f t="shared" si="38"/>
        <v>266.32508105927997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5.0127818261535682</v>
      </c>
      <c r="BQ65" s="21">
        <f>EXP(-LN(2)/25)*BQ64+(1-EXP(-LN(2)/25))/(LN(2)/25)*Calculateur!BL65*Calculateur!BN65*VLOOKUP('Données projet'!$B$11,Paramètres!$A$1:$I$89,3,0)*0.475*44/12</f>
        <v>12.190263916933464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17.203045743087031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5.9431089743589762</v>
      </c>
      <c r="BY65" s="12">
        <f>IF('Données projet'!$A$114&gt;35,BY64+BX65-CG64,IF(A65&lt;'Données projet'!$A$114,$BV$205^A65,IF(A65='Données projet'!$A$114,'Données projet'!$B$114,BY64+BX65-CG64)))</f>
        <v>138.14342948717947</v>
      </c>
      <c r="BZ65" s="13">
        <f>BY65*VLOOKUP('Données projet'!$B$12,Paramètres!$A$1:$I$89,3,0)*VLOOKUP('Données projet'!$B$12,Paramètres!$A$1:$I$89,5,0)</f>
        <v>131.45728750000001</v>
      </c>
      <c r="CA65" s="13">
        <f t="shared" si="39"/>
        <v>34.332876905330316</v>
      </c>
      <c r="CB65" s="20">
        <f t="shared" si="10"/>
        <v>288.75120300595034</v>
      </c>
      <c r="CC65" s="59">
        <f t="shared" si="11"/>
        <v>582.08453633928366</v>
      </c>
      <c r="CD65" s="59">
        <f ca="1">AVERAGE(OFFSET($CC$3,0,0,'Données projet'!$E$12+1,1))-AVERAGE(OFFSET($H$3,0,0,'Données projet'!$E$12+1,1))</f>
        <v>361.26385625423757</v>
      </c>
      <c r="CE65" s="59">
        <f t="shared" si="40"/>
        <v>222.05197404028576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247.00000000000017</v>
      </c>
      <c r="CU65" s="17">
        <f>CT65*VLOOKUP('Données projet'!$B$13,Paramètres!$A$1:$I$89,3,0)*VLOOKUP('Données projet'!$B$13,Paramètres!$A$1:$I$89,5,0)</f>
        <v>223.48560000000012</v>
      </c>
      <c r="CV65" s="13">
        <f t="shared" si="41"/>
        <v>54.87176918107798</v>
      </c>
      <c r="CW65" s="20">
        <f t="shared" si="13"/>
        <v>484.80575132371092</v>
      </c>
      <c r="CX65" s="59">
        <f t="shared" si="14"/>
        <v>778.13908465704424</v>
      </c>
      <c r="CY65" s="59">
        <f ca="1">AVERAGE(OFFSET($CX$3,0,0,'Données projet'!$E$13+1,1))-AVERAGE(OFFSET($H$3,0,0,'Données projet'!$E$13+1,1))</f>
        <v>302.6937347295995</v>
      </c>
      <c r="CZ65" s="59">
        <f t="shared" si="42"/>
        <v>423.44006663873375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0.32143831792324951</v>
      </c>
      <c r="DG65" s="21">
        <f>EXP(-LN(2)/25)*DG64+(1-EXP(-LN(2)/25))/(LN(2)/25)*Calculateur!DB65*Calculateur!DD65*VLOOKUP('Données projet'!$B$13,Paramètres!$A$1:$I$89,3,0)*0.475*44/12</f>
        <v>1.766284634005157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2.0877229519284066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133.612325</v>
      </c>
      <c r="DQ65" s="13">
        <f t="shared" si="43"/>
        <v>34.829725447269773</v>
      </c>
      <c r="DR65" s="20">
        <f t="shared" si="16"/>
        <v>293.36990452899482</v>
      </c>
      <c r="DS65" s="59">
        <f t="shared" si="17"/>
        <v>586.70323786232814</v>
      </c>
      <c r="DT65" s="59">
        <f ca="1">AVERAGE(OFFSET($DS$3,0,0,'Données projet'!$E$14+1,1))-AVERAGE(OFFSET($H$3,0,0,'Données projet'!$E$14+1,1))</f>
        <v>366.51581861366333</v>
      </c>
      <c r="DU65" s="59">
        <f t="shared" si="44"/>
        <v>225.01415116995503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267.33333333333337</v>
      </c>
      <c r="EK65" s="17">
        <f>EJ65*VLOOKUP('Données projet'!$B$15,Paramètres!$A$1:$I$89,3,0)*VLOOKUP('Données projet'!$B$15,Paramètres!$A$1:$I$89,5,0)</f>
        <v>208.52000000000004</v>
      </c>
      <c r="EL65" s="13">
        <f t="shared" si="45"/>
        <v>51.612035456318509</v>
      </c>
      <c r="EM65" s="20">
        <f t="shared" si="19"/>
        <v>453.06329508642142</v>
      </c>
      <c r="EN65" s="59">
        <f t="shared" si="20"/>
        <v>746.39662841975473</v>
      </c>
      <c r="EO65" s="59">
        <f ca="1">AVERAGE(OFFSET($EN$3,0,0,'Données projet'!$E$15+1,1))-AVERAGE(OFFSET($H$3,0,0,'Données projet'!$E$15+1,1))</f>
        <v>288.80569134263209</v>
      </c>
      <c r="EP65" s="59">
        <f t="shared" si="46"/>
        <v>283.48738729114024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23.349112866007061</v>
      </c>
      <c r="EW65" s="21">
        <f>EXP(-LN(2)/25)*EW64+(1-EXP(-LN(2)/25))/(LN(2)/25)*Calculateur!ER65*Calculateur!ET65*VLOOKUP('Données projet'!$B$15,Paramètres!$A$1:$I$89,3,0)*0.475*44/12</f>
        <v>23.986939371447832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47.336052237454894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-1.7053025658242404E-13</v>
      </c>
      <c r="FF65" s="17">
        <f>FE65*VLOOKUP('Données projet'!$B$16,Paramètres!$A$1:$I$89,3,0)*VLOOKUP('Données projet'!$B$16,Paramètres!$A$1:$I$89,5,0)</f>
        <v>-1.0197709343628959E-13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323.17232038705157</v>
      </c>
      <c r="FK65" s="59">
        <f t="shared" si="48"/>
        <v>402.34685738619197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144.60293057092494</v>
      </c>
      <c r="FR65" s="21">
        <f>EXP(-LN(2)/25)*FR64+(1-EXP(-LN(2)/25))/(LN(2)/25)*Calculateur!FM65*Calculateur!FO65*VLOOKUP('Données projet'!$B$16,Paramètres!$A$1:$I$89,3,0)*0.475*44/12</f>
        <v>37.426631880682663</v>
      </c>
      <c r="FS65" s="21">
        <f>EXP(-LN(2)/2)*FS64+(1-EXP(-LN(2)/2))/(LN(2)/2)*FM65*FP65*VLOOKUP('Données projet'!$B$16,Paramètres!$A$1:$I$89,3,0)*0.475*44/12</f>
        <v>5.0507963678511878</v>
      </c>
      <c r="FT65" s="22">
        <f t="shared" si="24"/>
        <v>187.08035881945878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8.6666666666666661</v>
      </c>
      <c r="FZ65" s="12">
        <f>IF('Données projet'!$A$244&gt;35,FZ64+FY65-GH64,IF(A65&lt;'Données projet'!$A$244,$FW$205^A65,IF(A65='Données projet'!$A$244,'Données projet'!$B$244,FZ64+FY65-GH64)))</f>
        <v>267.33333333333337</v>
      </c>
      <c r="GA65" s="17">
        <f>FZ65*VLOOKUP('Données projet'!$B$17,Paramètres!$A$1:$I$89,3,0)*VLOOKUP('Données projet'!$B$17,Paramètres!$A$1:$I$89,5,0)</f>
        <v>216.86080000000004</v>
      </c>
      <c r="GB65" s="13">
        <f t="shared" si="49"/>
        <v>53.432026464152749</v>
      </c>
      <c r="GC65" s="20">
        <f t="shared" si="25"/>
        <v>470.76000609173275</v>
      </c>
      <c r="GD65" s="59">
        <f t="shared" si="26"/>
        <v>764.09333942506601</v>
      </c>
      <c r="GE65" s="59">
        <f ca="1">AVERAGE(OFFSET($GD$3,0,0,'Données projet'!$E$17+1,1))-AVERAGE(OFFSET($H$3,0,0,'Données projet'!$E$17+1,1))</f>
        <v>298.96480270023716</v>
      </c>
      <c r="GF65" s="59">
        <f t="shared" si="50"/>
        <v>293.11447542333889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29.930304678472304</v>
      </c>
      <c r="GM65" s="21">
        <f>EXP(-LN(2)/25)*GM64+(1-EXP(-LN(2)/25))/(LN(2)/25)*Calculateur!GH65*Calculateur!GJ65*VLOOKUP('Données projet'!$B$17,Paramètres!$A$1:$I$89,3,0)*0.475*44/12</f>
        <v>30.747909259400107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60.678213937872414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8.0507692307692249</v>
      </c>
      <c r="GU65" s="12">
        <f>IF('Données projet'!$A$270&gt;35,GU64+GT65-HC64,IF(A65&lt;'Données projet'!$A$270,$GR$205^A65,IF(A65='Données projet'!$A$270,'Données projet'!$B$270,GU64+GT65-HC64)))</f>
        <v>329.3492307692307</v>
      </c>
      <c r="GV65" s="17">
        <f>GU65*VLOOKUP('Données projet'!$B$18,Paramètres!$A$1:$I$89,3,0)*VLOOKUP('Données projet'!$B$18,Paramètres!$A$1:$I$89,5,0)</f>
        <v>188.38775999999996</v>
      </c>
      <c r="GW65" s="13">
        <f t="shared" si="51"/>
        <v>47.183332888600908</v>
      </c>
      <c r="GX65" s="20">
        <f t="shared" si="28"/>
        <v>410.28632011431318</v>
      </c>
      <c r="GY65" s="59">
        <f t="shared" si="29"/>
        <v>703.61965344764644</v>
      </c>
      <c r="GZ65" s="59">
        <f ca="1">AVERAGE(OFFSET($GY$3,0,0,'Données projet'!$E$18+1,1))-AVERAGE(OFFSET($H$3,0,0,'Données projet'!$E$18+1,1))</f>
        <v>320.76883487964511</v>
      </c>
      <c r="HA65" s="59">
        <f t="shared" si="52"/>
        <v>290.51177680335746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34.905250549165991</v>
      </c>
      <c r="HH65" s="21">
        <f>EXP(-LN(2)/25)*HH64+(1-EXP(-LN(2)/25))/(LN(2)/25)*Calculateur!HC65*Calculateur!HE65*VLOOKUP('Données projet'!$B$18,Paramètres!$A$1:$I$89,3,0)*0.475*44/12</f>
        <v>12.882818487982695</v>
      </c>
      <c r="HI65" s="21">
        <f>EXP(-LN(2)/2)*HI64+(1-EXP(-LN(2)/2))/(LN(2)/2)*HC65*HF65*VLOOKUP('Données projet'!$B$18,Paramètres!$A$1:$I$89,3,0)*0.475*44/12</f>
        <v>1.023835913771739</v>
      </c>
      <c r="HJ65" s="22">
        <f t="shared" si="30"/>
        <v>48.811904950920429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223.37250000000014</v>
      </c>
      <c r="AK66" s="13">
        <f t="shared" si="35"/>
        <v>54.84723166915564</v>
      </c>
      <c r="AL66" s="20">
        <f t="shared" si="4"/>
        <v>484.566032657113</v>
      </c>
      <c r="AM66" s="59">
        <f t="shared" si="5"/>
        <v>777.89936599044631</v>
      </c>
      <c r="AN66" s="59">
        <f ca="1">AVERAGE(OFFSET($AM$3,0,0,'Données projet'!$E$10+1,1))-AVERAGE(OFFSET($H$3,0,0,'Données projet'!$E$10+1,1))</f>
        <v>425.47148407510412</v>
      </c>
      <c r="AO66" s="59">
        <f t="shared" si="36"/>
        <v>308.54448799922471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14.078008859293417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14.078008859293417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186.2</v>
      </c>
      <c r="BE66" s="13">
        <f>BD66*VLOOKUP('Données projet'!$B$11,Paramètres!$A$1:$I$89,3,0)*VLOOKUP('Données projet'!$B$11,Paramètres!$A$1:$I$89,5,0)</f>
        <v>162.66432</v>
      </c>
      <c r="BF66" s="13">
        <f t="shared" si="37"/>
        <v>41.442881393745317</v>
      </c>
      <c r="BG66" s="20">
        <f t="shared" si="7"/>
        <v>355.4867090941064</v>
      </c>
      <c r="BH66" s="59">
        <f t="shared" si="8"/>
        <v>648.82004242743972</v>
      </c>
      <c r="BI66" s="59">
        <f ca="1">AVERAGE(OFFSET($BH$3,0,0,'Données projet'!$E$11+1,1))-AVERAGE(OFFSET($H$3,0,0,'Données projet'!$E$11+1,1))</f>
        <v>300.63505444445104</v>
      </c>
      <c r="BJ66" s="59">
        <f t="shared" si="38"/>
        <v>266.32508105927997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4.914484232037708</v>
      </c>
      <c r="BQ66" s="21">
        <f>EXP(-LN(2)/25)*BQ65+(1-EXP(-LN(2)/25))/(LN(2)/25)*Calculateur!BL66*Calculateur!BN66*VLOOKUP('Données projet'!$B$11,Paramètres!$A$1:$I$89,3,0)*0.475*44/12</f>
        <v>11.8569205090668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16.771404741104508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5.9431089743589762</v>
      </c>
      <c r="BY66" s="12">
        <f>IF('Données projet'!$A$114&gt;35,BY65+BX66-CG65,IF(A66&lt;'Données projet'!$A$114,$BV$205^A66,IF(A66='Données projet'!$A$114,'Données projet'!$B$114,BY65+BX66-CG65)))</f>
        <v>144.08653846153845</v>
      </c>
      <c r="BZ66" s="13">
        <f>BY66*VLOOKUP('Données projet'!$B$12,Paramètres!$A$1:$I$89,3,0)*VLOOKUP('Données projet'!$B$12,Paramètres!$A$1:$I$89,5,0)</f>
        <v>137.11275000000001</v>
      </c>
      <c r="CA66" s="13">
        <f t="shared" si="39"/>
        <v>35.634777010540766</v>
      </c>
      <c r="CB66" s="20">
        <f t="shared" si="10"/>
        <v>300.86860954335856</v>
      </c>
      <c r="CC66" s="59">
        <f t="shared" si="11"/>
        <v>594.20194287669187</v>
      </c>
      <c r="CD66" s="59">
        <f ca="1">AVERAGE(OFFSET($CC$3,0,0,'Données projet'!$E$12+1,1))-AVERAGE(OFFSET($H$3,0,0,'Données projet'!$E$12+1,1))</f>
        <v>361.26385625423757</v>
      </c>
      <c r="CE66" s="59">
        <f t="shared" si="40"/>
        <v>222.05197404028576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247.00000000000017</v>
      </c>
      <c r="CU66" s="17">
        <f>CT66*VLOOKUP('Données projet'!$B$13,Paramètres!$A$1:$I$89,3,0)*VLOOKUP('Données projet'!$B$13,Paramètres!$A$1:$I$89,5,0)</f>
        <v>223.48560000000012</v>
      </c>
      <c r="CV66" s="13">
        <f t="shared" si="41"/>
        <v>54.87176918107798</v>
      </c>
      <c r="CW66" s="20">
        <f t="shared" si="13"/>
        <v>484.80575132371092</v>
      </c>
      <c r="CX66" s="59">
        <f t="shared" si="14"/>
        <v>778.13908465704424</v>
      </c>
      <c r="CY66" s="59">
        <f ca="1">AVERAGE(OFFSET($CX$3,0,0,'Données projet'!$E$13+1,1))-AVERAGE(OFFSET($H$3,0,0,'Données projet'!$E$13+1,1))</f>
        <v>302.6937347295995</v>
      </c>
      <c r="CZ66" s="59">
        <f t="shared" si="42"/>
        <v>423.44006663873375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0.31513510856678939</v>
      </c>
      <c r="DG66" s="21">
        <f>EXP(-LN(2)/25)*DG65+(1-EXP(-LN(2)/25))/(LN(2)/25)*Calculateur!DB66*Calculateur!DD66*VLOOKUP('Données projet'!$B$13,Paramètres!$A$1:$I$89,3,0)*0.475*44/12</f>
        <v>1.717985487803414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2.0331205963702033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139.3605</v>
      </c>
      <c r="DQ66" s="13">
        <f t="shared" si="43"/>
        <v>36.150466011752201</v>
      </c>
      <c r="DR66" s="20">
        <f t="shared" si="16"/>
        <v>305.68159913713504</v>
      </c>
      <c r="DS66" s="59">
        <f t="shared" si="17"/>
        <v>599.01493247046835</v>
      </c>
      <c r="DT66" s="59">
        <f ca="1">AVERAGE(OFFSET($DS$3,0,0,'Données projet'!$E$14+1,1))-AVERAGE(OFFSET($H$3,0,0,'Données projet'!$E$14+1,1))</f>
        <v>366.51581861366333</v>
      </c>
      <c r="DU66" s="59">
        <f t="shared" si="44"/>
        <v>225.01415116995503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276.00000000000006</v>
      </c>
      <c r="EK66" s="17">
        <f>EJ66*VLOOKUP('Données projet'!$B$15,Paramètres!$A$1:$I$89,3,0)*VLOOKUP('Données projet'!$B$15,Paramètres!$A$1:$I$89,5,0)</f>
        <v>215.28000000000006</v>
      </c>
      <c r="EL66" s="13">
        <f t="shared" si="45"/>
        <v>53.087725740853138</v>
      </c>
      <c r="EM66" s="20">
        <f t="shared" si="19"/>
        <v>467.40712233198593</v>
      </c>
      <c r="EN66" s="59">
        <f t="shared" si="20"/>
        <v>760.74045566531925</v>
      </c>
      <c r="EO66" s="59">
        <f ca="1">AVERAGE(OFFSET($EN$3,0,0,'Données projet'!$E$15+1,1))-AVERAGE(OFFSET($H$3,0,0,'Données projet'!$E$15+1,1))</f>
        <v>288.80569134263209</v>
      </c>
      <c r="EP66" s="59">
        <f t="shared" si="46"/>
        <v>283.48738729114024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22.891251004257274</v>
      </c>
      <c r="EW66" s="21">
        <f>EXP(-LN(2)/25)*EW65+(1-EXP(-LN(2)/25))/(LN(2)/25)*Calculateur!ER66*Calculateur!ET66*VLOOKUP('Données projet'!$B$15,Paramètres!$A$1:$I$89,3,0)*0.475*44/12</f>
        <v>23.331015252917272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46.222266257174546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-1.7053025658242404E-13</v>
      </c>
      <c r="FF66" s="17">
        <f>FE66*VLOOKUP('Données projet'!$B$16,Paramètres!$A$1:$I$89,3,0)*VLOOKUP('Données projet'!$B$16,Paramètres!$A$1:$I$89,5,0)</f>
        <v>-1.0197709343628959E-13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323.17232038705157</v>
      </c>
      <c r="FK66" s="59">
        <f t="shared" si="48"/>
        <v>402.34685738619197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141.76735530150782</v>
      </c>
      <c r="FR66" s="21">
        <f>EXP(-LN(2)/25)*FR65+(1-EXP(-LN(2)/25))/(LN(2)/25)*Calculateur!FM66*Calculateur!FO66*VLOOKUP('Données projet'!$B$16,Paramètres!$A$1:$I$89,3,0)*0.475*44/12</f>
        <v>36.403198663724368</v>
      </c>
      <c r="FS66" s="21">
        <f>EXP(-LN(2)/2)*FS65+(1-EXP(-LN(2)/2))/(LN(2)/2)*FM66*FP66*VLOOKUP('Données projet'!$B$16,Paramètres!$A$1:$I$89,3,0)*0.475*44/12</f>
        <v>3.5714523620999592</v>
      </c>
      <c r="FT66" s="22">
        <f t="shared" si="24"/>
        <v>181.74200632733215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8.6666666666666661</v>
      </c>
      <c r="FZ66" s="12">
        <f>IF('Données projet'!$A$244&gt;35,FZ65+FY66-GH65,IF(A66&lt;'Données projet'!$A$244,$FW$205^A66,IF(A66='Données projet'!$A$244,'Données projet'!$B$244,FZ65+FY66-GH65)))</f>
        <v>276.00000000000006</v>
      </c>
      <c r="GA66" s="17">
        <f>FZ66*VLOOKUP('Données projet'!$B$17,Paramètres!$A$1:$I$89,3,0)*VLOOKUP('Données projet'!$B$17,Paramètres!$A$1:$I$89,5,0)</f>
        <v>223.89120000000005</v>
      </c>
      <c r="GB66" s="13">
        <f t="shared" si="49"/>
        <v>54.95975389514863</v>
      </c>
      <c r="GC66" s="20">
        <f t="shared" si="25"/>
        <v>485.66541136738397</v>
      </c>
      <c r="GD66" s="59">
        <f t="shared" si="26"/>
        <v>778.99874470071722</v>
      </c>
      <c r="GE66" s="59">
        <f ca="1">AVERAGE(OFFSET($GD$3,0,0,'Données projet'!$E$17+1,1))-AVERAGE(OFFSET($H$3,0,0,'Données projet'!$E$17+1,1))</f>
        <v>298.96480270023716</v>
      </c>
      <c r="GF66" s="59">
        <f t="shared" si="50"/>
        <v>293.11447542333889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29.343389659410718</v>
      </c>
      <c r="GM66" s="21">
        <f>EXP(-LN(2)/25)*GM65+(1-EXP(-LN(2)/25))/(LN(2)/25)*Calculateur!GH66*Calculateur!GJ66*VLOOKUP('Données projet'!$B$17,Paramètres!$A$1:$I$89,3,0)*0.475*44/12</f>
        <v>29.907106063739537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59.250495723150252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8.0507692307692249</v>
      </c>
      <c r="GU66" s="12">
        <f>IF('Données projet'!$A$270&gt;35,GU65+GT66-HC65,IF(A66&lt;'Données projet'!$A$270,$GR$205^A66,IF(A66='Données projet'!$A$270,'Données projet'!$B$270,GU65+GT66-HC65)))</f>
        <v>337.39999999999992</v>
      </c>
      <c r="GV66" s="17">
        <f>GU66*VLOOKUP('Données projet'!$B$18,Paramètres!$A$1:$I$89,3,0)*VLOOKUP('Données projet'!$B$18,Paramètres!$A$1:$I$89,5,0)</f>
        <v>192.99279999999996</v>
      </c>
      <c r="GW66" s="13">
        <f t="shared" si="51"/>
        <v>48.201015388466303</v>
      </c>
      <c r="GX66" s="20">
        <f t="shared" si="28"/>
        <v>420.07922846824539</v>
      </c>
      <c r="GY66" s="59">
        <f t="shared" si="29"/>
        <v>713.4125618015787</v>
      </c>
      <c r="GZ66" s="59">
        <f ca="1">AVERAGE(OFFSET($GY$3,0,0,'Données projet'!$E$18+1,1))-AVERAGE(OFFSET($H$3,0,0,'Données projet'!$E$18+1,1))</f>
        <v>320.76883487964511</v>
      </c>
      <c r="HA66" s="59">
        <f t="shared" si="52"/>
        <v>290.51177680335746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34.220779875997458</v>
      </c>
      <c r="HH66" s="21">
        <f>EXP(-LN(2)/25)*HH65+(1-EXP(-LN(2)/25))/(LN(2)/25)*Calculateur!HC66*Calculateur!HE66*VLOOKUP('Données projet'!$B$18,Paramètres!$A$1:$I$89,3,0)*0.475*44/12</f>
        <v>12.530537138950828</v>
      </c>
      <c r="HI66" s="21">
        <f>EXP(-LN(2)/2)*HI65+(1-EXP(-LN(2)/2))/(LN(2)/2)*HC66*HF66*VLOOKUP('Données projet'!$B$18,Paramètres!$A$1:$I$89,3,0)*0.475*44/12</f>
        <v>0.723961317450322</v>
      </c>
      <c r="HJ66" s="22">
        <f t="shared" si="30"/>
        <v>47.475278332398609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189.27756250000016</v>
      </c>
      <c r="AK67" s="13">
        <f t="shared" si="35"/>
        <v>47.380196781958283</v>
      </c>
      <c r="AL67" s="20">
        <f t="shared" si="4"/>
        <v>412.17893074941094</v>
      </c>
      <c r="AM67" s="59">
        <f t="shared" si="5"/>
        <v>705.5122640827442</v>
      </c>
      <c r="AN67" s="59">
        <f ca="1">AVERAGE(OFFSET($AM$3,0,0,'Données projet'!$E$10+1,1))-AVERAGE(OFFSET($H$3,0,0,'Données projet'!$E$10+1,1))</f>
        <v>425.47148407510412</v>
      </c>
      <c r="AO67" s="59">
        <f t="shared" si="36"/>
        <v>308.54448799922471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13.801947692300208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13.801947692300208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190.6</v>
      </c>
      <c r="BE67" s="13">
        <f>BD67*VLOOKUP('Données projet'!$B$11,Paramètres!$A$1:$I$89,3,0)*VLOOKUP('Données projet'!$B$11,Paramètres!$A$1:$I$89,5,0)</f>
        <v>166.50816</v>
      </c>
      <c r="BF67" s="13">
        <f t="shared" si="37"/>
        <v>42.307025456487715</v>
      </c>
      <c r="BG67" s="20">
        <f t="shared" si="7"/>
        <v>363.68644800338274</v>
      </c>
      <c r="BH67" s="59">
        <f t="shared" si="8"/>
        <v>657.01978133671605</v>
      </c>
      <c r="BI67" s="59">
        <f ca="1">AVERAGE(OFFSET($BH$3,0,0,'Données projet'!$E$11+1,1))-AVERAGE(OFFSET($H$3,0,0,'Données projet'!$E$11+1,1))</f>
        <v>300.63505444445104</v>
      </c>
      <c r="BJ67" s="59">
        <f t="shared" si="38"/>
        <v>266.32508105927997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4.8181141937868475</v>
      </c>
      <c r="BQ67" s="21">
        <f>EXP(-LN(2)/25)*BQ66+(1-EXP(-LN(2)/25))/(LN(2)/25)*Calculateur!BL67*Calculateur!BN67*VLOOKUP('Données projet'!$B$11,Paramètres!$A$1:$I$89,3,0)*0.475*44/12</f>
        <v>11.532692394218017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16.350806588004865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5.9431089743589762</v>
      </c>
      <c r="BY67" s="12">
        <f>IF('Données projet'!$A$114&gt;35,BY66+BX67-CG66,IF(A67&lt;'Données projet'!$A$114,$BV$205^A67,IF(A67='Données projet'!$A$114,'Données projet'!$B$114,BY66+BX67-CG66)))</f>
        <v>150.02964743589743</v>
      </c>
      <c r="BZ67" s="13">
        <f>BY67*VLOOKUP('Données projet'!$B$12,Paramètres!$A$1:$I$89,3,0)*VLOOKUP('Données projet'!$B$12,Paramètres!$A$1:$I$89,5,0)</f>
        <v>142.7682125</v>
      </c>
      <c r="CA67" s="13">
        <f t="shared" si="39"/>
        <v>36.93043964007272</v>
      </c>
      <c r="CB67" s="20">
        <f t="shared" si="10"/>
        <v>312.97515247729331</v>
      </c>
      <c r="CC67" s="59">
        <f t="shared" si="11"/>
        <v>606.30848581062662</v>
      </c>
      <c r="CD67" s="59">
        <f ca="1">AVERAGE(OFFSET($CC$3,0,0,'Données projet'!$E$12+1,1))-AVERAGE(OFFSET($H$3,0,0,'Données projet'!$E$12+1,1))</f>
        <v>361.26385625423757</v>
      </c>
      <c r="CE67" s="59">
        <f t="shared" si="40"/>
        <v>222.05197404028576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247.00000000000017</v>
      </c>
      <c r="CU67" s="17">
        <f>CT67*VLOOKUP('Données projet'!$B$13,Paramètres!$A$1:$I$89,3,0)*VLOOKUP('Données projet'!$B$13,Paramètres!$A$1:$I$89,5,0)</f>
        <v>223.48560000000012</v>
      </c>
      <c r="CV67" s="13">
        <f t="shared" si="41"/>
        <v>54.87176918107798</v>
      </c>
      <c r="CW67" s="20">
        <f t="shared" si="13"/>
        <v>484.80575132371092</v>
      </c>
      <c r="CX67" s="59">
        <f t="shared" si="14"/>
        <v>778.13908465704424</v>
      </c>
      <c r="CY67" s="59">
        <f ca="1">AVERAGE(OFFSET($CX$3,0,0,'Données projet'!$E$13+1,1))-AVERAGE(OFFSET($H$3,0,0,'Données projet'!$E$13+1,1))</f>
        <v>302.6937347295995</v>
      </c>
      <c r="CZ67" s="59">
        <f t="shared" si="42"/>
        <v>423.44006663873375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0.30895550130123139</v>
      </c>
      <c r="DG67" s="21">
        <f>EXP(-LN(2)/25)*DG66+(1-EXP(-LN(2)/25))/(LN(2)/25)*Calculateur!DB67*Calculateur!DD67*VLOOKUP('Données projet'!$B$13,Paramètres!$A$1:$I$89,3,0)*0.475*44/12</f>
        <v>1.6710070842944993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1.9799625855957306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145.10867500000001</v>
      </c>
      <c r="DQ67" s="13">
        <f t="shared" si="43"/>
        <v>37.464878834869843</v>
      </c>
      <c r="DR67" s="20">
        <f t="shared" si="16"/>
        <v>317.982272929065</v>
      </c>
      <c r="DS67" s="59">
        <f t="shared" si="17"/>
        <v>611.31560626239832</v>
      </c>
      <c r="DT67" s="59">
        <f ca="1">AVERAGE(OFFSET($DS$3,0,0,'Données projet'!$E$14+1,1))-AVERAGE(OFFSET($H$3,0,0,'Données projet'!$E$14+1,1))</f>
        <v>366.51581861366333</v>
      </c>
      <c r="DU67" s="59">
        <f t="shared" si="44"/>
        <v>225.01415116995503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284.66666666666674</v>
      </c>
      <c r="EK67" s="17">
        <f>EJ67*VLOOKUP('Données projet'!$B$15,Paramètres!$A$1:$I$89,3,0)*VLOOKUP('Données projet'!$B$15,Paramètres!$A$1:$I$89,5,0)</f>
        <v>222.04000000000008</v>
      </c>
      <c r="EL67" s="13">
        <f t="shared" si="45"/>
        <v>54.558031180803596</v>
      </c>
      <c r="EM67" s="20">
        <f t="shared" si="19"/>
        <v>481.74157097323308</v>
      </c>
      <c r="EN67" s="59">
        <f t="shared" si="20"/>
        <v>775.0749043065664</v>
      </c>
      <c r="EO67" s="59">
        <f ca="1">AVERAGE(OFFSET($EN$3,0,0,'Données projet'!$E$15+1,1))-AVERAGE(OFFSET($H$3,0,0,'Données projet'!$E$15+1,1))</f>
        <v>288.80569134263209</v>
      </c>
      <c r="EP67" s="59">
        <f t="shared" si="46"/>
        <v>283.48738729114024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22.442367534348239</v>
      </c>
      <c r="EW67" s="21">
        <f>EXP(-LN(2)/25)*EW66+(1-EXP(-LN(2)/25))/(LN(2)/25)*Calculateur!ER67*Calculateur!ET67*VLOOKUP('Données projet'!$B$15,Paramètres!$A$1:$I$89,3,0)*0.475*44/12</f>
        <v>22.693027413901479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45.135394948249719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-1.7053025658242404E-13</v>
      </c>
      <c r="FF67" s="17">
        <f>FE67*VLOOKUP('Données projet'!$B$16,Paramètres!$A$1:$I$89,3,0)*VLOOKUP('Données projet'!$B$16,Paramètres!$A$1:$I$89,5,0)</f>
        <v>-1.0197709343628959E-13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323.17232038705157</v>
      </c>
      <c r="FK67" s="59">
        <f t="shared" si="48"/>
        <v>402.34685738619197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138.98738393359383</v>
      </c>
      <c r="FR67" s="21">
        <f>EXP(-LN(2)/25)*FR66+(1-EXP(-LN(2)/25))/(LN(2)/25)*Calculateur!FM67*Calculateur!FO67*VLOOKUP('Données projet'!$B$16,Paramètres!$A$1:$I$89,3,0)*0.475*44/12</f>
        <v>35.407751281903806</v>
      </c>
      <c r="FS67" s="21">
        <f>EXP(-LN(2)/2)*FS66+(1-EXP(-LN(2)/2))/(LN(2)/2)*FM67*FP67*VLOOKUP('Données projet'!$B$16,Paramètres!$A$1:$I$89,3,0)*0.475*44/12</f>
        <v>2.5253981839255943</v>
      </c>
      <c r="FT67" s="22">
        <f t="shared" si="24"/>
        <v>176.92053339942325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8.6666666666666661</v>
      </c>
      <c r="FZ67" s="12">
        <f>IF('Données projet'!$A$244&gt;35,FZ66+FY67-GH66,IF(A67&lt;'Données projet'!$A$244,$FW$205^A67,IF(A67='Données projet'!$A$244,'Données projet'!$B$244,FZ66+FY67-GH66)))</f>
        <v>284.66666666666674</v>
      </c>
      <c r="GA67" s="17">
        <f>FZ67*VLOOKUP('Données projet'!$B$17,Paramètres!$A$1:$I$89,3,0)*VLOOKUP('Données projet'!$B$17,Paramètres!$A$1:$I$89,5,0)</f>
        <v>230.92160000000007</v>
      </c>
      <c r="GB67" s="13">
        <f t="shared" si="49"/>
        <v>56.481906596223766</v>
      </c>
      <c r="GC67" s="20">
        <f t="shared" si="25"/>
        <v>500.56110732175648</v>
      </c>
      <c r="GD67" s="59">
        <f t="shared" si="26"/>
        <v>793.89444065508974</v>
      </c>
      <c r="GE67" s="59">
        <f ca="1">AVERAGE(OFFSET($GD$3,0,0,'Données projet'!$E$17+1,1))-AVERAGE(OFFSET($H$3,0,0,'Données projet'!$E$17+1,1))</f>
        <v>298.96480270023716</v>
      </c>
      <c r="GF67" s="59">
        <f t="shared" si="50"/>
        <v>293.11447542333889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28.767983685890115</v>
      </c>
      <c r="GM67" s="21">
        <f>EXP(-LN(2)/25)*GM66+(1-EXP(-LN(2)/25))/(LN(2)/25)*Calculateur!GH67*Calculateur!GJ67*VLOOKUP('Données projet'!$B$17,Paramètres!$A$1:$I$89,3,0)*0.475*44/12</f>
        <v>29.089294675680225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57.857278361570337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8.0507692307692249</v>
      </c>
      <c r="GU67" s="12">
        <f>IF('Données projet'!$A$270&gt;35,GU66+GT67-HC66,IF(A67&lt;'Données projet'!$A$270,$GR$205^A67,IF(A67='Données projet'!$A$270,'Données projet'!$B$270,GU66+GT67-HC66)))</f>
        <v>345.45076923076914</v>
      </c>
      <c r="GV67" s="17">
        <f>GU67*VLOOKUP('Données projet'!$B$18,Paramètres!$A$1:$I$89,3,0)*VLOOKUP('Données projet'!$B$18,Paramètres!$A$1:$I$89,5,0)</f>
        <v>197.59783999999996</v>
      </c>
      <c r="GW67" s="13">
        <f t="shared" si="51"/>
        <v>49.215874970939133</v>
      </c>
      <c r="GX67" s="20">
        <f t="shared" si="28"/>
        <v>429.86722024105217</v>
      </c>
      <c r="GY67" s="59">
        <f t="shared" si="29"/>
        <v>723.20055357438548</v>
      </c>
      <c r="GZ67" s="59">
        <f ca="1">AVERAGE(OFFSET($GY$3,0,0,'Données projet'!$E$18+1,1))-AVERAGE(OFFSET($H$3,0,0,'Données projet'!$E$18+1,1))</f>
        <v>320.76883487964511</v>
      </c>
      <c r="HA67" s="59">
        <f t="shared" si="52"/>
        <v>290.51177680335746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33.54973125524387</v>
      </c>
      <c r="HH67" s="21">
        <f>EXP(-LN(2)/25)*HH66+(1-EXP(-LN(2)/25))/(LN(2)/25)*Calculateur!HC67*Calculateur!HE67*VLOOKUP('Données projet'!$B$18,Paramètres!$A$1:$I$89,3,0)*0.475*44/12</f>
        <v>12.18788894193391</v>
      </c>
      <c r="HI67" s="21">
        <f>EXP(-LN(2)/2)*HI66+(1-EXP(-LN(2)/2))/(LN(2)/2)*HC67*HF67*VLOOKUP('Données projet'!$B$18,Paramètres!$A$1:$I$89,3,0)*0.475*44/12</f>
        <v>0.5119179568858695</v>
      </c>
      <c r="HJ67" s="22">
        <f t="shared" si="30"/>
        <v>46.249538154063643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197.49112500000015</v>
      </c>
      <c r="AK68" s="13">
        <f t="shared" si="35"/>
        <v>49.192388495579841</v>
      </c>
      <c r="AL68" s="20">
        <f t="shared" ref="AL68:AL131" si="58">(AJ68+AK68)*0.475*44/12</f>
        <v>429.64045267146849</v>
      </c>
      <c r="AM68" s="59">
        <f t="shared" ref="AM68:AM131" si="59">AL68+(AD68+AE68)*44/12</f>
        <v>722.97378600480181</v>
      </c>
      <c r="AN68" s="59">
        <f ca="1">AVERAGE(OFFSET($AM$3,0,0,'Données projet'!$E$10+1,1))-AVERAGE(OFFSET($H$3,0,0,'Données projet'!$E$10+1,1))</f>
        <v>425.47148407510412</v>
      </c>
      <c r="AO68" s="59">
        <f t="shared" si="36"/>
        <v>308.54448799922471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13.531299916411051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13.531299916411051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195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195</v>
      </c>
      <c r="BE68" s="13">
        <f>BD68*VLOOKUP('Données projet'!$B$11,Paramètres!$A$1:$I$89,3,0)*VLOOKUP('Données projet'!$B$11,Paramètres!$A$1:$I$89,5,0)</f>
        <v>170.35200000000003</v>
      </c>
      <c r="BF68" s="13">
        <f t="shared" si="37"/>
        <v>43.168850382694487</v>
      </c>
      <c r="BG68" s="20">
        <f t="shared" ref="BG68:BG131" si="61">(BE68+BF68)*0.475*44/12</f>
        <v>371.88214774985954</v>
      </c>
      <c r="BH68" s="59">
        <f t="shared" ref="BH68:BH131" si="62">BG68+(AY68+AZ68)*44/12</f>
        <v>665.2154810831928</v>
      </c>
      <c r="BI68" s="59">
        <f ca="1">AVERAGE(OFFSET($BH$3,0,0,'Données projet'!$E$11+1,1))-AVERAGE(OFFSET($H$3,0,0,'Données projet'!$E$11+1,1))</f>
        <v>300.63505444445104</v>
      </c>
      <c r="BJ68" s="59">
        <f t="shared" si="38"/>
        <v>266.32508105927997</v>
      </c>
      <c r="BK68" s="15">
        <f>IF(ISNA(VLOOKUP(A68,'Données projet'!$A$87:$I$107,3,0)),0,VLOOKUP(A68,'Données projet'!$A$87:$I$107,3,0))</f>
        <v>10</v>
      </c>
      <c r="BL68" s="15" t="str">
        <f>IF(ISNA(VLOOKUP(A68,'Données projet'!$A$87:$I$107,4,0)),0,VLOOKUP(A68,'Données projet'!$A$87:$I$107,4,0))</f>
        <v>15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7.215240335990929</v>
      </c>
      <c r="BQ68" s="21">
        <f>EXP(-LN(2)/25)*BQ67+(1-EXP(-LN(2)/25))/(LN(2)/25)*Calculateur!BL68*Calculateur!BN68*VLOOKUP('Données projet'!$B$11,Paramètres!$A$1:$I$89,3,0)*0.475*44/12</f>
        <v>13.699126333141974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20.914366669132903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5.9431089743589762</v>
      </c>
      <c r="BY68" s="12">
        <f>IF('Données projet'!$A$114&gt;35,BY67+BX68-CG67,IF(A68&lt;'Données projet'!$A$114,$BV$205^A68,IF(A68='Données projet'!$A$114,'Données projet'!$B$114,BY67+BX68-CG67)))</f>
        <v>155.97275641025641</v>
      </c>
      <c r="BZ68" s="13">
        <f>BY68*VLOOKUP('Données projet'!$B$12,Paramètres!$A$1:$I$89,3,0)*VLOOKUP('Données projet'!$B$12,Paramètres!$A$1:$I$89,5,0)</f>
        <v>148.423675</v>
      </c>
      <c r="CA68" s="13">
        <f t="shared" si="39"/>
        <v>38.220140150790883</v>
      </c>
      <c r="CB68" s="20">
        <f t="shared" ref="CB68:CB131" si="64">(BZ68+CA68)*0.475*44/12</f>
        <v>325.07131138762742</v>
      </c>
      <c r="CC68" s="59">
        <f t="shared" ref="CC68:CC131" si="65">CB68+(BT68+BU68)*44/12</f>
        <v>618.40464472096073</v>
      </c>
      <c r="CD68" s="59">
        <f ca="1">AVERAGE(OFFSET($CC$3,0,0,'Données projet'!$E$12+1,1))-AVERAGE(OFFSET($H$3,0,0,'Données projet'!$E$12+1,1))</f>
        <v>361.26385625423757</v>
      </c>
      <c r="CE68" s="59">
        <f t="shared" si="40"/>
        <v>222.05197404028576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247.00000000000017</v>
      </c>
      <c r="CU68" s="17">
        <f>CT68*VLOOKUP('Données projet'!$B$13,Paramètres!$A$1:$I$89,3,0)*VLOOKUP('Données projet'!$B$13,Paramètres!$A$1:$I$89,5,0)</f>
        <v>223.48560000000012</v>
      </c>
      <c r="CV68" s="13">
        <f t="shared" si="41"/>
        <v>54.87176918107798</v>
      </c>
      <c r="CW68" s="20">
        <f t="shared" ref="CW68:CW131" si="67">(CU68+CV68)*0.475*44/12</f>
        <v>484.80575132371092</v>
      </c>
      <c r="CX68" s="59">
        <f t="shared" ref="CX68:CX131" si="68">CW68+(CO68+CP68)*44/12</f>
        <v>778.13908465704424</v>
      </c>
      <c r="CY68" s="59">
        <f ca="1">AVERAGE(OFFSET($CX$3,0,0,'Données projet'!$E$13+1,1))-AVERAGE(OFFSET($H$3,0,0,'Données projet'!$E$13+1,1))</f>
        <v>302.6937347295995</v>
      </c>
      <c r="CZ68" s="59">
        <f t="shared" si="42"/>
        <v>423.44006663873375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0.30289707236496272</v>
      </c>
      <c r="DG68" s="21">
        <f>EXP(-LN(2)/25)*DG67+(1-EXP(-LN(2)/25))/(LN(2)/25)*Calculateur!DB68*Calculateur!DD68*VLOOKUP('Données projet'!$B$13,Paramètres!$A$1:$I$89,3,0)*0.475*44/12</f>
        <v>1.6253133077000228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1.9282103800649855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150.85685000000001</v>
      </c>
      <c r="DQ68" s="13">
        <f t="shared" si="43"/>
        <v>38.773243258316775</v>
      </c>
      <c r="DR68" s="20">
        <f t="shared" ref="DR68:DR131" si="70">(DP68+DQ68)*0.475*44/12</f>
        <v>330.27241242490169</v>
      </c>
      <c r="DS68" s="59">
        <f t="shared" ref="DS68:DS131" si="71">DR68+(DJ68+DK68)*44/12</f>
        <v>623.605745758235</v>
      </c>
      <c r="DT68" s="59">
        <f ca="1">AVERAGE(OFFSET($DS$3,0,0,'Données projet'!$E$14+1,1))-AVERAGE(OFFSET($H$3,0,0,'Données projet'!$E$14+1,1))</f>
        <v>366.51581861366333</v>
      </c>
      <c r="DU68" s="59">
        <f t="shared" si="44"/>
        <v>225.01415116995503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293.33333333333343</v>
      </c>
      <c r="EK68" s="17">
        <f>EJ68*VLOOKUP('Données projet'!$B$15,Paramètres!$A$1:$I$89,3,0)*VLOOKUP('Données projet'!$B$15,Paramètres!$A$1:$I$89,5,0)</f>
        <v>228.80000000000007</v>
      </c>
      <c r="EL68" s="13">
        <f t="shared" si="45"/>
        <v>56.023134533701196</v>
      </c>
      <c r="EM68" s="20">
        <f t="shared" ref="EM68:EM131" si="73">(EK68+EL68)*0.475*44/12</f>
        <v>496.06695931286299</v>
      </c>
      <c r="EN68" s="59">
        <f t="shared" ref="EN68:EN131" si="74">EM68+(EE68+EF68)*44/12</f>
        <v>789.40029264619625</v>
      </c>
      <c r="EO68" s="59">
        <f ca="1">AVERAGE(OFFSET($EN$3,0,0,'Données projet'!$E$15+1,1))-AVERAGE(OFFSET($H$3,0,0,'Données projet'!$E$15+1,1))</f>
        <v>288.80569134263209</v>
      </c>
      <c r="EP68" s="59">
        <f t="shared" si="46"/>
        <v>283.48738729114024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22.002286395492241</v>
      </c>
      <c r="EW68" s="21">
        <f>EXP(-LN(2)/25)*EW67+(1-EXP(-LN(2)/25))/(LN(2)/25)*Calculateur!ER68*Calculateur!ET68*VLOOKUP('Données projet'!$B$15,Paramètres!$A$1:$I$89,3,0)*0.475*44/12</f>
        <v>22.072485385893899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44.07477178138614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-1.7053025658242404E-13</v>
      </c>
      <c r="FF68" s="17">
        <f>FE68*VLOOKUP('Données projet'!$B$16,Paramètres!$A$1:$I$89,3,0)*VLOOKUP('Données projet'!$B$16,Paramètres!$A$1:$I$89,5,0)</f>
        <v>-1.0197709343628959E-13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323.17232038705157</v>
      </c>
      <c r="FK68" s="59">
        <f t="shared" si="48"/>
        <v>402.34685738619197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136.26192610858953</v>
      </c>
      <c r="FR68" s="21">
        <f>EXP(-LN(2)/25)*FR67+(1-EXP(-LN(2)/25))/(LN(2)/25)*Calculateur!FM68*Calculateur!FO68*VLOOKUP('Données projet'!$B$16,Paramètres!$A$1:$I$89,3,0)*0.475*44/12</f>
        <v>34.43952446108743</v>
      </c>
      <c r="FS68" s="21">
        <f>EXP(-LN(2)/2)*FS67+(1-EXP(-LN(2)/2))/(LN(2)/2)*FM68*FP68*VLOOKUP('Données projet'!$B$16,Paramètres!$A$1:$I$89,3,0)*0.475*44/12</f>
        <v>1.7857261810499798</v>
      </c>
      <c r="FT68" s="22">
        <f t="shared" ref="FT68:FT131" si="78">SUM(FQ68:FS68)</f>
        <v>172.48717675072695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8.6666666666666661</v>
      </c>
      <c r="FZ68" s="12">
        <f>IF('Données projet'!$A$244&gt;35,FZ67+FY68-GH67,IF(A68&lt;'Données projet'!$A$244,$FW$205^A68,IF(A68='Données projet'!$A$244,'Données projet'!$B$244,FZ67+FY68-GH67)))</f>
        <v>293.33333333333343</v>
      </c>
      <c r="GA68" s="17">
        <f>FZ68*VLOOKUP('Données projet'!$B$17,Paramètres!$A$1:$I$89,3,0)*VLOOKUP('Données projet'!$B$17,Paramètres!$A$1:$I$89,5,0)</f>
        <v>237.95200000000008</v>
      </c>
      <c r="GB68" s="13">
        <f t="shared" si="49"/>
        <v>57.99867376947342</v>
      </c>
      <c r="GC68" s="20">
        <f t="shared" ref="GC68:GC131" si="79">(GA68+GB68)*0.475*44/12</f>
        <v>515.44742348183297</v>
      </c>
      <c r="GD68" s="59">
        <f t="shared" ref="GD68:GD131" si="80">GC68+(FU68+FV68)*44/12</f>
        <v>808.78075681516634</v>
      </c>
      <c r="GE68" s="59">
        <f ca="1">AVERAGE(OFFSET($GD$3,0,0,'Données projet'!$E$17+1,1))-AVERAGE(OFFSET($H$3,0,0,'Données projet'!$E$17+1,1))</f>
        <v>298.96480270023716</v>
      </c>
      <c r="GF68" s="59">
        <f t="shared" si="50"/>
        <v>293.11447542333889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28.203861072547262</v>
      </c>
      <c r="GM68" s="21">
        <f>EXP(-LN(2)/25)*GM67+(1-EXP(-LN(2)/25))/(LN(2)/25)*Calculateur!GH68*Calculateur!GJ68*VLOOKUP('Données projet'!$B$17,Paramètres!$A$1:$I$89,3,0)*0.475*44/12</f>
        <v>28.293846383034229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56.497707455581491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8.0507692307692249</v>
      </c>
      <c r="GU68" s="12">
        <f>IF('Données projet'!$A$270&gt;35,GU67+GT68-HC67,IF(A68&lt;'Données projet'!$A$270,$GR$205^A68,IF(A68='Données projet'!$A$270,'Données projet'!$B$270,GU67+GT68-HC67)))</f>
        <v>353.50153846153836</v>
      </c>
      <c r="GV68" s="17">
        <f>GU68*VLOOKUP('Données projet'!$B$18,Paramètres!$A$1:$I$89,3,0)*VLOOKUP('Données projet'!$B$18,Paramètres!$A$1:$I$89,5,0)</f>
        <v>202.20287999999996</v>
      </c>
      <c r="GW68" s="13">
        <f t="shared" si="51"/>
        <v>50.227984996093276</v>
      </c>
      <c r="GX68" s="20">
        <f t="shared" ref="GX68:GX131" si="82">(GV68+GW68)*0.475*44/12</f>
        <v>439.65042320152907</v>
      </c>
      <c r="GY68" s="59">
        <f t="shared" ref="GY68:GY131" si="83">GX68+(GP68+GQ68)*44/12</f>
        <v>732.98375653486232</v>
      </c>
      <c r="GZ68" s="59">
        <f ca="1">AVERAGE(OFFSET($GY$3,0,0,'Données projet'!$E$18+1,1))-AVERAGE(OFFSET($H$3,0,0,'Données projet'!$E$18+1,1))</f>
        <v>320.76883487964511</v>
      </c>
      <c r="HA68" s="59">
        <f t="shared" si="52"/>
        <v>290.51177680335746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32.891841488644019</v>
      </c>
      <c r="HH68" s="21">
        <f>EXP(-LN(2)/25)*HH67+(1-EXP(-LN(2)/25))/(LN(2)/25)*Calculateur!HC68*Calculateur!HE68*VLOOKUP('Données projet'!$B$18,Paramètres!$A$1:$I$89,3,0)*0.475*44/12</f>
        <v>11.854610477883503</v>
      </c>
      <c r="HI68" s="21">
        <f>EXP(-LN(2)/2)*HI67+(1-EXP(-LN(2)/2))/(LN(2)/2)*HC68*HF68*VLOOKUP('Données projet'!$B$18,Paramètres!$A$1:$I$89,3,0)*0.475*44/12</f>
        <v>0.361980658725161</v>
      </c>
      <c r="HJ68" s="22">
        <f t="shared" ref="HJ68:HJ131" si="84">SUM(HG68:HI68)</f>
        <v>45.108432625252682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205.70468750000018</v>
      </c>
      <c r="AK69" s="13">
        <f t="shared" ref="AK69:AK132" si="89">EXP(-1.0587+0.8836*LN(AJ69)+0.284)</f>
        <v>50.995825886459762</v>
      </c>
      <c r="AL69" s="20">
        <f t="shared" si="58"/>
        <v>447.08672748141771</v>
      </c>
      <c r="AM69" s="59">
        <f t="shared" si="59"/>
        <v>740.42006081475097</v>
      </c>
      <c r="AN69" s="59">
        <f ca="1">AVERAGE(OFFSET($AM$3,0,0,'Données projet'!$E$10+1,1))-AVERAGE(OFFSET($H$3,0,0,'Données projet'!$E$10+1,1))</f>
        <v>425.47148407510412</v>
      </c>
      <c r="AO69" s="59">
        <f t="shared" ref="AO69:AO132" si="90">$AO$3</f>
        <v>308.54448799922471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13.265959378328235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13.265959378328235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4.2</v>
      </c>
      <c r="BD69" s="12">
        <f>IF('Données projet'!$A$88&gt;35,BD68+BC69-BL68,IF(A69&lt;'Données projet'!$A$88,$BA$205^A69,IF(A69='Données projet'!$A$88,'Données projet'!$B$88,BD68+BC69-BL68)))</f>
        <v>184.2</v>
      </c>
      <c r="BE69" s="13">
        <f>BD69*VLOOKUP('Données projet'!$B$11,Paramètres!$A$1:$I$89,3,0)*VLOOKUP('Données projet'!$B$11,Paramètres!$A$1:$I$89,5,0)</f>
        <v>160.91712000000001</v>
      </c>
      <c r="BF69" s="13">
        <f t="shared" ref="BF69:BF132" si="91">EXP(-1.0587+0.8836*LN(BE69)+0.284)</f>
        <v>41.049305520788089</v>
      </c>
      <c r="BG69" s="20">
        <f t="shared" si="61"/>
        <v>351.75819111537254</v>
      </c>
      <c r="BH69" s="59">
        <f t="shared" si="62"/>
        <v>645.09152444870585</v>
      </c>
      <c r="BI69" s="59">
        <f ca="1">AVERAGE(OFFSET($BH$3,0,0,'Données projet'!$E$11+1,1))-AVERAGE(OFFSET($H$3,0,0,'Données projet'!$E$11+1,1))</f>
        <v>300.63505444445104</v>
      </c>
      <c r="BJ69" s="59">
        <f t="shared" ref="BJ69:BJ132" si="92">$BJ$3</f>
        <v>266.32508105927997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7.0737538738642032</v>
      </c>
      <c r="BQ69" s="21">
        <f>EXP(-LN(2)/25)*BQ68+(1-EXP(-LN(2)/25))/(LN(2)/25)*Calculateur!BL69*Calculateur!BN69*VLOOKUP('Données projet'!$B$11,Paramètres!$A$1:$I$89,3,0)*0.475*44/12</f>
        <v>13.324523003156463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20.398276877020667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5.9431089743589762</v>
      </c>
      <c r="BY69" s="12">
        <f>IF('Données projet'!$A$114&gt;35,BY68+BX69-CG68,IF(A69&lt;'Données projet'!$A$114,$BV$205^A69,IF(A69='Données projet'!$A$114,'Données projet'!$B$114,BY68+BX69-CG68)))</f>
        <v>161.91586538461539</v>
      </c>
      <c r="BZ69" s="13">
        <f>BY69*VLOOKUP('Données projet'!$B$12,Paramètres!$A$1:$I$89,3,0)*VLOOKUP('Données projet'!$B$12,Paramètres!$A$1:$I$89,5,0)</f>
        <v>154.0791375</v>
      </c>
      <c r="CA69" s="13">
        <f t="shared" ref="CA69:CA132" si="93">EXP(-1.0587+0.8836*LN(BZ69)+0.284)</f>
        <v>39.504131726932535</v>
      </c>
      <c r="CB69" s="20">
        <f t="shared" si="64"/>
        <v>337.15752723690747</v>
      </c>
      <c r="CC69" s="59">
        <f t="shared" si="65"/>
        <v>630.49086057024078</v>
      </c>
      <c r="CD69" s="59">
        <f ca="1">AVERAGE(OFFSET($CC$3,0,0,'Données projet'!$E$12+1,1))-AVERAGE(OFFSET($H$3,0,0,'Données projet'!$E$12+1,1))</f>
        <v>361.26385625423757</v>
      </c>
      <c r="CE69" s="59">
        <f t="shared" ref="CE69:CE132" si="94">$CE$3</f>
        <v>222.05197404028576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247.00000000000017</v>
      </c>
      <c r="CU69" s="17">
        <f>CT69*VLOOKUP('Données projet'!$B$13,Paramètres!$A$1:$I$89,3,0)*VLOOKUP('Données projet'!$B$13,Paramètres!$A$1:$I$89,5,0)</f>
        <v>223.48560000000012</v>
      </c>
      <c r="CV69" s="13">
        <f t="shared" ref="CV69:CV132" si="95">EXP(-1.0587+0.8836*LN(CU69)+0.284)</f>
        <v>54.87176918107798</v>
      </c>
      <c r="CW69" s="20">
        <f t="shared" si="67"/>
        <v>484.80575132371092</v>
      </c>
      <c r="CX69" s="59">
        <f t="shared" si="68"/>
        <v>778.13908465704424</v>
      </c>
      <c r="CY69" s="59">
        <f ca="1">AVERAGE(OFFSET($CX$3,0,0,'Données projet'!$E$13+1,1))-AVERAGE(OFFSET($H$3,0,0,'Données projet'!$E$13+1,1))</f>
        <v>302.6937347295995</v>
      </c>
      <c r="CZ69" s="59">
        <f t="shared" ref="CZ69:CZ132" si="96">$CZ$3</f>
        <v>423.44006663873375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0.29695744552485748</v>
      </c>
      <c r="DG69" s="21">
        <f>EXP(-LN(2)/25)*DG68+(1-EXP(-LN(2)/25))/(LN(2)/25)*Calculateur!DB69*Calculateur!DD69*VLOOKUP('Données projet'!$B$13,Paramètres!$A$1:$I$89,3,0)*0.475*44/12</f>
        <v>1.5808690298294534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1.8778264753543108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156.60502500000001</v>
      </c>
      <c r="DQ69" s="13">
        <f t="shared" ref="DQ69:DQ132" si="97">EXP(-1.0587+0.8836*LN(DP69)+0.284)</f>
        <v>40.075816130288338</v>
      </c>
      <c r="DR69" s="20">
        <f t="shared" si="70"/>
        <v>342.55246496858553</v>
      </c>
      <c r="DS69" s="59">
        <f t="shared" si="71"/>
        <v>635.88579830191884</v>
      </c>
      <c r="DT69" s="59">
        <f ca="1">AVERAGE(OFFSET($DS$3,0,0,'Données projet'!$E$14+1,1))-AVERAGE(OFFSET($H$3,0,0,'Données projet'!$E$14+1,1))</f>
        <v>366.51581861366333</v>
      </c>
      <c r="DU69" s="59">
        <f t="shared" ref="DU69:DU132" si="98">$DU$3</f>
        <v>225.01415116995503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302.00000000000011</v>
      </c>
      <c r="EK69" s="17">
        <f>EJ69*VLOOKUP('Données projet'!$B$15,Paramètres!$A$1:$I$89,3,0)*VLOOKUP('Données projet'!$B$15,Paramètres!$A$1:$I$89,5,0)</f>
        <v>235.56000000000009</v>
      </c>
      <c r="EL69" s="13">
        <f t="shared" ref="EL69:EL132" si="99">EXP(-1.0587+0.8836*LN(EK69)+0.284)</f>
        <v>57.483207143847771</v>
      </c>
      <c r="EM69" s="20">
        <f t="shared" si="73"/>
        <v>510.38358577553487</v>
      </c>
      <c r="EN69" s="59">
        <f t="shared" si="74"/>
        <v>803.71691910886818</v>
      </c>
      <c r="EO69" s="59">
        <f ca="1">AVERAGE(OFFSET($EN$3,0,0,'Données projet'!$E$15+1,1))-AVERAGE(OFFSET($H$3,0,0,'Données projet'!$E$15+1,1))</f>
        <v>288.80569134263209</v>
      </c>
      <c r="EP69" s="59">
        <f t="shared" ref="EP69:EP132" si="100">$EP$3</f>
        <v>283.48738729114024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21.57083497934622</v>
      </c>
      <c r="EW69" s="21">
        <f>EXP(-LN(2)/25)*EW68+(1-EXP(-LN(2)/25))/(LN(2)/25)*Calculateur!ER69*Calculateur!ET69*VLOOKUP('Données projet'!$B$15,Paramètres!$A$1:$I$89,3,0)*0.475*44/12</f>
        <v>21.468912112275071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43.039747091621294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-1.7053025658242404E-13</v>
      </c>
      <c r="FF69" s="17">
        <f>FE69*VLOOKUP('Données projet'!$B$16,Paramètres!$A$1:$I$89,3,0)*VLOOKUP('Données projet'!$B$16,Paramètres!$A$1:$I$89,5,0)</f>
        <v>-1.0197709343628959E-13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323.17232038705157</v>
      </c>
      <c r="FK69" s="59">
        <f t="shared" ref="FK69:FK132" si="102">$FK$3</f>
        <v>402.34685738619197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133.58991284916843</v>
      </c>
      <c r="FR69" s="21">
        <f>EXP(-LN(2)/25)*FR68+(1-EXP(-LN(2)/25))/(LN(2)/25)*Calculateur!FM69*Calculateur!FO69*VLOOKUP('Données projet'!$B$16,Paramètres!$A$1:$I$89,3,0)*0.475*44/12</f>
        <v>33.497773853603114</v>
      </c>
      <c r="FS69" s="21">
        <f>EXP(-LN(2)/2)*FS68+(1-EXP(-LN(2)/2))/(LN(2)/2)*FM69*FP69*VLOOKUP('Données projet'!$B$16,Paramètres!$A$1:$I$89,3,0)*0.475*44/12</f>
        <v>1.2626990919627974</v>
      </c>
      <c r="FT69" s="22">
        <f t="shared" si="78"/>
        <v>168.35038579473434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8.6666666666666661</v>
      </c>
      <c r="FZ69" s="12">
        <f>IF('Données projet'!$A$244&gt;35,FZ68+FY69-GH68,IF(A69&lt;'Données projet'!$A$244,$FW$205^A69,IF(A69='Données projet'!$A$244,'Données projet'!$B$244,FZ68+FY69-GH68)))</f>
        <v>302.00000000000011</v>
      </c>
      <c r="GA69" s="17">
        <f>FZ69*VLOOKUP('Données projet'!$B$17,Paramètres!$A$1:$I$89,3,0)*VLOOKUP('Données projet'!$B$17,Paramètres!$A$1:$I$89,5,0)</f>
        <v>244.98240000000013</v>
      </c>
      <c r="GB69" s="13">
        <f t="shared" ref="GB69:GB132" si="103">EXP(-1.0587+0.8836*LN(GA69)+0.284)</f>
        <v>59.510232801299694</v>
      </c>
      <c r="GC69" s="20">
        <f t="shared" si="79"/>
        <v>530.32466879559718</v>
      </c>
      <c r="GD69" s="59">
        <f t="shared" si="80"/>
        <v>823.65800212893055</v>
      </c>
      <c r="GE69" s="59">
        <f ca="1">AVERAGE(OFFSET($GD$3,0,0,'Données projet'!$E$17+1,1))-AVERAGE(OFFSET($H$3,0,0,'Données projet'!$E$17+1,1))</f>
        <v>298.96480270023716</v>
      </c>
      <c r="GF69" s="59">
        <f t="shared" ref="GF69:GF132" si="104">$GF$3</f>
        <v>293.11447542333889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27.650800559571245</v>
      </c>
      <c r="GM69" s="21">
        <f>EXP(-LN(2)/25)*GM68+(1-EXP(-LN(2)/25))/(LN(2)/25)*Calculateur!GH69*Calculateur!GJ69*VLOOKUP('Données projet'!$B$17,Paramètres!$A$1:$I$89,3,0)*0.475*44/12</f>
        <v>27.520149665781442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55.170950225352684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8.0507692307692249</v>
      </c>
      <c r="GU69" s="12">
        <f>IF('Données projet'!$A$270&gt;35,GU68+GT69-HC68,IF(A69&lt;'Données projet'!$A$270,$GR$205^A69,IF(A69='Données projet'!$A$270,'Données projet'!$B$270,GU68+GT69-HC68)))</f>
        <v>361.55230769230758</v>
      </c>
      <c r="GV69" s="17">
        <f>GU69*VLOOKUP('Données projet'!$B$18,Paramètres!$A$1:$I$89,3,0)*VLOOKUP('Données projet'!$B$18,Paramètres!$A$1:$I$89,5,0)</f>
        <v>206.80791999999994</v>
      </c>
      <c r="GW69" s="13">
        <f t="shared" ref="GW69:GW132" si="105">EXP(-1.0587+0.8836*LN(GV69)+0.284)</f>
        <v>51.237415291837365</v>
      </c>
      <c r="GX69" s="20">
        <f t="shared" si="82"/>
        <v>449.42895896661662</v>
      </c>
      <c r="GY69" s="59">
        <f t="shared" si="83"/>
        <v>742.76229229994988</v>
      </c>
      <c r="GZ69" s="59">
        <f ca="1">AVERAGE(OFFSET($GY$3,0,0,'Données projet'!$E$18+1,1))-AVERAGE(OFFSET($H$3,0,0,'Données projet'!$E$18+1,1))</f>
        <v>320.76883487964511</v>
      </c>
      <c r="HA69" s="59">
        <f t="shared" ref="HA69:HA132" si="106">$HA$3</f>
        <v>290.51177680335746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32.246852539094057</v>
      </c>
      <c r="HH69" s="21">
        <f>EXP(-LN(2)/25)*HH68+(1-EXP(-LN(2)/25))/(LN(2)/25)*Calculateur!HC69*Calculateur!HE69*VLOOKUP('Données projet'!$B$18,Paramètres!$A$1:$I$89,3,0)*0.475*44/12</f>
        <v>11.530445530958907</v>
      </c>
      <c r="HI69" s="21">
        <f>EXP(-LN(2)/2)*HI68+(1-EXP(-LN(2)/2))/(LN(2)/2)*HC69*HF69*VLOOKUP('Données projet'!$B$18,Paramètres!$A$1:$I$89,3,0)*0.475*44/12</f>
        <v>0.25595897844293475</v>
      </c>
      <c r="HJ69" s="22">
        <f t="shared" si="84"/>
        <v>44.033257048495898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213.91825000000017</v>
      </c>
      <c r="AK70" s="13">
        <f t="shared" si="89"/>
        <v>52.790898498252169</v>
      </c>
      <c r="AL70" s="20">
        <f t="shared" si="58"/>
        <v>464.51843363445613</v>
      </c>
      <c r="AM70" s="59">
        <f t="shared" si="59"/>
        <v>757.85176696778944</v>
      </c>
      <c r="AN70" s="59">
        <f ca="1">AVERAGE(OFFSET($AM$3,0,0,'Données projet'!$E$10+1,1))-AVERAGE(OFFSET($H$3,0,0,'Données projet'!$E$10+1,1))</f>
        <v>425.47148407510412</v>
      </c>
      <c r="AO70" s="59">
        <f t="shared" si="90"/>
        <v>308.54448799922471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13.005822006355476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13.005822006355476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4.2</v>
      </c>
      <c r="BD70" s="12">
        <f>IF('Données projet'!$A$88&gt;35,BD69+BC70-BL69,IF(A70&lt;'Données projet'!$A$88,$BA$205^A70,IF(A70='Données projet'!$A$88,'Données projet'!$B$88,BD69+BC70-BL69)))</f>
        <v>188.39999999999998</v>
      </c>
      <c r="BE70" s="13">
        <f>BD70*VLOOKUP('Données projet'!$B$11,Paramètres!$A$1:$I$89,3,0)*VLOOKUP('Données projet'!$B$11,Paramètres!$A$1:$I$89,5,0)</f>
        <v>164.58624</v>
      </c>
      <c r="BF70" s="13">
        <f t="shared" si="91"/>
        <v>41.875247075991886</v>
      </c>
      <c r="BG70" s="20">
        <f t="shared" si="61"/>
        <v>359.58708999068585</v>
      </c>
      <c r="BH70" s="59">
        <f t="shared" si="62"/>
        <v>652.92042332401911</v>
      </c>
      <c r="BI70" s="59">
        <f ca="1">AVERAGE(OFFSET($BH$3,0,0,'Données projet'!$E$11+1,1))-AVERAGE(OFFSET($H$3,0,0,'Données projet'!$E$11+1,1))</f>
        <v>300.63505444445104</v>
      </c>
      <c r="BJ70" s="59">
        <f t="shared" si="92"/>
        <v>266.32508105927997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6.935041874961561</v>
      </c>
      <c r="BQ70" s="21">
        <f>EXP(-LN(2)/25)*BQ69+(1-EXP(-LN(2)/25))/(LN(2)/25)*Calculateur!BL70*Calculateur!BN70*VLOOKUP('Données projet'!$B$11,Paramètres!$A$1:$I$89,3,0)*0.475*44/12</f>
        <v>12.960163220928939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19.8952050958905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167.85897435897436</v>
      </c>
      <c r="BW70" s="12">
        <f>VLOOKUP(A70,'Données projet'!$A$113:$I$133,9,0)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projet'!$A$114&gt;35,BY69+BX70-CG69,IF(A70&lt;'Données projet'!$A$114,$BV$205^A70,IF(A70='Données projet'!$A$114,'Données projet'!$B$114,BY69+BX70-CG69)))</f>
        <v>167.85897435897436</v>
      </c>
      <c r="BZ70" s="13">
        <f>BY70*VLOOKUP('Données projet'!$B$12,Paramètres!$A$1:$I$89,3,0)*VLOOKUP('Données projet'!$B$12,Paramètres!$A$1:$I$89,5,0)</f>
        <v>159.7346</v>
      </c>
      <c r="CA70" s="13">
        <f t="shared" si="93"/>
        <v>40.782647913300906</v>
      </c>
      <c r="CB70" s="20">
        <f t="shared" si="64"/>
        <v>349.23420678233242</v>
      </c>
      <c r="CC70" s="59">
        <f t="shared" si="65"/>
        <v>642.56754011566568</v>
      </c>
      <c r="CD70" s="59">
        <f ca="1">AVERAGE(OFFSET($CC$3,0,0,'Données projet'!$E$12+1,1))-AVERAGE(OFFSET($H$3,0,0,'Données projet'!$E$12+1,1))</f>
        <v>361.26385625423757</v>
      </c>
      <c r="CE70" s="59">
        <f t="shared" si="94"/>
        <v>222.05197404028576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31.993589743589741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247.00000000000017</v>
      </c>
      <c r="CU70" s="17">
        <f>CT70*VLOOKUP('Données projet'!$B$13,Paramètres!$A$1:$I$89,3,0)*VLOOKUP('Données projet'!$B$13,Paramètres!$A$1:$I$89,5,0)</f>
        <v>223.48560000000012</v>
      </c>
      <c r="CV70" s="13">
        <f t="shared" si="95"/>
        <v>54.87176918107798</v>
      </c>
      <c r="CW70" s="20">
        <f t="shared" si="67"/>
        <v>484.80575132371092</v>
      </c>
      <c r="CX70" s="59">
        <f t="shared" si="68"/>
        <v>778.13908465704424</v>
      </c>
      <c r="CY70" s="59">
        <f ca="1">AVERAGE(OFFSET($CX$3,0,0,'Données projet'!$E$13+1,1))-AVERAGE(OFFSET($H$3,0,0,'Données projet'!$E$13+1,1))</f>
        <v>302.6937347295995</v>
      </c>
      <c r="CZ70" s="59">
        <f t="shared" si="96"/>
        <v>423.44006663873375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0.29113429114427208</v>
      </c>
      <c r="DG70" s="21">
        <f>EXP(-LN(2)/25)*DG69+(1-EXP(-LN(2)/25))/(LN(2)/25)*Calculateur!DB70*Calculateur!DD70*VLOOKUP('Données projet'!$B$13,Paramètres!$A$1:$I$89,3,0)*0.475*44/12</f>
        <v>1.5376400830744779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1.8287743742187499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162.35320000000002</v>
      </c>
      <c r="DQ70" s="13">
        <f t="shared" si="97"/>
        <v>41.372834375333397</v>
      </c>
      <c r="DR70" s="20">
        <f t="shared" si="70"/>
        <v>354.82284320370565</v>
      </c>
      <c r="DS70" s="59">
        <f t="shared" si="71"/>
        <v>648.15617653703896</v>
      </c>
      <c r="DT70" s="59">
        <f ca="1">AVERAGE(OFFSET($DS$3,0,0,'Données projet'!$E$14+1,1))-AVERAGE(OFFSET($H$3,0,0,'Données projet'!$E$14+1,1))</f>
        <v>366.51581861366333</v>
      </c>
      <c r="DU70" s="59">
        <f t="shared" si="98"/>
        <v>225.01415116995503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310.6666666666668</v>
      </c>
      <c r="EK70" s="17">
        <f>EJ70*VLOOKUP('Données projet'!$B$15,Paramètres!$A$1:$I$89,3,0)*VLOOKUP('Données projet'!$B$15,Paramètres!$A$1:$I$89,5,0)</f>
        <v>242.32000000000011</v>
      </c>
      <c r="EL70" s="13">
        <f t="shared" si="99"/>
        <v>58.938409961900909</v>
      </c>
      <c r="EM70" s="20">
        <f t="shared" si="73"/>
        <v>524.69173068364421</v>
      </c>
      <c r="EN70" s="59">
        <f t="shared" si="74"/>
        <v>818.02506401697747</v>
      </c>
      <c r="EO70" s="59">
        <f ca="1">AVERAGE(OFFSET($EN$3,0,0,'Données projet'!$E$15+1,1))-AVERAGE(OFFSET($H$3,0,0,'Données projet'!$E$15+1,1))</f>
        <v>288.80569134263209</v>
      </c>
      <c r="EP70" s="59">
        <f t="shared" si="100"/>
        <v>283.48738729114024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21.147844062311442</v>
      </c>
      <c r="EW70" s="21">
        <f>EXP(-LN(2)/25)*EW69+(1-EXP(-LN(2)/25))/(LN(2)/25)*Calculateur!ER70*Calculateur!ET70*VLOOKUP('Données projet'!$B$15,Paramètres!$A$1:$I$89,3,0)*0.475*44/12</f>
        <v>20.881843581563889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42.029687643875334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-1.7053025658242404E-13</v>
      </c>
      <c r="FF70" s="17">
        <f>FE70*VLOOKUP('Données projet'!$B$16,Paramètres!$A$1:$I$89,3,0)*VLOOKUP('Données projet'!$B$16,Paramètres!$A$1:$I$89,5,0)</f>
        <v>-1.0197709343628959E-13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323.17232038705157</v>
      </c>
      <c r="FK70" s="59">
        <f t="shared" si="102"/>
        <v>402.34685738619197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130.9702961399974</v>
      </c>
      <c r="FR70" s="21">
        <f>EXP(-LN(2)/25)*FR69+(1-EXP(-LN(2)/25))/(LN(2)/25)*Calculateur!FM70*Calculateur!FO70*VLOOKUP('Données projet'!$B$16,Paramètres!$A$1:$I$89,3,0)*0.475*44/12</f>
        <v>32.58177546600497</v>
      </c>
      <c r="FS70" s="21">
        <f>EXP(-LN(2)/2)*FS69+(1-EXP(-LN(2)/2))/(LN(2)/2)*FM70*FP70*VLOOKUP('Données projet'!$B$16,Paramètres!$A$1:$I$89,3,0)*0.475*44/12</f>
        <v>0.89286309052499013</v>
      </c>
      <c r="FT70" s="22">
        <f t="shared" si="78"/>
        <v>164.44493469652735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8.6666666666666661</v>
      </c>
      <c r="FZ70" s="12">
        <f>IF('Données projet'!$A$244&gt;35,FZ69+FY70-GH69,IF(A70&lt;'Données projet'!$A$244,$FW$205^A70,IF(A70='Données projet'!$A$244,'Données projet'!$B$244,FZ69+FY70-GH69)))</f>
        <v>310.6666666666668</v>
      </c>
      <c r="GA70" s="17">
        <f>FZ70*VLOOKUP('Données projet'!$B$17,Paramètres!$A$1:$I$89,3,0)*VLOOKUP('Données projet'!$B$17,Paramètres!$A$1:$I$89,5,0)</f>
        <v>252.01280000000011</v>
      </c>
      <c r="GB70" s="13">
        <f t="shared" si="103"/>
        <v>61.016750317950084</v>
      </c>
      <c r="GC70" s="20">
        <f t="shared" si="79"/>
        <v>545.19313347042998</v>
      </c>
      <c r="GD70" s="59">
        <f t="shared" si="80"/>
        <v>838.52646680376324</v>
      </c>
      <c r="GE70" s="59">
        <f ca="1">AVERAGE(OFFSET($GD$3,0,0,'Données projet'!$E$17+1,1))-AVERAGE(OFFSET($H$3,0,0,'Données projet'!$E$17+1,1))</f>
        <v>298.96480270023716</v>
      </c>
      <c r="GF70" s="59">
        <f t="shared" si="104"/>
        <v>293.11447542333889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27.108585225921082</v>
      </c>
      <c r="GM70" s="21">
        <f>EXP(-LN(2)/25)*GM69+(1-EXP(-LN(2)/25))/(LN(2)/25)*Calculateur!GH70*Calculateur!GJ70*VLOOKUP('Données projet'!$B$17,Paramètres!$A$1:$I$89,3,0)*0.475*44/12</f>
        <v>26.767609725948876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53.876194951869962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8.0507692307692249</v>
      </c>
      <c r="GU70" s="12">
        <f>IF('Données projet'!$A$270&gt;35,GU69+GT70-HC69,IF(A70&lt;'Données projet'!$A$270,$GR$205^A70,IF(A70='Données projet'!$A$270,'Données projet'!$B$270,GU69+GT70-HC69)))</f>
        <v>369.6030769230768</v>
      </c>
      <c r="GV70" s="17">
        <f>GU70*VLOOKUP('Données projet'!$B$18,Paramètres!$A$1:$I$89,3,0)*VLOOKUP('Données projet'!$B$18,Paramètres!$A$1:$I$89,5,0)</f>
        <v>211.41295999999994</v>
      </c>
      <c r="GW70" s="13">
        <f t="shared" si="105"/>
        <v>52.24423239878854</v>
      </c>
      <c r="GX70" s="20">
        <f t="shared" si="82"/>
        <v>459.20294342788992</v>
      </c>
      <c r="GY70" s="59">
        <f t="shared" si="83"/>
        <v>752.53627676122323</v>
      </c>
      <c r="GZ70" s="59">
        <f ca="1">AVERAGE(OFFSET($GY$3,0,0,'Données projet'!$E$18+1,1))-AVERAGE(OFFSET($H$3,0,0,'Données projet'!$E$18+1,1))</f>
        <v>320.76883487964511</v>
      </c>
      <c r="HA70" s="59">
        <f t="shared" si="106"/>
        <v>290.51177680335746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31.614511429440356</v>
      </c>
      <c r="HH70" s="21">
        <f>EXP(-LN(2)/25)*HH69+(1-EXP(-LN(2)/25))/(LN(2)/25)*Calculateur!HC70*Calculateur!HE70*VLOOKUP('Données projet'!$B$18,Paramètres!$A$1:$I$89,3,0)*0.475*44/12</f>
        <v>11.21514489155506</v>
      </c>
      <c r="HI70" s="21">
        <f>EXP(-LN(2)/2)*HI69+(1-EXP(-LN(2)/2))/(LN(2)/2)*HC70*HF70*VLOOKUP('Données projet'!$B$18,Paramètres!$A$1:$I$89,3,0)*0.475*44/12</f>
        <v>0.1809903293625805</v>
      </c>
      <c r="HJ70" s="22">
        <f t="shared" si="84"/>
        <v>43.010646650357991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222.13181250000019</v>
      </c>
      <c r="AK71" s="13">
        <f t="shared" si="89"/>
        <v>54.577964266842784</v>
      </c>
      <c r="AL71" s="20">
        <f t="shared" si="58"/>
        <v>481.93619453558489</v>
      </c>
      <c r="AM71" s="59">
        <f t="shared" si="59"/>
        <v>775.2695278689182</v>
      </c>
      <c r="AN71" s="59">
        <f ca="1">AVERAGE(OFFSET($AM$3,0,0,'Données projet'!$E$10+1,1))-AVERAGE(OFFSET($H$3,0,0,'Données projet'!$E$10+1,1))</f>
        <v>425.47148407510412</v>
      </c>
      <c r="AO71" s="59">
        <f t="shared" si="90"/>
        <v>308.54448799922471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12.750785769578973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12.750785769578973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4.2</v>
      </c>
      <c r="BD71" s="12">
        <f>IF('Données projet'!$A$88&gt;35,BD70+BC71-BL70,IF(A71&lt;'Données projet'!$A$88,$BA$205^A71,IF(A71='Données projet'!$A$88,'Données projet'!$B$88,BD70+BC71-BL70)))</f>
        <v>192.59999999999997</v>
      </c>
      <c r="BE71" s="13">
        <f>BD71*VLOOKUP('Données projet'!$B$11,Paramètres!$A$1:$I$89,3,0)*VLOOKUP('Données projet'!$B$11,Paramètres!$A$1:$I$89,5,0)</f>
        <v>168.25536</v>
      </c>
      <c r="BF71" s="13">
        <f t="shared" si="91"/>
        <v>42.699047982710887</v>
      </c>
      <c r="BG71" s="20">
        <f t="shared" si="61"/>
        <v>367.41226056988808</v>
      </c>
      <c r="BH71" s="59">
        <f t="shared" si="62"/>
        <v>660.74559390322133</v>
      </c>
      <c r="BI71" s="59">
        <f ca="1">AVERAGE(OFFSET($BH$3,0,0,'Données projet'!$E$11+1,1))-AVERAGE(OFFSET($H$3,0,0,'Données projet'!$E$11+1,1))</f>
        <v>300.63505444445104</v>
      </c>
      <c r="BJ71" s="59">
        <f t="shared" si="92"/>
        <v>266.32508105927997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6.7990499337514345</v>
      </c>
      <c r="BQ71" s="21">
        <f>EXP(-LN(2)/25)*BQ70+(1-EXP(-LN(2)/25))/(LN(2)/25)*Calculateur!BL71*Calculateur!BN71*VLOOKUP('Données projet'!$B$11,Paramètres!$A$1:$I$89,3,0)*0.475*44/12</f>
        <v>12.605766876107275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19.404816809858708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5.6899038461538431</v>
      </c>
      <c r="BY71" s="12">
        <f>IF('Données projet'!$A$114&gt;35,BY70+BX71-CG70,IF(A71&lt;'Données projet'!$A$114,$BV$205^A71,IF(A71='Données projet'!$A$114,'Données projet'!$B$114,BY70+BX71-CG70)))</f>
        <v>141.55528846153845</v>
      </c>
      <c r="BZ71" s="13">
        <f>BY71*VLOOKUP('Données projet'!$B$12,Paramètres!$A$1:$I$89,3,0)*VLOOKUP('Données projet'!$B$12,Paramètres!$A$1:$I$89,5,0)</f>
        <v>134.70401249999998</v>
      </c>
      <c r="CA71" s="13">
        <f t="shared" si="93"/>
        <v>35.081059672563008</v>
      </c>
      <c r="CB71" s="20">
        <f t="shared" si="64"/>
        <v>295.70900070054716</v>
      </c>
      <c r="CC71" s="59">
        <f t="shared" si="65"/>
        <v>589.04233403388048</v>
      </c>
      <c r="CD71" s="59">
        <f ca="1">AVERAGE(OFFSET($CC$3,0,0,'Données projet'!$E$12+1,1))-AVERAGE(OFFSET($H$3,0,0,'Données projet'!$E$12+1,1))</f>
        <v>361.26385625423757</v>
      </c>
      <c r="CE71" s="59">
        <f t="shared" si="94"/>
        <v>222.05197404028576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247.00000000000017</v>
      </c>
      <c r="CU71" s="17">
        <f>CT71*VLOOKUP('Données projet'!$B$13,Paramètres!$A$1:$I$89,3,0)*VLOOKUP('Données projet'!$B$13,Paramètres!$A$1:$I$89,5,0)</f>
        <v>223.48560000000012</v>
      </c>
      <c r="CV71" s="13">
        <f t="shared" si="95"/>
        <v>54.87176918107798</v>
      </c>
      <c r="CW71" s="20">
        <f t="shared" si="67"/>
        <v>484.80575132371092</v>
      </c>
      <c r="CX71" s="59">
        <f t="shared" si="68"/>
        <v>778.13908465704424</v>
      </c>
      <c r="CY71" s="59">
        <f ca="1">AVERAGE(OFFSET($CX$3,0,0,'Données projet'!$E$13+1,1))-AVERAGE(OFFSET($H$3,0,0,'Données projet'!$E$13+1,1))</f>
        <v>302.6937347295995</v>
      </c>
      <c r="CZ71" s="59">
        <f t="shared" si="96"/>
        <v>423.44006663873375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0.28542532526931647</v>
      </c>
      <c r="DG71" s="21">
        <f>EXP(-LN(2)/25)*DG70+(1-EXP(-LN(2)/25))/(LN(2)/25)*Calculateur!DB71*Calculateur!DD71*VLOOKUP('Données projet'!$B$13,Paramètres!$A$1:$I$89,3,0)*0.475*44/12</f>
        <v>1.4955932341418285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1.781018559411145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136.91227499999999</v>
      </c>
      <c r="DQ71" s="13">
        <f t="shared" si="97"/>
        <v>35.588735548256899</v>
      </c>
      <c r="DR71" s="20">
        <f t="shared" si="70"/>
        <v>300.43926003821406</v>
      </c>
      <c r="DS71" s="59">
        <f t="shared" si="71"/>
        <v>593.77259337154737</v>
      </c>
      <c r="DT71" s="59">
        <f ca="1">AVERAGE(OFFSET($DS$3,0,0,'Données projet'!$E$14+1,1))-AVERAGE(OFFSET($H$3,0,0,'Données projet'!$E$14+1,1))</f>
        <v>366.51581861366333</v>
      </c>
      <c r="DU71" s="59">
        <f t="shared" si="98"/>
        <v>225.01415116995503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319.33333333333348</v>
      </c>
      <c r="EK71" s="17">
        <f>EJ71*VLOOKUP('Données projet'!$B$15,Paramètres!$A$1:$I$89,3,0)*VLOOKUP('Données projet'!$B$15,Paramètres!$A$1:$I$89,5,0)</f>
        <v>249.08000000000013</v>
      </c>
      <c r="EL71" s="13">
        <f t="shared" si="99"/>
        <v>60.388894447487857</v>
      </c>
      <c r="EM71" s="20">
        <f t="shared" si="73"/>
        <v>538.99165782937473</v>
      </c>
      <c r="EN71" s="59">
        <f t="shared" si="74"/>
        <v>832.3249911627081</v>
      </c>
      <c r="EO71" s="59">
        <f ca="1">AVERAGE(OFFSET($EN$3,0,0,'Données projet'!$E$15+1,1))-AVERAGE(OFFSET($H$3,0,0,'Données projet'!$E$15+1,1))</f>
        <v>288.80569134263209</v>
      </c>
      <c r="EP71" s="59">
        <f t="shared" si="100"/>
        <v>283.48738729114024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20.733147739160732</v>
      </c>
      <c r="EW71" s="21">
        <f>EXP(-LN(2)/25)*EW70+(1-EXP(-LN(2)/25))/(LN(2)/25)*Calculateur!ER71*Calculateur!ET71*VLOOKUP('Données projet'!$B$15,Paramètres!$A$1:$I$89,3,0)*0.475*44/12</f>
        <v>20.310828470697597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41.043976209858329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-1.7053025658242404E-13</v>
      </c>
      <c r="FF71" s="17">
        <f>FE71*VLOOKUP('Données projet'!$B$16,Paramètres!$A$1:$I$89,3,0)*VLOOKUP('Données projet'!$B$16,Paramètres!$A$1:$I$89,5,0)</f>
        <v>-1.0197709343628959E-13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323.17232038705157</v>
      </c>
      <c r="FK71" s="59">
        <f t="shared" si="102"/>
        <v>402.34685738619197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128.4020485166848</v>
      </c>
      <c r="FR71" s="21">
        <f>EXP(-LN(2)/25)*FR70+(1-EXP(-LN(2)/25))/(LN(2)/25)*Calculateur!FM71*Calculateur!FO71*VLOOKUP('Données projet'!$B$16,Paramètres!$A$1:$I$89,3,0)*0.475*44/12</f>
        <v>31.69082510248596</v>
      </c>
      <c r="FS71" s="21">
        <f>EXP(-LN(2)/2)*FS70+(1-EXP(-LN(2)/2))/(LN(2)/2)*FM71*FP71*VLOOKUP('Données projet'!$B$16,Paramètres!$A$1:$I$89,3,0)*0.475*44/12</f>
        <v>0.63134954598139881</v>
      </c>
      <c r="FT71" s="22">
        <f t="shared" si="78"/>
        <v>160.72422316515215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8.6666666666666661</v>
      </c>
      <c r="FZ71" s="12">
        <f>IF('Données projet'!$A$244&gt;35,FZ70+FY71-GH70,IF(A71&lt;'Données projet'!$A$244,$FW$205^A71,IF(A71='Données projet'!$A$244,'Données projet'!$B$244,FZ70+FY71-GH70)))</f>
        <v>319.33333333333348</v>
      </c>
      <c r="GA71" s="17">
        <f>FZ71*VLOOKUP('Données projet'!$B$17,Paramètres!$A$1:$I$89,3,0)*VLOOKUP('Données projet'!$B$17,Paramètres!$A$1:$I$89,5,0)</f>
        <v>259.04320000000013</v>
      </c>
      <c r="GB71" s="13">
        <f t="shared" si="103"/>
        <v>62.518383119960305</v>
      </c>
      <c r="GC71" s="20">
        <f t="shared" si="79"/>
        <v>560.05309060059778</v>
      </c>
      <c r="GD71" s="59">
        <f t="shared" si="80"/>
        <v>853.38642393393116</v>
      </c>
      <c r="GE71" s="59">
        <f ca="1">AVERAGE(OFFSET($GD$3,0,0,'Données projet'!$E$17+1,1))-AVERAGE(OFFSET($H$3,0,0,'Données projet'!$E$17+1,1))</f>
        <v>298.96480270023716</v>
      </c>
      <c r="GF71" s="59">
        <f t="shared" si="104"/>
        <v>293.11447542333889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26.5770024042451</v>
      </c>
      <c r="GM71" s="21">
        <f>EXP(-LN(2)/25)*GM70+(1-EXP(-LN(2)/25))/(LN(2)/25)*Calculateur!GH71*Calculateur!GJ71*VLOOKUP('Données projet'!$B$17,Paramètres!$A$1:$I$89,3,0)*0.475*44/12</f>
        <v>26.035648030345389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52.612650434590492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>
        <f>VLOOKUP(A71,'Données projet'!$A$269:$I$289,2,0)</f>
        <v>377.65384615384613</v>
      </c>
      <c r="GS71" s="12">
        <f>VLOOKUP(A71,'Données projet'!$A$269:$I$289,9,0)</f>
        <v>8.0507692307692249</v>
      </c>
      <c r="GT71" s="12">
        <f t="array" ref="GT71">INDEX(GS:GS,MIN(IF(ISNUMBER(GS71:GS267),ROW(GS71:GS267),"")))</f>
        <v>8.0507692307692249</v>
      </c>
      <c r="GU71" s="12">
        <f>IF('Données projet'!$A$270&gt;35,GU70+GT71-HC70,IF(A71&lt;'Données projet'!$A$270,$GR$205^A71,IF(A71='Données projet'!$A$270,'Données projet'!$B$270,GU70+GT71-HC70)))</f>
        <v>377.65384615384602</v>
      </c>
      <c r="GV71" s="17">
        <f>GU71*VLOOKUP('Données projet'!$B$18,Paramètres!$A$1:$I$89,3,0)*VLOOKUP('Données projet'!$B$18,Paramètres!$A$1:$I$89,5,0)</f>
        <v>216.01799999999994</v>
      </c>
      <c r="GW71" s="13">
        <f t="shared" si="105"/>
        <v>53.248499793208431</v>
      </c>
      <c r="GX71" s="20">
        <f t="shared" si="82"/>
        <v>468.97248713983782</v>
      </c>
      <c r="GY71" s="59">
        <f t="shared" si="83"/>
        <v>762.30582047317114</v>
      </c>
      <c r="GZ71" s="59">
        <f ca="1">AVERAGE(OFFSET($GY$3,0,0,'Données projet'!$E$18+1,1))-AVERAGE(OFFSET($H$3,0,0,'Données projet'!$E$18+1,1))</f>
        <v>320.76883487964511</v>
      </c>
      <c r="HA71" s="59">
        <f t="shared" si="106"/>
        <v>290.51177680335746</v>
      </c>
      <c r="HB71" s="15">
        <f>IF(ISNA(VLOOKUP(A71,'Données projet'!$A$269:$I$289,3,0)),0,VLOOKUP(A71,'Données projet'!$A$269:$I$289,3,0))</f>
        <v>8</v>
      </c>
      <c r="HC71" s="15">
        <f>IF(ISNA(VLOOKUP(A71,'Données projet'!$A$269:$I$289,4,0)),0,VLOOKUP(A71,'Données projet'!$A$269:$I$289,4,0))</f>
        <v>46.069230769230771</v>
      </c>
      <c r="HD71" s="16">
        <f>IF(ISNA(VLOOKUP(A71,'Données projet'!$A$269:$I$289,5,0)),0%,VLOOKUP(A71,'Données projet'!$A$269:$I$289,5,0)*VLOOKUP('Données projet'!$B$18,Paramètres!$A$1:$I$89,7,0))</f>
        <v>0.315</v>
      </c>
      <c r="HE71" s="16">
        <f>IF(ISNA(VLOOKUP(A71,'Données projet'!$A$269:$I$289,6,0)),0%,VLOOKUP(A71,'Données projet'!$A$269:$I$289,6,0)*VLOOKUP('Données projet'!$B$18,Paramètres!$A$1:$I$89,7,0))</f>
        <v>7.6500000000000012E-2</v>
      </c>
      <c r="HF71" s="16">
        <f>IF(ISNA(VLOOKUP(A71,'Données projet'!$A$269:$I$289,7,0)),0%,VLOOKUP(A71,'Données projet'!$A$269:$I$289,7,0))</f>
        <v>0.13</v>
      </c>
      <c r="HG71" s="21">
        <f>EXP(-LN(2)/35)*HG70+(1-EXP(-LN(2)/35))/(LN(2)/35)*HC71*HD71*VLOOKUP('Données projet'!$B$18,Paramètres!$A$1:$I$89,3,0)*0.475*44/12</f>
        <v>42.006055353004555</v>
      </c>
      <c r="HH71" s="21">
        <f>EXP(-LN(2)/25)*HH70+(1-EXP(-LN(2)/25))/(LN(2)/25)*Calculateur!HC71*Calculateur!HE71*VLOOKUP('Données projet'!$B$18,Paramètres!$A$1:$I$89,3,0)*0.475*44/12</f>
        <v>13.572154586789852</v>
      </c>
      <c r="HI71" s="21">
        <f>EXP(-LN(2)/2)*HI70+(1-EXP(-LN(2)/2))/(LN(2)/2)*HC71*HF71*VLOOKUP('Données projet'!$B$18,Paramètres!$A$1:$I$89,3,0)*0.475*44/12</f>
        <v>4.0066767287162612</v>
      </c>
      <c r="HJ71" s="22">
        <f t="shared" si="84"/>
        <v>59.584886668510663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230.34537500000025</v>
      </c>
      <c r="AK72" s="13">
        <f t="shared" si="89"/>
        <v>56.35735315816531</v>
      </c>
      <c r="AL72" s="20">
        <f t="shared" si="58"/>
        <v>499.34058487547162</v>
      </c>
      <c r="AM72" s="59">
        <f t="shared" si="59"/>
        <v>792.67391820880493</v>
      </c>
      <c r="AN72" s="59">
        <f ca="1">AVERAGE(OFFSET($AM$3,0,0,'Données projet'!$E$10+1,1))-AVERAGE(OFFSET($H$3,0,0,'Données projet'!$E$10+1,1))</f>
        <v>425.47148407510412</v>
      </c>
      <c r="AO72" s="59">
        <f t="shared" si="90"/>
        <v>308.54448799922471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12.500750637848913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12.500750637848913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4.2</v>
      </c>
      <c r="BD72" s="12">
        <f>IF('Données projet'!$A$88&gt;35,BD71+BC72-BL71,IF(A72&lt;'Données projet'!$A$88,$BA$205^A72,IF(A72='Données projet'!$A$88,'Données projet'!$B$88,BD71+BC72-BL71)))</f>
        <v>196.79999999999995</v>
      </c>
      <c r="BE72" s="13">
        <f>BD72*VLOOKUP('Données projet'!$B$11,Paramètres!$A$1:$I$89,3,0)*VLOOKUP('Données projet'!$B$11,Paramètres!$A$1:$I$89,5,0)</f>
        <v>171.92447999999999</v>
      </c>
      <c r="BF72" s="13">
        <f t="shared" si="91"/>
        <v>43.520760297647755</v>
      </c>
      <c r="BG72" s="20">
        <f t="shared" si="61"/>
        <v>375.23379351840316</v>
      </c>
      <c r="BH72" s="59">
        <f t="shared" si="62"/>
        <v>668.56712685173648</v>
      </c>
      <c r="BI72" s="59">
        <f ca="1">AVERAGE(OFFSET($BH$3,0,0,'Données projet'!$E$11+1,1))-AVERAGE(OFFSET($H$3,0,0,'Données projet'!$E$11+1,1))</f>
        <v>300.63505444445104</v>
      </c>
      <c r="BJ72" s="59">
        <f t="shared" si="92"/>
        <v>266.32508105927997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6.6657247115615448</v>
      </c>
      <c r="BQ72" s="21">
        <f>EXP(-LN(2)/25)*BQ71+(1-EXP(-LN(2)/25))/(LN(2)/25)*Calculateur!BL72*Calculateur!BN72*VLOOKUP('Données projet'!$B$11,Paramètres!$A$1:$I$89,3,0)*0.475*44/12</f>
        <v>12.261061517971653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18.926786229533199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5.6899038461538431</v>
      </c>
      <c r="BY72" s="12">
        <f>IF('Données projet'!$A$114&gt;35,BY71+BX72-CG71,IF(A72&lt;'Données projet'!$A$114,$BV$205^A72,IF(A72='Données projet'!$A$114,'Données projet'!$B$114,BY71+BX72-CG71)))</f>
        <v>147.24519230769229</v>
      </c>
      <c r="BZ72" s="13">
        <f>BY72*VLOOKUP('Données projet'!$B$12,Paramètres!$A$1:$I$89,3,0)*VLOOKUP('Données projet'!$B$12,Paramètres!$A$1:$I$89,5,0)</f>
        <v>140.11852499999998</v>
      </c>
      <c r="CA72" s="13">
        <f t="shared" si="93"/>
        <v>36.324156570678291</v>
      </c>
      <c r="CB72" s="20">
        <f t="shared" si="64"/>
        <v>307.30433706893126</v>
      </c>
      <c r="CC72" s="59">
        <f t="shared" si="65"/>
        <v>600.63767040226458</v>
      </c>
      <c r="CD72" s="59">
        <f ca="1">AVERAGE(OFFSET($CC$3,0,0,'Données projet'!$E$12+1,1))-AVERAGE(OFFSET($H$3,0,0,'Données projet'!$E$12+1,1))</f>
        <v>361.26385625423757</v>
      </c>
      <c r="CE72" s="59">
        <f t="shared" si="94"/>
        <v>222.05197404028576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247.00000000000017</v>
      </c>
      <c r="CU72" s="17">
        <f>CT72*VLOOKUP('Données projet'!$B$13,Paramètres!$A$1:$I$89,3,0)*VLOOKUP('Données projet'!$B$13,Paramètres!$A$1:$I$89,5,0)</f>
        <v>223.48560000000012</v>
      </c>
      <c r="CV72" s="13">
        <f t="shared" si="95"/>
        <v>54.87176918107798</v>
      </c>
      <c r="CW72" s="20">
        <f t="shared" si="67"/>
        <v>484.80575132371092</v>
      </c>
      <c r="CX72" s="59">
        <f t="shared" si="68"/>
        <v>778.13908465704424</v>
      </c>
      <c r="CY72" s="59">
        <f ca="1">AVERAGE(OFFSET($CX$3,0,0,'Données projet'!$E$13+1,1))-AVERAGE(OFFSET($H$3,0,0,'Données projet'!$E$13+1,1))</f>
        <v>302.6937347295995</v>
      </c>
      <c r="CZ72" s="59">
        <f t="shared" si="96"/>
        <v>423.44006663873375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0.27982830873304337</v>
      </c>
      <c r="DG72" s="21">
        <f>EXP(-LN(2)/25)*DG71+(1-EXP(-LN(2)/25))/(LN(2)/25)*Calculateur!DB72*Calculateur!DD72*VLOOKUP('Données projet'!$B$13,Paramètres!$A$1:$I$89,3,0)*0.475*44/12</f>
        <v>1.4546961585043903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1.7345244672374336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142.41555</v>
      </c>
      <c r="DQ72" s="13">
        <f t="shared" si="97"/>
        <v>36.849821934495218</v>
      </c>
      <c r="DR72" s="20">
        <f t="shared" si="70"/>
        <v>312.22052278591252</v>
      </c>
      <c r="DS72" s="59">
        <f t="shared" si="71"/>
        <v>605.55385611924589</v>
      </c>
      <c r="DT72" s="59">
        <f ca="1">AVERAGE(OFFSET($DS$3,0,0,'Données projet'!$E$14+1,1))-AVERAGE(OFFSET($H$3,0,0,'Données projet'!$E$14+1,1))</f>
        <v>366.51581861366333</v>
      </c>
      <c r="DU72" s="59">
        <f t="shared" si="98"/>
        <v>225.01415116995503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328.00000000000017</v>
      </c>
      <c r="EK72" s="17">
        <f>EJ72*VLOOKUP('Données projet'!$B$15,Paramètres!$A$1:$I$89,3,0)*VLOOKUP('Données projet'!$B$15,Paramètres!$A$1:$I$89,5,0)</f>
        <v>255.84000000000015</v>
      </c>
      <c r="EL72" s="13">
        <f t="shared" si="99"/>
        <v>61.834803371075886</v>
      </c>
      <c r="EM72" s="20">
        <f t="shared" si="73"/>
        <v>553.28361587129086</v>
      </c>
      <c r="EN72" s="59">
        <f t="shared" si="74"/>
        <v>846.61694920462423</v>
      </c>
      <c r="EO72" s="59">
        <f ca="1">AVERAGE(OFFSET($EN$3,0,0,'Données projet'!$E$15+1,1))-AVERAGE(OFFSET($H$3,0,0,'Données projet'!$E$15+1,1))</f>
        <v>288.80569134263209</v>
      </c>
      <c r="EP72" s="59">
        <f t="shared" si="100"/>
        <v>283.48738729114024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20.326583357967223</v>
      </c>
      <c r="EW72" s="21">
        <f>EXP(-LN(2)/25)*EW71+(1-EXP(-LN(2)/25))/(LN(2)/25)*Calculateur!ER72*Calculateur!ET72*VLOOKUP('Données projet'!$B$15,Paramètres!$A$1:$I$89,3,0)*0.475*44/12</f>
        <v>19.755427798066322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40.082011156033545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-1.7053025658242404E-13</v>
      </c>
      <c r="FF72" s="17">
        <f>FE72*VLOOKUP('Données projet'!$B$16,Paramètres!$A$1:$I$89,3,0)*VLOOKUP('Données projet'!$B$16,Paramètres!$A$1:$I$89,5,0)</f>
        <v>-1.0197709343628959E-13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323.17232038705157</v>
      </c>
      <c r="FK72" s="59">
        <f t="shared" si="102"/>
        <v>402.34685738619197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125.884162662789</v>
      </c>
      <c r="FR72" s="21">
        <f>EXP(-LN(2)/25)*FR71+(1-EXP(-LN(2)/25))/(LN(2)/25)*Calculateur!FM72*Calculateur!FO72*VLOOKUP('Données projet'!$B$16,Paramètres!$A$1:$I$89,3,0)*0.475*44/12</f>
        <v>30.824237823510419</v>
      </c>
      <c r="FS72" s="21">
        <f>EXP(-LN(2)/2)*FS71+(1-EXP(-LN(2)/2))/(LN(2)/2)*FM72*FP72*VLOOKUP('Données projet'!$B$16,Paramètres!$A$1:$I$89,3,0)*0.475*44/12</f>
        <v>0.44643154526249512</v>
      </c>
      <c r="FT72" s="22">
        <f t="shared" si="78"/>
        <v>157.15483203156191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>
        <f>VLOOKUP(A72,'Données projet'!$A$243:$I$263,2,0)</f>
        <v>328</v>
      </c>
      <c r="FX72" s="12">
        <f>VLOOKUP(A72,'Données projet'!$A$243:$I$263,9,0)</f>
        <v>8.6666666666666661</v>
      </c>
      <c r="FY72" s="12">
        <f t="array" ref="FY72">INDEX(FX:FX,MIN(IF(ISNUMBER(FX72:FX268),ROW(FX72:FX268),"")))</f>
        <v>8.6666666666666661</v>
      </c>
      <c r="FZ72" s="12">
        <f>IF('Données projet'!$A$244&gt;35,FZ71+FY72-GH71,IF(A72&lt;'Données projet'!$A$244,$FW$205^A72,IF(A72='Données projet'!$A$244,'Données projet'!$B$244,FZ71+FY72-GH71)))</f>
        <v>328.00000000000017</v>
      </c>
      <c r="GA72" s="17">
        <f>FZ72*VLOOKUP('Données projet'!$B$17,Paramètres!$A$1:$I$89,3,0)*VLOOKUP('Données projet'!$B$17,Paramètres!$A$1:$I$89,5,0)</f>
        <v>266.07360000000017</v>
      </c>
      <c r="GB72" s="13">
        <f t="shared" si="103"/>
        <v>64.015279012301136</v>
      </c>
      <c r="GC72" s="20">
        <f t="shared" si="79"/>
        <v>574.90479761309132</v>
      </c>
      <c r="GD72" s="59">
        <f t="shared" si="80"/>
        <v>868.23813094642469</v>
      </c>
      <c r="GE72" s="59">
        <f ca="1">AVERAGE(OFFSET($GD$3,0,0,'Données projet'!$E$17+1,1))-AVERAGE(OFFSET($H$3,0,0,'Données projet'!$E$17+1,1))</f>
        <v>298.96480270023716</v>
      </c>
      <c r="GF72" s="59">
        <f t="shared" si="104"/>
        <v>293.11447542333889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26.05584359746868</v>
      </c>
      <c r="GM72" s="21">
        <f>EXP(-LN(2)/25)*GM71+(1-EXP(-LN(2)/25))/(LN(2)/25)*Calculateur!GH72*Calculateur!GJ72*VLOOKUP('Données projet'!$B$17,Paramètres!$A$1:$I$89,3,0)*0.475*44/12</f>
        <v>25.32370186580037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51.379545463269054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6.8861538461538547</v>
      </c>
      <c r="GU72" s="12">
        <f>IF('Données projet'!$A$270&gt;35,GU71+GT72-HC71,IF(A72&lt;'Données projet'!$A$270,$GR$205^A72,IF(A72='Données projet'!$A$270,'Données projet'!$B$270,GU71+GT72-HC71)))</f>
        <v>338.47076923076906</v>
      </c>
      <c r="GV72" s="17">
        <f>GU72*VLOOKUP('Données projet'!$B$18,Paramètres!$A$1:$I$89,3,0)*VLOOKUP('Données projet'!$B$18,Paramètres!$A$1:$I$89,5,0)</f>
        <v>193.60527999999991</v>
      </c>
      <c r="GW72" s="13">
        <f t="shared" si="105"/>
        <v>48.336154970283907</v>
      </c>
      <c r="GX72" s="20">
        <f t="shared" si="82"/>
        <v>421.38133257324426</v>
      </c>
      <c r="GY72" s="59">
        <f t="shared" si="83"/>
        <v>714.71466590657758</v>
      </c>
      <c r="GZ72" s="59">
        <f ca="1">AVERAGE(OFFSET($GY$3,0,0,'Données projet'!$E$18+1,1))-AVERAGE(OFFSET($H$3,0,0,'Données projet'!$E$18+1,1))</f>
        <v>320.76883487964511</v>
      </c>
      <c r="HA72" s="59">
        <f t="shared" si="106"/>
        <v>290.51177680335746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41.182342228696022</v>
      </c>
      <c r="HH72" s="21">
        <f>EXP(-LN(2)/25)*HH71+(1-EXP(-LN(2)/25))/(LN(2)/25)*Calculateur!HC72*Calculateur!HE72*VLOOKUP('Données projet'!$B$18,Paramètres!$A$1:$I$89,3,0)*0.475*44/12</f>
        <v>13.201023305885492</v>
      </c>
      <c r="HI72" s="21">
        <f>EXP(-LN(2)/2)*HI71+(1-EXP(-LN(2)/2))/(LN(2)/2)*HC72*HF72*VLOOKUP('Données projet'!$B$18,Paramètres!$A$1:$I$89,3,0)*0.475*44/12</f>
        <v>2.8331482848976015</v>
      </c>
      <c r="HJ72" s="22">
        <f t="shared" si="84"/>
        <v>57.216513819479118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238.55893750000027</v>
      </c>
      <c r="AK73" s="13">
        <f t="shared" si="89"/>
        <v>58.129370272573652</v>
      </c>
      <c r="AL73" s="20">
        <f t="shared" si="58"/>
        <v>516.73213603723286</v>
      </c>
      <c r="AM73" s="59">
        <f t="shared" si="59"/>
        <v>810.06546937056623</v>
      </c>
      <c r="AN73" s="59">
        <f ca="1">AVERAGE(OFFSET($AM$3,0,0,'Données projet'!$E$10+1,1))-AVERAGE(OFFSET($H$3,0,0,'Données projet'!$E$10+1,1))</f>
        <v>425.47148407510412</v>
      </c>
      <c r="AO73" s="59">
        <f t="shared" si="90"/>
        <v>308.54448799922471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12.255618542545708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12.255618542545708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201</v>
      </c>
      <c r="BB73" s="12">
        <f>VLOOKUP(A73,'Données projet'!$A$87:$I$107,9,0)</f>
        <v>4.2</v>
      </c>
      <c r="BC73" s="12">
        <f t="array" ref="BC73">INDEX(BB:BB,MIN(IF(ISNUMBER(BB73:BB269),ROW(BB73:BB269),"")))</f>
        <v>4.2</v>
      </c>
      <c r="BD73" s="12">
        <f>IF('Données projet'!$A$88&gt;35,BD72+BC73-BL72,IF(A73&lt;'Données projet'!$A$88,$BA$205^A73,IF(A73='Données projet'!$A$88,'Données projet'!$B$88,BD72+BC73-BL72)))</f>
        <v>200.99999999999994</v>
      </c>
      <c r="BE73" s="13">
        <f>BD73*VLOOKUP('Données projet'!$B$11,Paramètres!$A$1:$I$89,3,0)*VLOOKUP('Données projet'!$B$11,Paramètres!$A$1:$I$89,5,0)</f>
        <v>175.59359999999995</v>
      </c>
      <c r="BF73" s="13">
        <f t="shared" si="91"/>
        <v>44.340433728638573</v>
      </c>
      <c r="BG73" s="20">
        <f t="shared" si="61"/>
        <v>383.05177541071203</v>
      </c>
      <c r="BH73" s="59">
        <f t="shared" si="62"/>
        <v>676.38510874404528</v>
      </c>
      <c r="BI73" s="59">
        <f ca="1">AVERAGE(OFFSET($BH$3,0,0,'Données projet'!$E$11+1,1))-AVERAGE(OFFSET($H$3,0,0,'Données projet'!$E$11+1,1))</f>
        <v>300.63505444445104</v>
      </c>
      <c r="BJ73" s="59">
        <f t="shared" si="92"/>
        <v>266.32508105927997</v>
      </c>
      <c r="BK73" s="15">
        <f>IF(ISNA(VLOOKUP(A73,'Données projet'!$A$87:$I$107,3,0)),0,VLOOKUP(A73,'Données projet'!$A$87:$I$107,3,0))</f>
        <v>11</v>
      </c>
      <c r="BL73" s="15" t="str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0.17200000000000001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8.8605132435908889</v>
      </c>
      <c r="BQ73" s="21">
        <f>EXP(-LN(2)/25)*BQ72+(1-EXP(-LN(2)/25))/(LN(2)/25)*Calculateur!BL73*Calculateur!BN73*VLOOKUP('Données projet'!$B$11,Paramètres!$A$1:$I$89,3,0)*0.475*44/12</f>
        <v>14.24212509697518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23.102638340566067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5.6899038461538431</v>
      </c>
      <c r="BY73" s="12">
        <f>IF('Données projet'!$A$114&gt;35,BY72+BX73-CG72,IF(A73&lt;'Données projet'!$A$114,$BV$205^A73,IF(A73='Données projet'!$A$114,'Données projet'!$B$114,BY72+BX73-CG72)))</f>
        <v>152.93509615384613</v>
      </c>
      <c r="BZ73" s="13">
        <f>BY73*VLOOKUP('Données projet'!$B$12,Paramètres!$A$1:$I$89,3,0)*VLOOKUP('Données projet'!$B$12,Paramètres!$A$1:$I$89,5,0)</f>
        <v>145.53303749999998</v>
      </c>
      <c r="CA73" s="13">
        <f t="shared" si="93"/>
        <v>37.5616731426231</v>
      </c>
      <c r="CB73" s="20">
        <f t="shared" si="64"/>
        <v>318.88995436923523</v>
      </c>
      <c r="CC73" s="59">
        <f t="shared" si="65"/>
        <v>612.22328770256854</v>
      </c>
      <c r="CD73" s="59">
        <f ca="1">AVERAGE(OFFSET($CC$3,0,0,'Données projet'!$E$12+1,1))-AVERAGE(OFFSET($H$3,0,0,'Données projet'!$E$12+1,1))</f>
        <v>361.26385625423757</v>
      </c>
      <c r="CE73" s="59">
        <f t="shared" si="94"/>
        <v>222.05197404028576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247.00000000000017</v>
      </c>
      <c r="CU73" s="17">
        <f>CT73*VLOOKUP('Données projet'!$B$13,Paramètres!$A$1:$I$89,3,0)*VLOOKUP('Données projet'!$B$13,Paramètres!$A$1:$I$89,5,0)</f>
        <v>223.48560000000012</v>
      </c>
      <c r="CV73" s="13">
        <f t="shared" si="95"/>
        <v>54.87176918107798</v>
      </c>
      <c r="CW73" s="20">
        <f t="shared" si="67"/>
        <v>484.80575132371092</v>
      </c>
      <c r="CX73" s="59">
        <f t="shared" si="68"/>
        <v>778.13908465704424</v>
      </c>
      <c r="CY73" s="59">
        <f ca="1">AVERAGE(OFFSET($CX$3,0,0,'Données projet'!$E$13+1,1))-AVERAGE(OFFSET($H$3,0,0,'Données projet'!$E$13+1,1))</f>
        <v>302.6937347295995</v>
      </c>
      <c r="CZ73" s="59">
        <f t="shared" si="96"/>
        <v>423.44006663873375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0.27434104627720363</v>
      </c>
      <c r="DG73" s="21">
        <f>EXP(-LN(2)/25)*DG72+(1-EXP(-LN(2)/25))/(LN(2)/25)*Calculateur!DB73*Calculateur!DD73*VLOOKUP('Données projet'!$B$13,Paramètres!$A$1:$I$89,3,0)*0.475*44/12</f>
        <v>1.4149174155509414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1.689258461828145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147.91882499999997</v>
      </c>
      <c r="DQ73" s="13">
        <f t="shared" si="97"/>
        <v>38.105247238821875</v>
      </c>
      <c r="DR73" s="20">
        <f t="shared" si="70"/>
        <v>323.99192581594804</v>
      </c>
      <c r="DS73" s="59">
        <f t="shared" si="71"/>
        <v>617.32525914928135</v>
      </c>
      <c r="DT73" s="59">
        <f ca="1">AVERAGE(OFFSET($DS$3,0,0,'Données projet'!$E$14+1,1))-AVERAGE(OFFSET($H$3,0,0,'Données projet'!$E$14+1,1))</f>
        <v>366.51581861366333</v>
      </c>
      <c r="DU73" s="59">
        <f t="shared" si="98"/>
        <v>225.01415116995503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328.00000000000017</v>
      </c>
      <c r="EK73" s="17">
        <f>EJ73*VLOOKUP('Données projet'!$B$15,Paramètres!$A$1:$I$89,3,0)*VLOOKUP('Données projet'!$B$15,Paramètres!$A$1:$I$89,5,0)</f>
        <v>255.84000000000015</v>
      </c>
      <c r="EL73" s="13">
        <f t="shared" si="99"/>
        <v>61.834803371075886</v>
      </c>
      <c r="EM73" s="20">
        <f t="shared" si="73"/>
        <v>553.28361587129086</v>
      </c>
      <c r="EN73" s="59">
        <f t="shared" si="74"/>
        <v>846.61694920462423</v>
      </c>
      <c r="EO73" s="59">
        <f ca="1">AVERAGE(OFFSET($EN$3,0,0,'Données projet'!$E$15+1,1))-AVERAGE(OFFSET($H$3,0,0,'Données projet'!$E$15+1,1))</f>
        <v>288.80569134263209</v>
      </c>
      <c r="EP73" s="59">
        <f t="shared" si="100"/>
        <v>283.48738729114024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19.927991456309133</v>
      </c>
      <c r="EW73" s="21">
        <f>EXP(-LN(2)/25)*EW72+(1-EXP(-LN(2)/25))/(LN(2)/25)*Calculateur!ER73*Calculateur!ET73*VLOOKUP('Données projet'!$B$15,Paramètres!$A$1:$I$89,3,0)*0.475*44/12</f>
        <v>19.215214586035401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39.143206042344531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-1.7053025658242404E-13</v>
      </c>
      <c r="FF73" s="17">
        <f>FE73*VLOOKUP('Données projet'!$B$16,Paramètres!$A$1:$I$89,3,0)*VLOOKUP('Données projet'!$B$16,Paramètres!$A$1:$I$89,5,0)</f>
        <v>-1.0197709343628959E-13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323.17232038705157</v>
      </c>
      <c r="FK73" s="59">
        <f t="shared" si="102"/>
        <v>402.34685738619197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123.41565101472936</v>
      </c>
      <c r="FR73" s="21">
        <f>EXP(-LN(2)/25)*FR72+(1-EXP(-LN(2)/25))/(LN(2)/25)*Calculateur!FM73*Calculateur!FO73*VLOOKUP('Données projet'!$B$16,Paramètres!$A$1:$I$89,3,0)*0.475*44/12</f>
        <v>29.981347419250309</v>
      </c>
      <c r="FS73" s="21">
        <f>EXP(-LN(2)/2)*FS72+(1-EXP(-LN(2)/2))/(LN(2)/2)*FM73*FP73*VLOOKUP('Données projet'!$B$16,Paramètres!$A$1:$I$89,3,0)*0.475*44/12</f>
        <v>0.31567477299069946</v>
      </c>
      <c r="FT73" s="22">
        <f t="shared" si="78"/>
        <v>153.71267320697035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328.00000000000017</v>
      </c>
      <c r="GA73" s="17">
        <f>FZ73*VLOOKUP('Données projet'!$B$17,Paramètres!$A$1:$I$89,3,0)*VLOOKUP('Données projet'!$B$17,Paramètres!$A$1:$I$89,5,0)</f>
        <v>266.07360000000017</v>
      </c>
      <c r="GB73" s="13">
        <f t="shared" si="103"/>
        <v>64.015279012301136</v>
      </c>
      <c r="GC73" s="20">
        <f t="shared" si="79"/>
        <v>574.90479761309132</v>
      </c>
      <c r="GD73" s="59">
        <f t="shared" si="80"/>
        <v>868.23813094642469</v>
      </c>
      <c r="GE73" s="59">
        <f ca="1">AVERAGE(OFFSET($GD$3,0,0,'Données projet'!$E$17+1,1))-AVERAGE(OFFSET($H$3,0,0,'Données projet'!$E$17+1,1))</f>
        <v>298.96480270023716</v>
      </c>
      <c r="GF73" s="59">
        <f t="shared" si="104"/>
        <v>293.11447542333889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25.54490439701766</v>
      </c>
      <c r="GM73" s="21">
        <f>EXP(-LN(2)/25)*GM72+(1-EXP(-LN(2)/25))/(LN(2)/25)*Calculateur!GH73*Calculateur!GJ73*VLOOKUP('Données projet'!$B$17,Paramètres!$A$1:$I$89,3,0)*0.475*44/12</f>
        <v>24.631223906564454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50.176128303582118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6.8861538461538547</v>
      </c>
      <c r="GU73" s="12">
        <f>IF('Données projet'!$A$270&gt;35,GU72+GT73-HC72,IF(A73&lt;'Données projet'!$A$270,$GR$205^A73,IF(A73='Données projet'!$A$270,'Données projet'!$B$270,GU72+GT73-HC72)))</f>
        <v>345.3569230769229</v>
      </c>
      <c r="GV73" s="17">
        <f>GU73*VLOOKUP('Données projet'!$B$18,Paramètres!$A$1:$I$89,3,0)*VLOOKUP('Données projet'!$B$18,Paramètres!$A$1:$I$89,5,0)</f>
        <v>197.54415999999992</v>
      </c>
      <c r="GW73" s="13">
        <f t="shared" si="105"/>
        <v>49.204060940128365</v>
      </c>
      <c r="GX73" s="20">
        <f t="shared" si="82"/>
        <v>429.75315147072342</v>
      </c>
      <c r="GY73" s="59">
        <f t="shared" si="83"/>
        <v>723.08648480405668</v>
      </c>
      <c r="GZ73" s="59">
        <f ca="1">AVERAGE(OFFSET($GY$3,0,0,'Données projet'!$E$18+1,1))-AVERAGE(OFFSET($H$3,0,0,'Données projet'!$E$18+1,1))</f>
        <v>320.76883487964511</v>
      </c>
      <c r="HA73" s="59">
        <f t="shared" si="106"/>
        <v>290.51177680335746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40.374781616339781</v>
      </c>
      <c r="HH73" s="21">
        <f>EXP(-LN(2)/25)*HH72+(1-EXP(-LN(2)/25))/(LN(2)/25)*Calculateur!HC73*Calculateur!HE73*VLOOKUP('Données projet'!$B$18,Paramètres!$A$1:$I$89,3,0)*0.475*44/12</f>
        <v>12.840040629374409</v>
      </c>
      <c r="HI73" s="21">
        <f>EXP(-LN(2)/2)*HI72+(1-EXP(-LN(2)/2))/(LN(2)/2)*HC73*HF73*VLOOKUP('Données projet'!$B$18,Paramètres!$A$1:$I$89,3,0)*0.475*44/12</f>
        <v>2.0033383643581311</v>
      </c>
      <c r="HJ73" s="22">
        <f t="shared" si="84"/>
        <v>55.218160610072317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246.77250000000026</v>
      </c>
      <c r="AK74" s="13">
        <f t="shared" si="89"/>
        <v>59.894298509670598</v>
      </c>
      <c r="AL74" s="20">
        <f t="shared" si="58"/>
        <v>534.11134073767676</v>
      </c>
      <c r="AM74" s="59">
        <f t="shared" si="59"/>
        <v>827.44467407101001</v>
      </c>
      <c r="AN74" s="59">
        <f ca="1">AVERAGE(OFFSET($AM$3,0,0,'Données projet'!$E$10+1,1))-AVERAGE(OFFSET($H$3,0,0,'Données projet'!$E$10+1,1))</f>
        <v>425.47148407510412</v>
      </c>
      <c r="AO74" s="59">
        <f t="shared" si="90"/>
        <v>308.54448799922471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25.489866266890814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25.489866266890814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190.39999999999995</v>
      </c>
      <c r="BE74" s="13">
        <f>BD74*VLOOKUP('Données projet'!$B$11,Paramètres!$A$1:$I$89,3,0)*VLOOKUP('Données projet'!$B$11,Paramètres!$A$1:$I$89,5,0)</f>
        <v>166.33343999999997</v>
      </c>
      <c r="BF74" s="13">
        <f t="shared" si="91"/>
        <v>42.267796944897761</v>
      </c>
      <c r="BG74" s="20">
        <f t="shared" si="61"/>
        <v>363.31382101236346</v>
      </c>
      <c r="BH74" s="59">
        <f t="shared" si="62"/>
        <v>656.64715434569678</v>
      </c>
      <c r="BI74" s="59">
        <f ca="1">AVERAGE(OFFSET($BH$3,0,0,'Données projet'!$E$11+1,1))-AVERAGE(OFFSET($H$3,0,0,'Données projet'!$E$11+1,1))</f>
        <v>300.63505444445104</v>
      </c>
      <c r="BJ74" s="59">
        <f t="shared" si="92"/>
        <v>266.32508105927997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8.6867639832635124</v>
      </c>
      <c r="BQ74" s="21">
        <f>EXP(-LN(2)/25)*BQ73+(1-EXP(-LN(2)/25))/(LN(2)/25)*Calculateur!BL74*Calculateur!BN74*VLOOKUP('Données projet'!$B$11,Paramètres!$A$1:$I$89,3,0)*0.475*44/12</f>
        <v>13.852673437237586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22.539437420501098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5.6899038461538431</v>
      </c>
      <c r="BY74" s="12">
        <f>IF('Données projet'!$A$114&gt;35,BY73+BX74-CG73,IF(A74&lt;'Données projet'!$A$114,$BV$205^A74,IF(A74='Données projet'!$A$114,'Données projet'!$B$114,BY73+BX74-CG73)))</f>
        <v>158.62499999999997</v>
      </c>
      <c r="BZ74" s="13">
        <f>BY74*VLOOKUP('Données projet'!$B$12,Paramètres!$A$1:$I$89,3,0)*VLOOKUP('Données projet'!$B$12,Paramètres!$A$1:$I$89,5,0)</f>
        <v>150.94754999999998</v>
      </c>
      <c r="CA74" s="13">
        <f t="shared" si="93"/>
        <v>38.793840776526004</v>
      </c>
      <c r="CB74" s="20">
        <f t="shared" si="64"/>
        <v>330.46625560244939</v>
      </c>
      <c r="CC74" s="59">
        <f t="shared" si="65"/>
        <v>623.79958893578271</v>
      </c>
      <c r="CD74" s="59">
        <f ca="1">AVERAGE(OFFSET($CC$3,0,0,'Données projet'!$E$12+1,1))-AVERAGE(OFFSET($H$3,0,0,'Données projet'!$E$12+1,1))</f>
        <v>361.26385625423757</v>
      </c>
      <c r="CE74" s="59">
        <f t="shared" si="94"/>
        <v>222.05197404028576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247.00000000000017</v>
      </c>
      <c r="CU74" s="17">
        <f>CT74*VLOOKUP('Données projet'!$B$13,Paramètres!$A$1:$I$89,3,0)*VLOOKUP('Données projet'!$B$13,Paramètres!$A$1:$I$89,5,0)</f>
        <v>223.48560000000012</v>
      </c>
      <c r="CV74" s="13">
        <f t="shared" si="95"/>
        <v>54.87176918107798</v>
      </c>
      <c r="CW74" s="20">
        <f t="shared" si="67"/>
        <v>484.80575132371092</v>
      </c>
      <c r="CX74" s="59">
        <f t="shared" si="68"/>
        <v>778.13908465704424</v>
      </c>
      <c r="CY74" s="59">
        <f ca="1">AVERAGE(OFFSET($CX$3,0,0,'Données projet'!$E$13+1,1))-AVERAGE(OFFSET($H$3,0,0,'Données projet'!$E$13+1,1))</f>
        <v>302.6937347295995</v>
      </c>
      <c r="CZ74" s="59">
        <f t="shared" si="96"/>
        <v>423.44006663873375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0.2689613856912233</v>
      </c>
      <c r="DG74" s="21">
        <f>EXP(-LN(2)/25)*DG73+(1-EXP(-LN(2)/25))/(LN(2)/25)*Calculateur!DB74*Calculateur!DD74*VLOOKUP('Données projet'!$B$13,Paramètres!$A$1:$I$89,3,0)*0.475*44/12</f>
        <v>1.3762264244154279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1.645187810106651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153.42209999999997</v>
      </c>
      <c r="DQ74" s="13">
        <f t="shared" si="97"/>
        <v>39.355246197900911</v>
      </c>
      <c r="DR74" s="20">
        <f t="shared" si="70"/>
        <v>335.75387796134402</v>
      </c>
      <c r="DS74" s="59">
        <f t="shared" si="71"/>
        <v>629.08721129467733</v>
      </c>
      <c r="DT74" s="59">
        <f ca="1">AVERAGE(OFFSET($DS$3,0,0,'Données projet'!$E$14+1,1))-AVERAGE(OFFSET($H$3,0,0,'Données projet'!$E$14+1,1))</f>
        <v>366.51581861366333</v>
      </c>
      <c r="DU74" s="59">
        <f t="shared" si="98"/>
        <v>225.01415116995503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328.00000000000017</v>
      </c>
      <c r="EK74" s="17">
        <f>EJ74*VLOOKUP('Données projet'!$B$15,Paramètres!$A$1:$I$89,3,0)*VLOOKUP('Données projet'!$B$15,Paramètres!$A$1:$I$89,5,0)</f>
        <v>255.84000000000015</v>
      </c>
      <c r="EL74" s="13">
        <f t="shared" si="99"/>
        <v>61.834803371075886</v>
      </c>
      <c r="EM74" s="20">
        <f t="shared" si="73"/>
        <v>553.28361587129086</v>
      </c>
      <c r="EN74" s="59">
        <f t="shared" si="74"/>
        <v>846.61694920462423</v>
      </c>
      <c r="EO74" s="59">
        <f ca="1">AVERAGE(OFFSET($EN$3,0,0,'Données projet'!$E$15+1,1))-AVERAGE(OFFSET($H$3,0,0,'Données projet'!$E$15+1,1))</f>
        <v>288.80569134263209</v>
      </c>
      <c r="EP74" s="59">
        <f t="shared" si="100"/>
        <v>283.48738729114024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19.537215698725504</v>
      </c>
      <c r="EW74" s="21">
        <f>EXP(-LN(2)/25)*EW73+(1-EXP(-LN(2)/25))/(LN(2)/25)*Calculateur!ER74*Calculateur!ET74*VLOOKUP('Données projet'!$B$15,Paramètres!$A$1:$I$89,3,0)*0.475*44/12</f>
        <v>18.689773532696044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38.226989231421548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-1.7053025658242404E-13</v>
      </c>
      <c r="FF74" s="17">
        <f>FE74*VLOOKUP('Données projet'!$B$16,Paramètres!$A$1:$I$89,3,0)*VLOOKUP('Données projet'!$B$16,Paramètres!$A$1:$I$89,5,0)</f>
        <v>-1.0197709343628959E-13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323.17232038705157</v>
      </c>
      <c r="FK74" s="59">
        <f t="shared" si="102"/>
        <v>402.34685738619197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120.99554537444475</v>
      </c>
      <c r="FR74" s="21">
        <f>EXP(-LN(2)/25)*FR73+(1-EXP(-LN(2)/25))/(LN(2)/25)*Calculateur!FM74*Calculateur!FO74*VLOOKUP('Données projet'!$B$16,Paramètres!$A$1:$I$89,3,0)*0.475*44/12</f>
        <v>29.161505897420373</v>
      </c>
      <c r="FS74" s="21">
        <f>EXP(-LN(2)/2)*FS73+(1-EXP(-LN(2)/2))/(LN(2)/2)*FM74*FP74*VLOOKUP('Données projet'!$B$16,Paramètres!$A$1:$I$89,3,0)*0.475*44/12</f>
        <v>0.22321577263124759</v>
      </c>
      <c r="FT74" s="22">
        <f t="shared" si="78"/>
        <v>150.38026704449638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328.00000000000017</v>
      </c>
      <c r="GA74" s="17">
        <f>FZ74*VLOOKUP('Données projet'!$B$17,Paramètres!$A$1:$I$89,3,0)*VLOOKUP('Données projet'!$B$17,Paramètres!$A$1:$I$89,5,0)</f>
        <v>266.07360000000017</v>
      </c>
      <c r="GB74" s="13">
        <f t="shared" si="103"/>
        <v>64.015279012301136</v>
      </c>
      <c r="GC74" s="20">
        <f t="shared" si="79"/>
        <v>574.90479761309132</v>
      </c>
      <c r="GD74" s="59">
        <f t="shared" si="80"/>
        <v>868.23813094642469</v>
      </c>
      <c r="GE74" s="59">
        <f ca="1">AVERAGE(OFFSET($GD$3,0,0,'Données projet'!$E$17+1,1))-AVERAGE(OFFSET($H$3,0,0,'Données projet'!$E$17+1,1))</f>
        <v>298.96480270023716</v>
      </c>
      <c r="GF74" s="59">
        <f t="shared" si="104"/>
        <v>293.11447542333889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25.043984402645346</v>
      </c>
      <c r="GM74" s="21">
        <f>EXP(-LN(2)/25)*GM73+(1-EXP(-LN(2)/25))/(LN(2)/25)*Calculateur!GH74*Calculateur!GJ74*VLOOKUP('Données projet'!$B$17,Paramètres!$A$1:$I$89,3,0)*0.475*44/12</f>
        <v>23.957681793539678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49.001666196185028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6.8861538461538547</v>
      </c>
      <c r="GU74" s="12">
        <f>IF('Données projet'!$A$270&gt;35,GU73+GT74-HC73,IF(A74&lt;'Données projet'!$A$270,$GR$205^A74,IF(A74='Données projet'!$A$270,'Données projet'!$B$270,GU73+GT74-HC73)))</f>
        <v>352.24307692307673</v>
      </c>
      <c r="GV74" s="17">
        <f>GU74*VLOOKUP('Données projet'!$B$18,Paramètres!$A$1:$I$89,3,0)*VLOOKUP('Données projet'!$B$18,Paramètres!$A$1:$I$89,5,0)</f>
        <v>201.4830399999999</v>
      </c>
      <c r="GW74" s="13">
        <f t="shared" si="105"/>
        <v>50.069954758151276</v>
      </c>
      <c r="GX74" s="20">
        <f t="shared" si="82"/>
        <v>438.12146587044663</v>
      </c>
      <c r="GY74" s="59">
        <f t="shared" si="83"/>
        <v>731.45479920377988</v>
      </c>
      <c r="GZ74" s="59">
        <f ca="1">AVERAGE(OFFSET($GY$3,0,0,'Données projet'!$E$18+1,1))-AVERAGE(OFFSET($H$3,0,0,'Données projet'!$E$18+1,1))</f>
        <v>320.76883487964511</v>
      </c>
      <c r="HA74" s="59">
        <f t="shared" si="106"/>
        <v>290.51177680335746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39.58305677502851</v>
      </c>
      <c r="HH74" s="21">
        <f>EXP(-LN(2)/25)*HH73+(1-EXP(-LN(2)/25))/(LN(2)/25)*Calculateur!HC74*Calculateur!HE74*VLOOKUP('Données projet'!$B$18,Paramètres!$A$1:$I$89,3,0)*0.475*44/12</f>
        <v>12.488929043135775</v>
      </c>
      <c r="HI74" s="21">
        <f>EXP(-LN(2)/2)*HI73+(1-EXP(-LN(2)/2))/(LN(2)/2)*HC74*HF74*VLOOKUP('Données projet'!$B$18,Paramètres!$A$1:$I$89,3,0)*0.475*44/12</f>
        <v>1.4165741424488012</v>
      </c>
      <c r="HJ74" s="22">
        <f t="shared" si="84"/>
        <v>53.488559960613088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214.22988888888915</v>
      </c>
      <c r="AK75" s="13">
        <f t="shared" si="89"/>
        <v>52.858847294468234</v>
      </c>
      <c r="AL75" s="20">
        <f t="shared" si="58"/>
        <v>465.17954885268068</v>
      </c>
      <c r="AM75" s="59">
        <f t="shared" si="59"/>
        <v>758.51288218601394</v>
      </c>
      <c r="AN75" s="59">
        <f ca="1">AVERAGE(OFFSET($AM$3,0,0,'Données projet'!$E$10+1,1))-AVERAGE(OFFSET($H$3,0,0,'Données projet'!$E$10+1,1))</f>
        <v>425.47148407510412</v>
      </c>
      <c r="AO75" s="59">
        <f t="shared" si="90"/>
        <v>308.54448799922471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24.990025536680342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24.990025536680342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193.79999999999995</v>
      </c>
      <c r="BE75" s="13">
        <f>BD75*VLOOKUP('Données projet'!$B$11,Paramètres!$A$1:$I$89,3,0)*VLOOKUP('Données projet'!$B$11,Paramètres!$A$1:$I$89,5,0)</f>
        <v>169.30367999999999</v>
      </c>
      <c r="BF75" s="13">
        <f t="shared" si="91"/>
        <v>42.934033834973214</v>
      </c>
      <c r="BG75" s="20">
        <f t="shared" si="61"/>
        <v>369.64735159591163</v>
      </c>
      <c r="BH75" s="59">
        <f t="shared" si="62"/>
        <v>662.98068492924494</v>
      </c>
      <c r="BI75" s="59">
        <f ca="1">AVERAGE(OFFSET($BH$3,0,0,'Données projet'!$E$11+1,1))-AVERAGE(OFFSET($H$3,0,0,'Données projet'!$E$11+1,1))</f>
        <v>300.63505444445104</v>
      </c>
      <c r="BJ75" s="59">
        <f t="shared" si="92"/>
        <v>266.32508105927997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8.516421839954571</v>
      </c>
      <c r="BQ75" s="21">
        <f>EXP(-LN(2)/25)*BQ74+(1-EXP(-LN(2)/25))/(LN(2)/25)*Calculateur!BL75*Calculateur!BN75*VLOOKUP('Données projet'!$B$11,Paramètres!$A$1:$I$89,3,0)*0.475*44/12</f>
        <v>13.473871353615889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21.990293193570459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5.6899038461538431</v>
      </c>
      <c r="BY75" s="12">
        <f>IF('Données projet'!$A$114&gt;35,BY74+BX75-CG74,IF(A75&lt;'Données projet'!$A$114,$BV$205^A75,IF(A75='Données projet'!$A$114,'Données projet'!$B$114,BY74+BX75-CG74)))</f>
        <v>164.31490384615381</v>
      </c>
      <c r="BZ75" s="13">
        <f>BY75*VLOOKUP('Données projet'!$B$12,Paramètres!$A$1:$I$89,3,0)*VLOOKUP('Données projet'!$B$12,Paramètres!$A$1:$I$89,5,0)</f>
        <v>156.36206249999998</v>
      </c>
      <c r="CA75" s="13">
        <f t="shared" si="93"/>
        <v>40.020873319698083</v>
      </c>
      <c r="CB75" s="20">
        <f t="shared" si="64"/>
        <v>342.03361321930743</v>
      </c>
      <c r="CC75" s="59">
        <f t="shared" si="65"/>
        <v>635.36694655264068</v>
      </c>
      <c r="CD75" s="59">
        <f ca="1">AVERAGE(OFFSET($CC$3,0,0,'Données projet'!$E$12+1,1))-AVERAGE(OFFSET($H$3,0,0,'Données projet'!$E$12+1,1))</f>
        <v>361.26385625423757</v>
      </c>
      <c r="CE75" s="59">
        <f t="shared" si="94"/>
        <v>222.05197404028576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247.00000000000017</v>
      </c>
      <c r="CU75" s="17">
        <f>CT75*VLOOKUP('Données projet'!$B$13,Paramètres!$A$1:$I$89,3,0)*VLOOKUP('Données projet'!$B$13,Paramètres!$A$1:$I$89,5,0)</f>
        <v>223.48560000000012</v>
      </c>
      <c r="CV75" s="13">
        <f t="shared" si="95"/>
        <v>54.87176918107798</v>
      </c>
      <c r="CW75" s="20">
        <f t="shared" si="67"/>
        <v>484.80575132371092</v>
      </c>
      <c r="CX75" s="59">
        <f t="shared" si="68"/>
        <v>778.13908465704424</v>
      </c>
      <c r="CY75" s="59">
        <f ca="1">AVERAGE(OFFSET($CX$3,0,0,'Données projet'!$E$13+1,1))-AVERAGE(OFFSET($H$3,0,0,'Données projet'!$E$13+1,1))</f>
        <v>302.6937347295995</v>
      </c>
      <c r="CZ75" s="59">
        <f t="shared" si="96"/>
        <v>423.44006663873375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0.26368721696806507</v>
      </c>
      <c r="DG75" s="21">
        <f>EXP(-LN(2)/25)*DG74+(1-EXP(-LN(2)/25))/(LN(2)/25)*Calculateur!DB75*Calculateur!DD75*VLOOKUP('Données projet'!$B$13,Paramètres!$A$1:$I$89,3,0)*0.475*44/12</f>
        <v>1.3385934404671858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1.6022806574352508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158.92537499999997</v>
      </c>
      <c r="DQ75" s="13">
        <f t="shared" si="97"/>
        <v>40.600035753736599</v>
      </c>
      <c r="DR75" s="20">
        <f t="shared" si="70"/>
        <v>347.5067570627578</v>
      </c>
      <c r="DS75" s="59">
        <f t="shared" si="71"/>
        <v>640.84009039609111</v>
      </c>
      <c r="DT75" s="59">
        <f ca="1">AVERAGE(OFFSET($DS$3,0,0,'Données projet'!$E$14+1,1))-AVERAGE(OFFSET($H$3,0,0,'Données projet'!$E$14+1,1))</f>
        <v>366.51581861366333</v>
      </c>
      <c r="DU75" s="59">
        <f t="shared" si="98"/>
        <v>225.01415116995503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328.00000000000017</v>
      </c>
      <c r="EK75" s="17">
        <f>EJ75*VLOOKUP('Données projet'!$B$15,Paramètres!$A$1:$I$89,3,0)*VLOOKUP('Données projet'!$B$15,Paramètres!$A$1:$I$89,5,0)</f>
        <v>255.84000000000015</v>
      </c>
      <c r="EL75" s="13">
        <f t="shared" si="99"/>
        <v>61.834803371075886</v>
      </c>
      <c r="EM75" s="20">
        <f t="shared" si="73"/>
        <v>553.28361587129086</v>
      </c>
      <c r="EN75" s="59">
        <f t="shared" si="74"/>
        <v>846.61694920462423</v>
      </c>
      <c r="EO75" s="59">
        <f ca="1">AVERAGE(OFFSET($EN$3,0,0,'Données projet'!$E$15+1,1))-AVERAGE(OFFSET($H$3,0,0,'Données projet'!$E$15+1,1))</f>
        <v>288.80569134263209</v>
      </c>
      <c r="EP75" s="59">
        <f t="shared" si="100"/>
        <v>283.48738729114024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19.154102815398414</v>
      </c>
      <c r="EW75" s="21">
        <f>EXP(-LN(2)/25)*EW74+(1-EXP(-LN(2)/25))/(LN(2)/25)*Calculateur!ER75*Calculateur!ET75*VLOOKUP('Données projet'!$B$15,Paramètres!$A$1:$I$89,3,0)*0.475*44/12</f>
        <v>18.178700692591995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37.332803507990405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-1.7053025658242404E-13</v>
      </c>
      <c r="FF75" s="17">
        <f>FE75*VLOOKUP('Données projet'!$B$16,Paramètres!$A$1:$I$89,3,0)*VLOOKUP('Données projet'!$B$16,Paramètres!$A$1:$I$89,5,0)</f>
        <v>-1.0197709343628959E-13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323.17232038705157</v>
      </c>
      <c r="FK75" s="59">
        <f t="shared" si="102"/>
        <v>402.34685738619197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118.62289652964742</v>
      </c>
      <c r="FR75" s="21">
        <f>EXP(-LN(2)/25)*FR74+(1-EXP(-LN(2)/25))/(LN(2)/25)*Calculateur!FM75*Calculateur!FO75*VLOOKUP('Données projet'!$B$16,Paramètres!$A$1:$I$89,3,0)*0.475*44/12</f>
        <v>28.364082985118468</v>
      </c>
      <c r="FS75" s="21">
        <f>EXP(-LN(2)/2)*FS74+(1-EXP(-LN(2)/2))/(LN(2)/2)*FM75*FP75*VLOOKUP('Données projet'!$B$16,Paramètres!$A$1:$I$89,3,0)*0.475*44/12</f>
        <v>0.15783738649534973</v>
      </c>
      <c r="FT75" s="22">
        <f t="shared" si="78"/>
        <v>147.14481690126124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328.00000000000017</v>
      </c>
      <c r="GA75" s="17">
        <f>FZ75*VLOOKUP('Données projet'!$B$17,Paramètres!$A$1:$I$89,3,0)*VLOOKUP('Données projet'!$B$17,Paramètres!$A$1:$I$89,5,0)</f>
        <v>266.07360000000017</v>
      </c>
      <c r="GB75" s="13">
        <f t="shared" si="103"/>
        <v>64.015279012301136</v>
      </c>
      <c r="GC75" s="20">
        <f t="shared" si="79"/>
        <v>574.90479761309132</v>
      </c>
      <c r="GD75" s="59">
        <f t="shared" si="80"/>
        <v>868.23813094642469</v>
      </c>
      <c r="GE75" s="59">
        <f ca="1">AVERAGE(OFFSET($GD$3,0,0,'Données projet'!$E$17+1,1))-AVERAGE(OFFSET($H$3,0,0,'Données projet'!$E$17+1,1))</f>
        <v>298.96480270023716</v>
      </c>
      <c r="GF75" s="59">
        <f t="shared" si="104"/>
        <v>293.11447542333889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24.552887143831644</v>
      </c>
      <c r="GM75" s="21">
        <f>EXP(-LN(2)/25)*GM74+(1-EXP(-LN(2)/25))/(LN(2)/25)*Calculateur!GH75*Calculateur!GJ75*VLOOKUP('Données projet'!$B$17,Paramètres!$A$1:$I$89,3,0)*0.475*44/12</f>
        <v>23.302557725015607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47.85544486884725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6.8861538461538547</v>
      </c>
      <c r="GU75" s="12">
        <f>IF('Données projet'!$A$270&gt;35,GU74+GT75-HC74,IF(A75&lt;'Données projet'!$A$270,$GR$205^A75,IF(A75='Données projet'!$A$270,'Données projet'!$B$270,GU74+GT75-HC74)))</f>
        <v>359.12923076923056</v>
      </c>
      <c r="GV75" s="17">
        <f>GU75*VLOOKUP('Données projet'!$B$18,Paramètres!$A$1:$I$89,3,0)*VLOOKUP('Données projet'!$B$18,Paramètres!$A$1:$I$89,5,0)</f>
        <v>205.42191999999989</v>
      </c>
      <c r="GW75" s="13">
        <f t="shared" si="105"/>
        <v>50.933880295259847</v>
      </c>
      <c r="GX75" s="20">
        <f t="shared" si="82"/>
        <v>446.48635218091061</v>
      </c>
      <c r="GY75" s="59">
        <f t="shared" si="83"/>
        <v>739.81968551424393</v>
      </c>
      <c r="GZ75" s="59">
        <f ca="1">AVERAGE(OFFSET($GY$3,0,0,'Données projet'!$E$18+1,1))-AVERAGE(OFFSET($H$3,0,0,'Données projet'!$E$18+1,1))</f>
        <v>320.76883487964511</v>
      </c>
      <c r="HA75" s="59">
        <f t="shared" si="106"/>
        <v>290.51177680335746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38.806857174950885</v>
      </c>
      <c r="HH75" s="21">
        <f>EXP(-LN(2)/25)*HH74+(1-EXP(-LN(2)/25))/(LN(2)/25)*Calculateur!HC75*Calculateur!HE75*VLOOKUP('Données projet'!$B$18,Paramètres!$A$1:$I$89,3,0)*0.475*44/12</f>
        <v>12.147418621686992</v>
      </c>
      <c r="HI75" s="21">
        <f>EXP(-LN(2)/2)*HI74+(1-EXP(-LN(2)/2))/(LN(2)/2)*HC75*HF75*VLOOKUP('Données projet'!$B$18,Paramètres!$A$1:$I$89,3,0)*0.475*44/12</f>
        <v>1.0016691821790658</v>
      </c>
      <c r="HJ75" s="22">
        <f t="shared" si="84"/>
        <v>51.955944978816937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222.18227777777804</v>
      </c>
      <c r="AK76" s="13">
        <f t="shared" si="89"/>
        <v>54.588920195757851</v>
      </c>
      <c r="AL76" s="20">
        <f t="shared" si="58"/>
        <v>482.04316980390831</v>
      </c>
      <c r="AM76" s="59">
        <f t="shared" si="59"/>
        <v>775.37650313724157</v>
      </c>
      <c r="AN76" s="59">
        <f ca="1">AVERAGE(OFFSET($AM$3,0,0,'Données projet'!$E$10+1,1))-AVERAGE(OFFSET($H$3,0,0,'Données projet'!$E$10+1,1))</f>
        <v>425.47148407510412</v>
      </c>
      <c r="AO76" s="59">
        <f t="shared" si="90"/>
        <v>308.54448799922471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24.499986378316557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24.499986378316557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197.19999999999996</v>
      </c>
      <c r="BE76" s="13">
        <f>BD76*VLOOKUP('Données projet'!$B$11,Paramètres!$A$1:$I$89,3,0)*VLOOKUP('Données projet'!$B$11,Paramètres!$A$1:$I$89,5,0)</f>
        <v>172.27391999999998</v>
      </c>
      <c r="BF76" s="13">
        <f t="shared" si="91"/>
        <v>43.598911513699605</v>
      </c>
      <c r="BG76" s="20">
        <f t="shared" si="61"/>
        <v>375.97851488636002</v>
      </c>
      <c r="BH76" s="59">
        <f t="shared" si="62"/>
        <v>669.31184821969327</v>
      </c>
      <c r="BI76" s="59">
        <f ca="1">AVERAGE(OFFSET($BH$3,0,0,'Données projet'!$E$11+1,1))-AVERAGE(OFFSET($H$3,0,0,'Données projet'!$E$11+1,1))</f>
        <v>300.63505444445104</v>
      </c>
      <c r="BJ76" s="59">
        <f t="shared" si="92"/>
        <v>266.32508105927997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8.3494200021774692</v>
      </c>
      <c r="BQ76" s="21">
        <f>EXP(-LN(2)/25)*BQ75+(1-EXP(-LN(2)/25))/(LN(2)/25)*Calculateur!BL76*Calculateur!BN76*VLOOKUP('Données projet'!$B$11,Paramètres!$A$1:$I$89,3,0)*0.475*44/12</f>
        <v>13.105427632891164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21.454847635068631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5.6899038461538431</v>
      </c>
      <c r="BY76" s="12">
        <f>IF('Données projet'!$A$114&gt;35,BY75+BX76-CG75,IF(A76&lt;'Données projet'!$A$114,$BV$205^A76,IF(A76='Données projet'!$A$114,'Données projet'!$B$114,BY75+BX76-CG75)))</f>
        <v>170.00480769230765</v>
      </c>
      <c r="BZ76" s="13">
        <f>BY76*VLOOKUP('Données projet'!$B$12,Paramètres!$A$1:$I$89,3,0)*VLOOKUP('Données projet'!$B$12,Paramètres!$A$1:$I$89,5,0)</f>
        <v>161.77657499999998</v>
      </c>
      <c r="CA76" s="13">
        <f t="shared" si="93"/>
        <v>41.242968969285535</v>
      </c>
      <c r="CB76" s="20">
        <f t="shared" si="64"/>
        <v>353.5923724131722</v>
      </c>
      <c r="CC76" s="59">
        <f t="shared" si="65"/>
        <v>646.92570574650551</v>
      </c>
      <c r="CD76" s="59">
        <f ca="1">AVERAGE(OFFSET($CC$3,0,0,'Données projet'!$E$12+1,1))-AVERAGE(OFFSET($H$3,0,0,'Données projet'!$E$12+1,1))</f>
        <v>361.26385625423757</v>
      </c>
      <c r="CE76" s="59">
        <f t="shared" si="94"/>
        <v>222.05197404028576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247.00000000000017</v>
      </c>
      <c r="CU76" s="17">
        <f>CT76*VLOOKUP('Données projet'!$B$13,Paramètres!$A$1:$I$89,3,0)*VLOOKUP('Données projet'!$B$13,Paramètres!$A$1:$I$89,5,0)</f>
        <v>223.48560000000012</v>
      </c>
      <c r="CV76" s="13">
        <f t="shared" si="95"/>
        <v>54.87176918107798</v>
      </c>
      <c r="CW76" s="20">
        <f t="shared" si="67"/>
        <v>484.80575132371092</v>
      </c>
      <c r="CX76" s="59">
        <f t="shared" si="68"/>
        <v>778.13908465704424</v>
      </c>
      <c r="CY76" s="59">
        <f ca="1">AVERAGE(OFFSET($CX$3,0,0,'Données projet'!$E$13+1,1))-AVERAGE(OFFSET($H$3,0,0,'Données projet'!$E$13+1,1))</f>
        <v>302.6937347295995</v>
      </c>
      <c r="CZ76" s="59">
        <f t="shared" si="96"/>
        <v>423.44006663873375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0.2585164714766427</v>
      </c>
      <c r="DG76" s="21">
        <f>EXP(-LN(2)/25)*DG75+(1-EXP(-LN(2)/25))/(LN(2)/25)*Calculateur!DB76*Calculateur!DD76*VLOOKUP('Données projet'!$B$13,Paramètres!$A$1:$I$89,3,0)*0.475*44/12</f>
        <v>1.3019895324440409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1.5605060039206835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164.42864999999995</v>
      </c>
      <c r="DQ76" s="13">
        <f t="shared" si="97"/>
        <v>41.839816971687064</v>
      </c>
      <c r="DR76" s="20">
        <f t="shared" si="70"/>
        <v>359.25091330902154</v>
      </c>
      <c r="DS76" s="59">
        <f t="shared" si="71"/>
        <v>652.58424664235486</v>
      </c>
      <c r="DT76" s="59">
        <f ca="1">AVERAGE(OFFSET($DS$3,0,0,'Données projet'!$E$14+1,1))-AVERAGE(OFFSET($H$3,0,0,'Données projet'!$E$14+1,1))</f>
        <v>366.51581861366333</v>
      </c>
      <c r="DU76" s="59">
        <f t="shared" si="98"/>
        <v>225.01415116995503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328.00000000000017</v>
      </c>
      <c r="EK76" s="17">
        <f>EJ76*VLOOKUP('Données projet'!$B$15,Paramètres!$A$1:$I$89,3,0)*VLOOKUP('Données projet'!$B$15,Paramètres!$A$1:$I$89,5,0)</f>
        <v>255.84000000000015</v>
      </c>
      <c r="EL76" s="13">
        <f t="shared" si="99"/>
        <v>61.834803371075886</v>
      </c>
      <c r="EM76" s="20">
        <f t="shared" si="73"/>
        <v>553.28361587129086</v>
      </c>
      <c r="EN76" s="59">
        <f t="shared" si="74"/>
        <v>846.61694920462423</v>
      </c>
      <c r="EO76" s="59">
        <f ca="1">AVERAGE(OFFSET($EN$3,0,0,'Données projet'!$E$15+1,1))-AVERAGE(OFFSET($H$3,0,0,'Données projet'!$E$15+1,1))</f>
        <v>288.80569134263209</v>
      </c>
      <c r="EP76" s="59">
        <f t="shared" si="100"/>
        <v>283.48738729114024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18.778502542037582</v>
      </c>
      <c r="EW76" s="21">
        <f>EXP(-LN(2)/25)*EW75+(1-EXP(-LN(2)/25))/(LN(2)/25)*Calculateur!ER76*Calculateur!ET76*VLOOKUP('Données projet'!$B$15,Paramètres!$A$1:$I$89,3,0)*0.475*44/12</f>
        <v>17.681603166176746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36.460105708214329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-1.7053025658242404E-13</v>
      </c>
      <c r="FF76" s="17">
        <f>FE76*VLOOKUP('Données projet'!$B$16,Paramètres!$A$1:$I$89,3,0)*VLOOKUP('Données projet'!$B$16,Paramètres!$A$1:$I$89,5,0)</f>
        <v>-1.0197709343628959E-13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323.17232038705157</v>
      </c>
      <c r="FK76" s="59">
        <f t="shared" si="102"/>
        <v>402.34685738619197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116.29677388152366</v>
      </c>
      <c r="FR76" s="21">
        <f>EXP(-LN(2)/25)*FR75+(1-EXP(-LN(2)/25))/(LN(2)/25)*Calculateur!FM76*Calculateur!FO76*VLOOKUP('Données projet'!$B$16,Paramètres!$A$1:$I$89,3,0)*0.475*44/12</f>
        <v>27.588465644288107</v>
      </c>
      <c r="FS76" s="21">
        <f>EXP(-LN(2)/2)*FS75+(1-EXP(-LN(2)/2))/(LN(2)/2)*FM76*FP76*VLOOKUP('Données projet'!$B$16,Paramètres!$A$1:$I$89,3,0)*0.475*44/12</f>
        <v>0.11160788631562379</v>
      </c>
      <c r="FT76" s="22">
        <f t="shared" si="78"/>
        <v>143.99684741212738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328.00000000000017</v>
      </c>
      <c r="GA76" s="17">
        <f>FZ76*VLOOKUP('Données projet'!$B$17,Paramètres!$A$1:$I$89,3,0)*VLOOKUP('Données projet'!$B$17,Paramètres!$A$1:$I$89,5,0)</f>
        <v>266.07360000000017</v>
      </c>
      <c r="GB76" s="13">
        <f t="shared" si="103"/>
        <v>64.015279012301136</v>
      </c>
      <c r="GC76" s="20">
        <f t="shared" si="79"/>
        <v>574.90479761309132</v>
      </c>
      <c r="GD76" s="59">
        <f t="shared" si="80"/>
        <v>868.23813094642469</v>
      </c>
      <c r="GE76" s="59">
        <f ca="1">AVERAGE(OFFSET($GD$3,0,0,'Données projet'!$E$17+1,1))-AVERAGE(OFFSET($H$3,0,0,'Données projet'!$E$17+1,1))</f>
        <v>298.96480270023716</v>
      </c>
      <c r="GF76" s="59">
        <f t="shared" si="104"/>
        <v>293.11447542333889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24.071420002723528</v>
      </c>
      <c r="GM76" s="21">
        <f>EXP(-LN(2)/25)*GM75+(1-EXP(-LN(2)/25))/(LN(2)/25)*Calculateur!GH76*Calculateur!GJ76*VLOOKUP('Données projet'!$B$17,Paramètres!$A$1:$I$89,3,0)*0.475*44/12</f>
        <v>22.665348058596802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46.736768061320333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6.8861538461538547</v>
      </c>
      <c r="GU76" s="12">
        <f>IF('Données projet'!$A$270&gt;35,GU75+GT76-HC75,IF(A76&lt;'Données projet'!$A$270,$GR$205^A76,IF(A76='Données projet'!$A$270,'Données projet'!$B$270,GU75+GT76-HC75)))</f>
        <v>366.01538461538439</v>
      </c>
      <c r="GV76" s="17">
        <f>GU76*VLOOKUP('Données projet'!$B$18,Paramètres!$A$1:$I$89,3,0)*VLOOKUP('Données projet'!$B$18,Paramètres!$A$1:$I$89,5,0)</f>
        <v>209.3607999999999</v>
      </c>
      <c r="GW76" s="13">
        <f t="shared" si="105"/>
        <v>51.795879643690668</v>
      </c>
      <c r="GX76" s="20">
        <f t="shared" si="82"/>
        <v>454.84788371276096</v>
      </c>
      <c r="GY76" s="59">
        <f t="shared" si="83"/>
        <v>748.18121704609428</v>
      </c>
      <c r="GZ76" s="59">
        <f ca="1">AVERAGE(OFFSET($GY$3,0,0,'Données projet'!$E$18+1,1))-AVERAGE(OFFSET($H$3,0,0,'Données projet'!$E$18+1,1))</f>
        <v>320.76883487964511</v>
      </c>
      <c r="HA76" s="59">
        <f t="shared" si="106"/>
        <v>290.51177680335746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38.04587837559577</v>
      </c>
      <c r="HH76" s="21">
        <f>EXP(-LN(2)/25)*HH75+(1-EXP(-LN(2)/25))/(LN(2)/25)*Calculateur!HC76*Calculateur!HE76*VLOOKUP('Données projet'!$B$18,Paramètres!$A$1:$I$89,3,0)*0.475*44/12</f>
        <v>11.815246820671979</v>
      </c>
      <c r="HI76" s="21">
        <f>EXP(-LN(2)/2)*HI75+(1-EXP(-LN(2)/2))/(LN(2)/2)*HC76*HF76*VLOOKUP('Données projet'!$B$18,Paramètres!$A$1:$I$89,3,0)*0.475*44/12</f>
        <v>0.70828707122440071</v>
      </c>
      <c r="HJ76" s="22">
        <f t="shared" si="84"/>
        <v>50.569412267492147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230.13466666666693</v>
      </c>
      <c r="AK77" s="13">
        <f t="shared" si="89"/>
        <v>56.311798620954782</v>
      </c>
      <c r="AL77" s="20">
        <f t="shared" si="58"/>
        <v>498.89426037594109</v>
      </c>
      <c r="AM77" s="59">
        <f t="shared" si="59"/>
        <v>792.2275937092744</v>
      </c>
      <c r="AN77" s="59">
        <f ca="1">AVERAGE(OFFSET($AM$3,0,0,'Données projet'!$E$10+1,1))-AVERAGE(OFFSET($H$3,0,0,'Données projet'!$E$10+1,1))</f>
        <v>425.47148407510412</v>
      </c>
      <c r="AO77" s="59">
        <f t="shared" si="90"/>
        <v>308.54448799922471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24.019556588953911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24.019556588953911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200.59999999999997</v>
      </c>
      <c r="BE77" s="13">
        <f>BD77*VLOOKUP('Données projet'!$B$11,Paramètres!$A$1:$I$89,3,0)*VLOOKUP('Données projet'!$B$11,Paramètres!$A$1:$I$89,5,0)</f>
        <v>175.24415999999999</v>
      </c>
      <c r="BF77" s="13">
        <f t="shared" si="91"/>
        <v>44.262456119927037</v>
      </c>
      <c r="BG77" s="20">
        <f t="shared" si="61"/>
        <v>382.30735640887292</v>
      </c>
      <c r="BH77" s="59">
        <f t="shared" si="62"/>
        <v>675.64068974220618</v>
      </c>
      <c r="BI77" s="59">
        <f ca="1">AVERAGE(OFFSET($BH$3,0,0,'Données projet'!$E$11+1,1))-AVERAGE(OFFSET($H$3,0,0,'Données projet'!$E$11+1,1))</f>
        <v>300.63505444445104</v>
      </c>
      <c r="BJ77" s="59">
        <f t="shared" si="92"/>
        <v>266.32508105927997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8.1856929685781132</v>
      </c>
      <c r="BQ77" s="21">
        <f>EXP(-LN(2)/25)*BQ76+(1-EXP(-LN(2)/25))/(LN(2)/25)*Calculateur!BL77*Calculateur!BN77*VLOOKUP('Données projet'!$B$11,Paramètres!$A$1:$I$89,3,0)*0.475*44/12</f>
        <v>12.747059025085269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20.932751993663381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5.6899038461538431</v>
      </c>
      <c r="BY77" s="12">
        <f>IF('Données projet'!$A$114&gt;35,BY76+BX77-CG76,IF(A77&lt;'Données projet'!$A$114,$BV$205^A77,IF(A77='Données projet'!$A$114,'Données projet'!$B$114,BY76+BX77-CG76)))</f>
        <v>175.69471153846149</v>
      </c>
      <c r="BZ77" s="13">
        <f>BY77*VLOOKUP('Données projet'!$B$12,Paramètres!$A$1:$I$89,3,0)*VLOOKUP('Données projet'!$B$12,Paramètres!$A$1:$I$89,5,0)</f>
        <v>167.19108749999995</v>
      </c>
      <c r="CA77" s="13">
        <f t="shared" si="93"/>
        <v>42.460311902698287</v>
      </c>
      <c r="CB77" s="20">
        <f t="shared" si="64"/>
        <v>365.14285395969938</v>
      </c>
      <c r="CC77" s="59">
        <f t="shared" si="65"/>
        <v>658.47618729303269</v>
      </c>
      <c r="CD77" s="59">
        <f ca="1">AVERAGE(OFFSET($CC$3,0,0,'Données projet'!$E$12+1,1))-AVERAGE(OFFSET($H$3,0,0,'Données projet'!$E$12+1,1))</f>
        <v>361.26385625423757</v>
      </c>
      <c r="CE77" s="59">
        <f t="shared" si="94"/>
        <v>222.05197404028576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247.00000000000017</v>
      </c>
      <c r="CU77" s="17">
        <f>CT77*VLOOKUP('Données projet'!$B$13,Paramètres!$A$1:$I$89,3,0)*VLOOKUP('Données projet'!$B$13,Paramètres!$A$1:$I$89,5,0)</f>
        <v>223.48560000000012</v>
      </c>
      <c r="CV77" s="13">
        <f t="shared" si="95"/>
        <v>54.87176918107798</v>
      </c>
      <c r="CW77" s="20">
        <f t="shared" si="67"/>
        <v>484.80575132371092</v>
      </c>
      <c r="CX77" s="59">
        <f t="shared" si="68"/>
        <v>778.13908465704424</v>
      </c>
      <c r="CY77" s="59">
        <f ca="1">AVERAGE(OFFSET($CX$3,0,0,'Données projet'!$E$13+1,1))-AVERAGE(OFFSET($H$3,0,0,'Données projet'!$E$13+1,1))</f>
        <v>302.6937347295995</v>
      </c>
      <c r="CZ77" s="59">
        <f t="shared" si="96"/>
        <v>423.44006663873375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0.25344712115046375</v>
      </c>
      <c r="DG77" s="21">
        <f>EXP(-LN(2)/25)*DG76+(1-EXP(-LN(2)/25))/(LN(2)/25)*Calculateur!DB77*Calculateur!DD77*VLOOKUP('Données projet'!$B$13,Paramètres!$A$1:$I$89,3,0)*0.475*44/12</f>
        <v>1.2663865602107049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1.5198336813611686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169.93192499999995</v>
      </c>
      <c r="DQ77" s="13">
        <f t="shared" si="97"/>
        <v>43.074776694487269</v>
      </c>
      <c r="DR77" s="20">
        <f t="shared" si="70"/>
        <v>370.98667211789854</v>
      </c>
      <c r="DS77" s="59">
        <f t="shared" si="71"/>
        <v>664.32000545123185</v>
      </c>
      <c r="DT77" s="59">
        <f ca="1">AVERAGE(OFFSET($DS$3,0,0,'Données projet'!$E$14+1,1))-AVERAGE(OFFSET($H$3,0,0,'Données projet'!$E$14+1,1))</f>
        <v>366.51581861366333</v>
      </c>
      <c r="DU77" s="59">
        <f t="shared" si="98"/>
        <v>225.01415116995503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328.00000000000017</v>
      </c>
      <c r="EK77" s="17">
        <f>EJ77*VLOOKUP('Données projet'!$B$15,Paramètres!$A$1:$I$89,3,0)*VLOOKUP('Données projet'!$B$15,Paramètres!$A$1:$I$89,5,0)</f>
        <v>255.84000000000015</v>
      </c>
      <c r="EL77" s="13">
        <f t="shared" si="99"/>
        <v>61.834803371075886</v>
      </c>
      <c r="EM77" s="20">
        <f t="shared" si="73"/>
        <v>553.28361587129086</v>
      </c>
      <c r="EN77" s="59">
        <f t="shared" si="74"/>
        <v>846.61694920462423</v>
      </c>
      <c r="EO77" s="59">
        <f ca="1">AVERAGE(OFFSET($EN$3,0,0,'Données projet'!$E$15+1,1))-AVERAGE(OFFSET($H$3,0,0,'Données projet'!$E$15+1,1))</f>
        <v>288.80569134263209</v>
      </c>
      <c r="EP77" s="59">
        <f t="shared" si="100"/>
        <v>283.48738729114024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18.410267560943812</v>
      </c>
      <c r="EW77" s="21">
        <f>EXP(-LN(2)/25)*EW76+(1-EXP(-LN(2)/25))/(LN(2)/25)*Calculateur!ER77*Calculateur!ET77*VLOOKUP('Données projet'!$B$15,Paramètres!$A$1:$I$89,3,0)*0.475*44/12</f>
        <v>17.198098797762544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35.608366358706355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-1.7053025658242404E-13</v>
      </c>
      <c r="FF77" s="17">
        <f>FE77*VLOOKUP('Données projet'!$B$16,Paramètres!$A$1:$I$89,3,0)*VLOOKUP('Données projet'!$B$16,Paramètres!$A$1:$I$89,5,0)</f>
        <v>-1.0197709343628959E-13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323.17232038705157</v>
      </c>
      <c r="FK77" s="59">
        <f t="shared" si="102"/>
        <v>402.34685738619197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114.01626507973489</v>
      </c>
      <c r="FR77" s="21">
        <f>EXP(-LN(2)/25)*FR76+(1-EXP(-LN(2)/25))/(LN(2)/25)*Calculateur!FM77*Calculateur!FO77*VLOOKUP('Données projet'!$B$16,Paramètres!$A$1:$I$89,3,0)*0.475*44/12</f>
        <v>26.834057600430693</v>
      </c>
      <c r="FS77" s="21">
        <f>EXP(-LN(2)/2)*FS76+(1-EXP(-LN(2)/2))/(LN(2)/2)*FM77*FP77*VLOOKUP('Données projet'!$B$16,Paramètres!$A$1:$I$89,3,0)*0.475*44/12</f>
        <v>7.8918693247674865E-2</v>
      </c>
      <c r="FT77" s="22">
        <f t="shared" si="78"/>
        <v>140.92924137341328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328.00000000000017</v>
      </c>
      <c r="GA77" s="17">
        <f>FZ77*VLOOKUP('Données projet'!$B$17,Paramètres!$A$1:$I$89,3,0)*VLOOKUP('Données projet'!$B$17,Paramètres!$A$1:$I$89,5,0)</f>
        <v>266.07360000000017</v>
      </c>
      <c r="GB77" s="13">
        <f t="shared" si="103"/>
        <v>64.015279012301136</v>
      </c>
      <c r="GC77" s="20">
        <f t="shared" si="79"/>
        <v>574.90479761309132</v>
      </c>
      <c r="GD77" s="59">
        <f t="shared" si="80"/>
        <v>868.23813094642469</v>
      </c>
      <c r="GE77" s="59">
        <f ca="1">AVERAGE(OFFSET($GD$3,0,0,'Données projet'!$E$17+1,1))-AVERAGE(OFFSET($H$3,0,0,'Données projet'!$E$17+1,1))</f>
        <v>298.96480270023716</v>
      </c>
      <c r="GF77" s="59">
        <f t="shared" si="104"/>
        <v>293.11447542333889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23.599394138586582</v>
      </c>
      <c r="GM77" s="21">
        <f>EXP(-LN(2)/25)*GM76+(1-EXP(-LN(2)/25))/(LN(2)/25)*Calculateur!GH77*Calculateur!GJ77*VLOOKUP('Données projet'!$B$17,Paramètres!$A$1:$I$89,3,0)*0.475*44/12</f>
        <v>22.04556292401562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45.644957062602202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6.8861538461538547</v>
      </c>
      <c r="GU77" s="12">
        <f>IF('Données projet'!$A$270&gt;35,GU76+GT77-HC76,IF(A77&lt;'Données projet'!$A$270,$GR$205^A77,IF(A77='Données projet'!$A$270,'Données projet'!$B$270,GU76+GT77-HC76)))</f>
        <v>372.90153846153822</v>
      </c>
      <c r="GV77" s="17">
        <f>GU77*VLOOKUP('Données projet'!$B$18,Paramètres!$A$1:$I$89,3,0)*VLOOKUP('Données projet'!$B$18,Paramètres!$A$1:$I$89,5,0)</f>
        <v>213.29967999999988</v>
      </c>
      <c r="GW77" s="13">
        <f t="shared" si="105"/>
        <v>52.655993221206074</v>
      </c>
      <c r="GX77" s="20">
        <f t="shared" si="82"/>
        <v>463.20613086026702</v>
      </c>
      <c r="GY77" s="59">
        <f t="shared" si="83"/>
        <v>756.53946419360034</v>
      </c>
      <c r="GZ77" s="59">
        <f ca="1">AVERAGE(OFFSET($GY$3,0,0,'Données projet'!$E$18+1,1))-AVERAGE(OFFSET($H$3,0,0,'Données projet'!$E$18+1,1))</f>
        <v>320.76883487964511</v>
      </c>
      <c r="HA77" s="59">
        <f t="shared" si="106"/>
        <v>290.51177680335746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37.299821906344775</v>
      </c>
      <c r="HH77" s="21">
        <f>EXP(-LN(2)/25)*HH76+(1-EXP(-LN(2)/25))/(LN(2)/25)*Calculateur!HC77*Calculateur!HE77*VLOOKUP('Données projet'!$B$18,Paramètres!$A$1:$I$89,3,0)*0.475*44/12</f>
        <v>11.492158275023877</v>
      </c>
      <c r="HI77" s="21">
        <f>EXP(-LN(2)/2)*HI76+(1-EXP(-LN(2)/2))/(LN(2)/2)*HC77*HF77*VLOOKUP('Données projet'!$B$18,Paramètres!$A$1:$I$89,3,0)*0.475*44/12</f>
        <v>0.50083459108953299</v>
      </c>
      <c r="HJ77" s="22">
        <f t="shared" si="84"/>
        <v>49.292814772458186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238.08705555555576</v>
      </c>
      <c r="AK78" s="13">
        <f t="shared" si="89"/>
        <v>58.027759670447097</v>
      </c>
      <c r="AL78" s="20">
        <f t="shared" si="58"/>
        <v>515.73330318528826</v>
      </c>
      <c r="AM78" s="59">
        <f t="shared" si="59"/>
        <v>809.06663651862164</v>
      </c>
      <c r="AN78" s="59">
        <f ca="1">AVERAGE(OFFSET($AM$3,0,0,'Données projet'!$E$10+1,1))-AVERAGE(OFFSET($H$3,0,0,'Données projet'!$E$10+1,1))</f>
        <v>425.47148407510412</v>
      </c>
      <c r="AO78" s="59">
        <f t="shared" si="90"/>
        <v>308.54448799922471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23.548547734727428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23.548547734727428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204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203.99999999999997</v>
      </c>
      <c r="BE78" s="13">
        <f>BD78*VLOOKUP('Données projet'!$B$11,Paramètres!$A$1:$I$89,3,0)*VLOOKUP('Données projet'!$B$11,Paramètres!$A$1:$I$89,5,0)</f>
        <v>178.21440000000001</v>
      </c>
      <c r="BF78" s="13">
        <f t="shared" si="91"/>
        <v>44.924692855664368</v>
      </c>
      <c r="BG78" s="20">
        <f t="shared" si="61"/>
        <v>388.63392005694874</v>
      </c>
      <c r="BH78" s="59">
        <f t="shared" si="62"/>
        <v>681.96725339028205</v>
      </c>
      <c r="BI78" s="59">
        <f ca="1">AVERAGE(OFFSET($BH$3,0,0,'Données projet'!$E$11+1,1))-AVERAGE(OFFSET($H$3,0,0,'Données projet'!$E$11+1,1))</f>
        <v>300.63505444445104</v>
      </c>
      <c r="BJ78" s="59">
        <f t="shared" si="92"/>
        <v>266.32508105927997</v>
      </c>
      <c r="BK78" s="15">
        <f>IF(ISNA(VLOOKUP(A78,'Données projet'!$A$87:$I$107,3,0)),0,VLOOKUP(A78,'Données projet'!$A$87:$I$107,3,0))</f>
        <v>12</v>
      </c>
      <c r="BL78" s="15" t="str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0.17200000000000001</v>
      </c>
      <c r="BN78" s="16">
        <f>IF(ISNA(VLOOKUP(A78,'Données projet'!$A$87:$I$107,6,0)),0%,VLOOKUP(A78,'Données projet'!$A$87:$I$107,6,0)*VLOOKUP('Données projet'!$B$11,Paramètres!$A$1:$I$89,7,0))</f>
        <v>0.17200000000000001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10.018461660471822</v>
      </c>
      <c r="BQ78" s="21">
        <f>EXP(-LN(2)/25)*BQ77+(1-EXP(-LN(2)/25))/(LN(2)/25)*Calculateur!BL78*Calculateur!BN78*VLOOKUP('Données projet'!$B$11,Paramètres!$A$1:$I$89,3,0)*0.475*44/12</f>
        <v>14.383926840843039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24.40238850131486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181.38461538461536</v>
      </c>
      <c r="BW78" s="12">
        <f>VLOOKUP(A78,'Données projet'!$A$113:$I$133,9,0)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projet'!$A$114&gt;35,BY77+BX78-CG77,IF(A78&lt;'Données projet'!$A$114,$BV$205^A78,IF(A78='Données projet'!$A$114,'Données projet'!$B$114,BY77+BX78-CG77)))</f>
        <v>181.38461538461533</v>
      </c>
      <c r="BZ78" s="13">
        <f>BY78*VLOOKUP('Données projet'!$B$12,Paramètres!$A$1:$I$89,3,0)*VLOOKUP('Données projet'!$B$12,Paramètres!$A$1:$I$89,5,0)</f>
        <v>172.60559999999995</v>
      </c>
      <c r="CA78" s="13">
        <f t="shared" si="93"/>
        <v>43.673073690898889</v>
      </c>
      <c r="CB78" s="20">
        <f t="shared" si="64"/>
        <v>376.68535667831543</v>
      </c>
      <c r="CC78" s="59">
        <f t="shared" si="65"/>
        <v>670.01869001164869</v>
      </c>
      <c r="CD78" s="59">
        <f ca="1">AVERAGE(OFFSET($CC$3,0,0,'Données projet'!$E$12+1,1))-AVERAGE(OFFSET($H$3,0,0,'Données projet'!$E$12+1,1))</f>
        <v>361.26385625423757</v>
      </c>
      <c r="CE78" s="59">
        <f t="shared" si="94"/>
        <v>222.05197404028576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30.916666666666664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9.7895043322989483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9.7895043322989483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247.00000000000017</v>
      </c>
      <c r="CU78" s="17">
        <f>CT78*VLOOKUP('Données projet'!$B$13,Paramètres!$A$1:$I$89,3,0)*VLOOKUP('Données projet'!$B$13,Paramètres!$A$1:$I$89,5,0)</f>
        <v>223.48560000000012</v>
      </c>
      <c r="CV78" s="13">
        <f t="shared" si="95"/>
        <v>54.87176918107798</v>
      </c>
      <c r="CW78" s="20">
        <f t="shared" si="67"/>
        <v>484.80575132371092</v>
      </c>
      <c r="CX78" s="59">
        <f t="shared" si="68"/>
        <v>778.13908465704424</v>
      </c>
      <c r="CY78" s="59">
        <f ca="1">AVERAGE(OFFSET($CX$3,0,0,'Données projet'!$E$13+1,1))-AVERAGE(OFFSET($H$3,0,0,'Données projet'!$E$13+1,1))</f>
        <v>302.6937347295995</v>
      </c>
      <c r="CZ78" s="59">
        <f t="shared" si="96"/>
        <v>423.44006663873375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0.2484771776921828</v>
      </c>
      <c r="DG78" s="21">
        <f>EXP(-LN(2)/25)*DG77+(1-EXP(-LN(2)/25))/(LN(2)/25)*Calculateur!DB78*Calculateur!DD78*VLOOKUP('Données projet'!$B$13,Paramètres!$A$1:$I$89,3,0)*0.475*44/12</f>
        <v>1.2317571531253684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1.4802343308175512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175.43519999999995</v>
      </c>
      <c r="DQ78" s="13">
        <f t="shared" si="97"/>
        <v>44.305088975990508</v>
      </c>
      <c r="DR78" s="20">
        <f t="shared" si="70"/>
        <v>382.71433663318339</v>
      </c>
      <c r="DS78" s="59">
        <f t="shared" si="71"/>
        <v>676.04766996651665</v>
      </c>
      <c r="DT78" s="59">
        <f ca="1">AVERAGE(OFFSET($DS$3,0,0,'Données projet'!$E$14+1,1))-AVERAGE(OFFSET($H$3,0,0,'Données projet'!$E$14+1,1))</f>
        <v>366.51581861366333</v>
      </c>
      <c r="DU78" s="59">
        <f t="shared" si="98"/>
        <v>225.01415116995503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9.9499880098776199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9.9499880098776199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328.00000000000017</v>
      </c>
      <c r="EK78" s="17">
        <f>EJ78*VLOOKUP('Données projet'!$B$15,Paramètres!$A$1:$I$89,3,0)*VLOOKUP('Données projet'!$B$15,Paramètres!$A$1:$I$89,5,0)</f>
        <v>255.84000000000015</v>
      </c>
      <c r="EL78" s="13">
        <f t="shared" si="99"/>
        <v>61.834803371075886</v>
      </c>
      <c r="EM78" s="20">
        <f t="shared" si="73"/>
        <v>553.28361587129086</v>
      </c>
      <c r="EN78" s="59">
        <f t="shared" si="74"/>
        <v>846.61694920462423</v>
      </c>
      <c r="EO78" s="59">
        <f ca="1">AVERAGE(OFFSET($EN$3,0,0,'Données projet'!$E$15+1,1))-AVERAGE(OFFSET($H$3,0,0,'Données projet'!$E$15+1,1))</f>
        <v>288.80569134263209</v>
      </c>
      <c r="EP78" s="59">
        <f t="shared" si="100"/>
        <v>283.48738729114024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18.049253443228128</v>
      </c>
      <c r="EW78" s="21">
        <f>EXP(-LN(2)/25)*EW77+(1-EXP(-LN(2)/25))/(LN(2)/25)*Calculateur!ER78*Calculateur!ET78*VLOOKUP('Données projet'!$B$15,Paramètres!$A$1:$I$89,3,0)*0.475*44/12</f>
        <v>16.727815881729018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34.777069324957147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-1.7053025658242404E-13</v>
      </c>
      <c r="FF78" s="17">
        <f>FE78*VLOOKUP('Données projet'!$B$16,Paramètres!$A$1:$I$89,3,0)*VLOOKUP('Données projet'!$B$16,Paramètres!$A$1:$I$89,5,0)</f>
        <v>-1.0197709343628959E-13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323.17232038705157</v>
      </c>
      <c r="FK78" s="59">
        <f t="shared" si="102"/>
        <v>402.34685738619197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111.78047566457619</v>
      </c>
      <c r="FR78" s="21">
        <f>EXP(-LN(2)/25)*FR77+(1-EXP(-LN(2)/25))/(LN(2)/25)*Calculateur!FM78*Calculateur!FO78*VLOOKUP('Données projet'!$B$16,Paramètres!$A$1:$I$89,3,0)*0.475*44/12</f>
        <v>26.100278884205157</v>
      </c>
      <c r="FS78" s="21">
        <f>EXP(-LN(2)/2)*FS77+(1-EXP(-LN(2)/2))/(LN(2)/2)*FM78*FP78*VLOOKUP('Données projet'!$B$16,Paramètres!$A$1:$I$89,3,0)*0.475*44/12</f>
        <v>5.5803943157811897E-2</v>
      </c>
      <c r="FT78" s="22">
        <f t="shared" si="78"/>
        <v>137.93655849193914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328.00000000000017</v>
      </c>
      <c r="GA78" s="17">
        <f>FZ78*VLOOKUP('Données projet'!$B$17,Paramètres!$A$1:$I$89,3,0)*VLOOKUP('Données projet'!$B$17,Paramètres!$A$1:$I$89,5,0)</f>
        <v>266.07360000000017</v>
      </c>
      <c r="GB78" s="13">
        <f t="shared" si="103"/>
        <v>64.015279012301136</v>
      </c>
      <c r="GC78" s="20">
        <f t="shared" si="79"/>
        <v>574.90479761309132</v>
      </c>
      <c r="GD78" s="59">
        <f t="shared" si="80"/>
        <v>868.23813094642469</v>
      </c>
      <c r="GE78" s="59">
        <f ca="1">AVERAGE(OFFSET($GD$3,0,0,'Données projet'!$E$17+1,1))-AVERAGE(OFFSET($H$3,0,0,'Données projet'!$E$17+1,1))</f>
        <v>298.96480270023716</v>
      </c>
      <c r="GF78" s="59">
        <f t="shared" si="104"/>
        <v>293.11447542333889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23.136624413738016</v>
      </c>
      <c r="GM78" s="21">
        <f>EXP(-LN(2)/25)*GM77+(1-EXP(-LN(2)/25))/(LN(2)/25)*Calculateur!GH78*Calculateur!GJ78*VLOOKUP('Données projet'!$B$17,Paramètres!$A$1:$I$89,3,0)*0.475*44/12</f>
        <v>21.442725846532646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44.579350260270658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6.8861538461538547</v>
      </c>
      <c r="GU78" s="12">
        <f>IF('Données projet'!$A$270&gt;35,GU77+GT78-HC77,IF(A78&lt;'Données projet'!$A$270,$GR$205^A78,IF(A78='Données projet'!$A$270,'Données projet'!$B$270,GU77+GT78-HC77)))</f>
        <v>379.78769230769205</v>
      </c>
      <c r="GV78" s="17">
        <f>GU78*VLOOKUP('Données projet'!$B$18,Paramètres!$A$1:$I$89,3,0)*VLOOKUP('Données projet'!$B$18,Paramètres!$A$1:$I$89,5,0)</f>
        <v>217.23855999999984</v>
      </c>
      <c r="GW78" s="13">
        <f t="shared" si="105"/>
        <v>53.514259867376651</v>
      </c>
      <c r="GX78" s="20">
        <f t="shared" si="82"/>
        <v>471.56116126901406</v>
      </c>
      <c r="GY78" s="59">
        <f t="shared" si="83"/>
        <v>764.89449460234732</v>
      </c>
      <c r="GZ78" s="59">
        <f ca="1">AVERAGE(OFFSET($GY$3,0,0,'Données projet'!$E$18+1,1))-AVERAGE(OFFSET($H$3,0,0,'Données projet'!$E$18+1,1))</f>
        <v>320.76883487964511</v>
      </c>
      <c r="HA78" s="59">
        <f t="shared" si="106"/>
        <v>290.51177680335746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36.568395149406278</v>
      </c>
      <c r="HH78" s="21">
        <f>EXP(-LN(2)/25)*HH77+(1-EXP(-LN(2)/25))/(LN(2)/25)*Calculateur!HC78*Calculateur!HE78*VLOOKUP('Données projet'!$B$18,Paramètres!$A$1:$I$89,3,0)*0.475*44/12</f>
        <v>11.177904602647011</v>
      </c>
      <c r="HI78" s="21">
        <f>EXP(-LN(2)/2)*HI77+(1-EXP(-LN(2)/2))/(LN(2)/2)*HC78*HF78*VLOOKUP('Données projet'!$B$18,Paramètres!$A$1:$I$89,3,0)*0.475*44/12</f>
        <v>0.35414353561220041</v>
      </c>
      <c r="HJ78" s="22">
        <f t="shared" si="84"/>
        <v>48.100443287665492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246.03944444444465</v>
      </c>
      <c r="AK79" s="13">
        <f t="shared" si="89"/>
        <v>59.737060883292813</v>
      </c>
      <c r="AL79" s="20">
        <f t="shared" si="58"/>
        <v>532.56074677914273</v>
      </c>
      <c r="AM79" s="59">
        <f t="shared" si="59"/>
        <v>825.8940801124761</v>
      </c>
      <c r="AN79" s="59">
        <f ca="1">AVERAGE(OFFSET($AM$3,0,0,'Données projet'!$E$10+1,1))-AVERAGE(OFFSET($H$3,0,0,'Données projet'!$E$10+1,1))</f>
        <v>425.47148407510412</v>
      </c>
      <c r="AO79" s="59">
        <f t="shared" si="90"/>
        <v>308.54448799922471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23.086775076845292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23.086775076845292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3.2</v>
      </c>
      <c r="BD79" s="12">
        <f>IF('Données projet'!$A$88&gt;35,BD78+BC79-BL78,IF(A79&lt;'Données projet'!$A$88,$BA$205^A79,IF(A79='Données projet'!$A$88,'Données projet'!$B$88,BD78+BC79-BL78)))</f>
        <v>195.19999999999996</v>
      </c>
      <c r="BE79" s="13">
        <f>BD79*VLOOKUP('Données projet'!$B$11,Paramètres!$A$1:$I$89,3,0)*VLOOKUP('Données projet'!$B$11,Paramètres!$A$1:$I$89,5,0)</f>
        <v>170.52671999999998</v>
      </c>
      <c r="BF79" s="13">
        <f t="shared" si="91"/>
        <v>43.207970095682747</v>
      </c>
      <c r="BG79" s="20">
        <f t="shared" si="61"/>
        <v>372.25458524998072</v>
      </c>
      <c r="BH79" s="59">
        <f t="shared" si="62"/>
        <v>665.58791858331404</v>
      </c>
      <c r="BI79" s="59">
        <f ca="1">AVERAGE(OFFSET($BH$3,0,0,'Données projet'!$E$11+1,1))-AVERAGE(OFFSET($H$3,0,0,'Données projet'!$E$11+1,1))</f>
        <v>300.63505444445104</v>
      </c>
      <c r="BJ79" s="59">
        <f t="shared" si="92"/>
        <v>266.32508105927997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9.8220057379682046</v>
      </c>
      <c r="BQ79" s="21">
        <f>EXP(-LN(2)/25)*BQ78+(1-EXP(-LN(2)/25))/(LN(2)/25)*Calculateur!BL79*Calculateur!BN79*VLOOKUP('Données projet'!$B$11,Paramètres!$A$1:$I$89,3,0)*0.475*44/12</f>
        <v>13.990597604962348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23.812603342930551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5.5042735042735051</v>
      </c>
      <c r="BY79" s="12">
        <f>IF('Données projet'!$A$114&gt;35,BY78+BX79-CG78,IF(A79&lt;'Données projet'!$A$114,$BV$205^A79,IF(A79='Données projet'!$A$114,'Données projet'!$B$114,BY78+BX79-CG78)))</f>
        <v>155.97222222222217</v>
      </c>
      <c r="BZ79" s="13">
        <f>BY79*VLOOKUP('Données projet'!$B$12,Paramètres!$A$1:$I$89,3,0)*VLOOKUP('Données projet'!$B$12,Paramètres!$A$1:$I$89,5,0)</f>
        <v>148.42316666666662</v>
      </c>
      <c r="CA79" s="13">
        <f t="shared" si="93"/>
        <v>38.220024488050548</v>
      </c>
      <c r="CB79" s="20">
        <f t="shared" si="64"/>
        <v>325.07022459446569</v>
      </c>
      <c r="CC79" s="59">
        <f t="shared" si="65"/>
        <v>618.40355792779906</v>
      </c>
      <c r="CD79" s="59">
        <f ca="1">AVERAGE(OFFSET($CC$3,0,0,'Données projet'!$E$12+1,1))-AVERAGE(OFFSET($H$3,0,0,'Données projet'!$E$12+1,1))</f>
        <v>361.26385625423757</v>
      </c>
      <c r="CE79" s="59">
        <f t="shared" si="94"/>
        <v>222.05197404028576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9.5975381233506205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9.5975381233506205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247.00000000000017</v>
      </c>
      <c r="CU79" s="17">
        <f>CT79*VLOOKUP('Données projet'!$B$13,Paramètres!$A$1:$I$89,3,0)*VLOOKUP('Données projet'!$B$13,Paramètres!$A$1:$I$89,5,0)</f>
        <v>223.48560000000012</v>
      </c>
      <c r="CV79" s="13">
        <f t="shared" si="95"/>
        <v>54.87176918107798</v>
      </c>
      <c r="CW79" s="20">
        <f t="shared" si="67"/>
        <v>484.80575132371092</v>
      </c>
      <c r="CX79" s="59">
        <f t="shared" si="68"/>
        <v>778.13908465704424</v>
      </c>
      <c r="CY79" s="59">
        <f ca="1">AVERAGE(OFFSET($CX$3,0,0,'Données projet'!$E$13+1,1))-AVERAGE(OFFSET($H$3,0,0,'Données projet'!$E$13+1,1))</f>
        <v>302.6937347295995</v>
      </c>
      <c r="CZ79" s="59">
        <f t="shared" si="96"/>
        <v>423.44006663873375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0.24360469179375258</v>
      </c>
      <c r="DG79" s="21">
        <f>EXP(-LN(2)/25)*DG78+(1-EXP(-LN(2)/25))/(LN(2)/25)*Calculateur!DB79*Calculateur!DD79*VLOOKUP('Données projet'!$B$13,Paramètres!$A$1:$I$89,3,0)*0.475*44/12</f>
        <v>1.1980746889978617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1.4416793807916144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150.85633333333328</v>
      </c>
      <c r="DQ79" s="13">
        <f t="shared" si="97"/>
        <v>38.773125921762045</v>
      </c>
      <c r="DR79" s="20">
        <f t="shared" si="70"/>
        <v>330.27130820262437</v>
      </c>
      <c r="DS79" s="59">
        <f t="shared" si="71"/>
        <v>623.60464153595763</v>
      </c>
      <c r="DT79" s="59">
        <f ca="1">AVERAGE(OFFSET($DS$3,0,0,'Données projet'!$E$14+1,1))-AVERAGE(OFFSET($H$3,0,0,'Données projet'!$E$14+1,1))</f>
        <v>366.51581861366333</v>
      </c>
      <c r="DU79" s="59">
        <f t="shared" si="98"/>
        <v>225.01415116995503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9.7548748138973522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9.7548748138973522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328.00000000000017</v>
      </c>
      <c r="EK79" s="17">
        <f>EJ79*VLOOKUP('Données projet'!$B$15,Paramètres!$A$1:$I$89,3,0)*VLOOKUP('Données projet'!$B$15,Paramètres!$A$1:$I$89,5,0)</f>
        <v>255.84000000000015</v>
      </c>
      <c r="EL79" s="13">
        <f t="shared" si="99"/>
        <v>61.834803371075886</v>
      </c>
      <c r="EM79" s="20">
        <f t="shared" si="73"/>
        <v>553.28361587129086</v>
      </c>
      <c r="EN79" s="59">
        <f t="shared" si="74"/>
        <v>846.61694920462423</v>
      </c>
      <c r="EO79" s="59">
        <f ca="1">AVERAGE(OFFSET($EN$3,0,0,'Données projet'!$E$15+1,1))-AVERAGE(OFFSET($H$3,0,0,'Données projet'!$E$15+1,1))</f>
        <v>288.80569134263209</v>
      </c>
      <c r="EP79" s="59">
        <f t="shared" si="100"/>
        <v>283.48738729114024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17.695318592163982</v>
      </c>
      <c r="EW79" s="21">
        <f>EXP(-LN(2)/25)*EW78+(1-EXP(-LN(2)/25))/(LN(2)/25)*Calculateur!ER79*Calculateur!ET79*VLOOKUP('Données projet'!$B$15,Paramètres!$A$1:$I$89,3,0)*0.475*44/12</f>
        <v>16.270392876765534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33.965711468929513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-1.7053025658242404E-13</v>
      </c>
      <c r="FF79" s="17">
        <f>FE79*VLOOKUP('Données projet'!$B$16,Paramètres!$A$1:$I$89,3,0)*VLOOKUP('Données projet'!$B$16,Paramètres!$A$1:$I$89,5,0)</f>
        <v>-1.0197709343628959E-13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323.17232038705157</v>
      </c>
      <c r="FK79" s="59">
        <f t="shared" si="102"/>
        <v>402.34685738619197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109.58852871615186</v>
      </c>
      <c r="FR79" s="21">
        <f>EXP(-LN(2)/25)*FR78+(1-EXP(-LN(2)/25))/(LN(2)/25)*Calculateur!FM79*Calculateur!FO79*VLOOKUP('Données projet'!$B$16,Paramètres!$A$1:$I$89,3,0)*0.475*44/12</f>
        <v>25.386565385562552</v>
      </c>
      <c r="FS79" s="21">
        <f>EXP(-LN(2)/2)*FS78+(1-EXP(-LN(2)/2))/(LN(2)/2)*FM79*FP79*VLOOKUP('Données projet'!$B$16,Paramètres!$A$1:$I$89,3,0)*0.475*44/12</f>
        <v>3.9459346623837432E-2</v>
      </c>
      <c r="FT79" s="22">
        <f t="shared" si="78"/>
        <v>135.01455344833823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328.00000000000017</v>
      </c>
      <c r="GA79" s="17">
        <f>FZ79*VLOOKUP('Données projet'!$B$17,Paramètres!$A$1:$I$89,3,0)*VLOOKUP('Données projet'!$B$17,Paramètres!$A$1:$I$89,5,0)</f>
        <v>266.07360000000017</v>
      </c>
      <c r="GB79" s="13">
        <f t="shared" si="103"/>
        <v>64.015279012301136</v>
      </c>
      <c r="GC79" s="20">
        <f t="shared" si="79"/>
        <v>574.90479761309132</v>
      </c>
      <c r="GD79" s="59">
        <f t="shared" si="80"/>
        <v>868.23813094642469</v>
      </c>
      <c r="GE79" s="59">
        <f ca="1">AVERAGE(OFFSET($GD$3,0,0,'Données projet'!$E$17+1,1))-AVERAGE(OFFSET($H$3,0,0,'Données projet'!$E$17+1,1))</f>
        <v>298.96480270023716</v>
      </c>
      <c r="GF79" s="59">
        <f t="shared" si="104"/>
        <v>293.11447542333889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22.682929320932068</v>
      </c>
      <c r="GM79" s="21">
        <f>EXP(-LN(2)/25)*GM78+(1-EXP(-LN(2)/25))/(LN(2)/25)*Calculateur!GH79*Calculateur!GJ79*VLOOKUP('Données projet'!$B$17,Paramètres!$A$1:$I$89,3,0)*0.475*44/12</f>
        <v>20.856373380635265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43.539302701567337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6.8861538461538547</v>
      </c>
      <c r="GU79" s="12">
        <f>IF('Données projet'!$A$270&gt;35,GU78+GT79-HC78,IF(A79&lt;'Données projet'!$A$270,$GR$205^A79,IF(A79='Données projet'!$A$270,'Données projet'!$B$270,GU78+GT79-HC78)))</f>
        <v>386.67384615384589</v>
      </c>
      <c r="GV79" s="17">
        <f>GU79*VLOOKUP('Données projet'!$B$18,Paramètres!$A$1:$I$89,3,0)*VLOOKUP('Données projet'!$B$18,Paramètres!$A$1:$I$89,5,0)</f>
        <v>221.17743999999985</v>
      </c>
      <c r="GW79" s="13">
        <f t="shared" si="105"/>
        <v>54.370716932682562</v>
      </c>
      <c r="GX79" s="20">
        <f t="shared" si="82"/>
        <v>479.91303999108851</v>
      </c>
      <c r="GY79" s="59">
        <f t="shared" si="83"/>
        <v>773.24637332442182</v>
      </c>
      <c r="GZ79" s="59">
        <f ca="1">AVERAGE(OFFSET($GY$3,0,0,'Données projet'!$E$18+1,1))-AVERAGE(OFFSET($H$3,0,0,'Données projet'!$E$18+1,1))</f>
        <v>320.76883487964511</v>
      </c>
      <c r="HA79" s="59">
        <f t="shared" si="106"/>
        <v>290.51177680335746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35.851311225045073</v>
      </c>
      <c r="HH79" s="21">
        <f>EXP(-LN(2)/25)*HH78+(1-EXP(-LN(2)/25))/(LN(2)/25)*Calculateur!HC79*Calculateur!HE79*VLOOKUP('Données projet'!$B$18,Paramètres!$A$1:$I$89,3,0)*0.475*44/12</f>
        <v>10.872244213467173</v>
      </c>
      <c r="HI79" s="21">
        <f>EXP(-LN(2)/2)*HI78+(1-EXP(-LN(2)/2))/(LN(2)/2)*HC79*HF79*VLOOKUP('Données projet'!$B$18,Paramètres!$A$1:$I$89,3,0)*0.475*44/12</f>
        <v>0.25041729554476649</v>
      </c>
      <c r="HJ79" s="22">
        <f t="shared" si="84"/>
        <v>46.973972734057014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253.99183333333355</v>
      </c>
      <c r="AK80" s="13">
        <f t="shared" si="89"/>
        <v>61.439942205271571</v>
      </c>
      <c r="AL80" s="20">
        <f t="shared" si="58"/>
        <v>549.37700906307055</v>
      </c>
      <c r="AM80" s="59">
        <f t="shared" si="59"/>
        <v>842.7103423964038</v>
      </c>
      <c r="AN80" s="59">
        <f ca="1">AVERAGE(OFFSET($AM$3,0,0,'Données projet'!$E$10+1,1))-AVERAGE(OFFSET($H$3,0,0,'Données projet'!$E$10+1,1))</f>
        <v>425.47148407510412</v>
      </c>
      <c r="AO80" s="59">
        <f t="shared" si="90"/>
        <v>308.54448799922471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22.634057499130716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22.634057499130716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3.2</v>
      </c>
      <c r="BD80" s="12">
        <f>IF('Données projet'!$A$88&gt;35,BD79+BC80-BL79,IF(A80&lt;'Données projet'!$A$88,$BA$205^A80,IF(A80='Données projet'!$A$88,'Données projet'!$B$88,BD79+BC80-BL79)))</f>
        <v>198.39999999999995</v>
      </c>
      <c r="BE80" s="13">
        <f>BD80*VLOOKUP('Données projet'!$B$11,Paramètres!$A$1:$I$89,3,0)*VLOOKUP('Données projet'!$B$11,Paramètres!$A$1:$I$89,5,0)</f>
        <v>173.32223999999999</v>
      </c>
      <c r="BF80" s="13">
        <f t="shared" si="91"/>
        <v>43.833254629845122</v>
      </c>
      <c r="BG80" s="20">
        <f t="shared" si="61"/>
        <v>378.2124864803136</v>
      </c>
      <c r="BH80" s="59">
        <f t="shared" si="62"/>
        <v>671.54581981364686</v>
      </c>
      <c r="BI80" s="59">
        <f ca="1">AVERAGE(OFFSET($BH$3,0,0,'Données projet'!$E$11+1,1))-AVERAGE(OFFSET($H$3,0,0,'Données projet'!$E$11+1,1))</f>
        <v>300.63505444445104</v>
      </c>
      <c r="BJ80" s="59">
        <f t="shared" si="92"/>
        <v>266.32508105927997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9.6294021962786029</v>
      </c>
      <c r="BQ80" s="21">
        <f>EXP(-LN(2)/25)*BQ79+(1-EXP(-LN(2)/25))/(LN(2)/25)*Calculateur!BL80*Calculateur!BN80*VLOOKUP('Données projet'!$B$11,Paramètres!$A$1:$I$89,3,0)*0.475*44/12</f>
        <v>13.6080239777211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23.237426173999701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5.5042735042735051</v>
      </c>
      <c r="BY80" s="12">
        <f>IF('Données projet'!$A$114&gt;35,BY79+BX80-CG79,IF(A80&lt;'Données projet'!$A$114,$BV$205^A80,IF(A80='Données projet'!$A$114,'Données projet'!$B$114,BY79+BX80-CG79)))</f>
        <v>161.47649572649567</v>
      </c>
      <c r="BZ80" s="13">
        <f>BY80*VLOOKUP('Données projet'!$B$12,Paramètres!$A$1:$I$89,3,0)*VLOOKUP('Données projet'!$B$12,Paramètres!$A$1:$I$89,5,0)</f>
        <v>153.66103333333328</v>
      </c>
      <c r="CA80" s="13">
        <f t="shared" si="93"/>
        <v>39.409397364479119</v>
      </c>
      <c r="CB80" s="20">
        <f t="shared" si="64"/>
        <v>336.26433346535657</v>
      </c>
      <c r="CC80" s="59">
        <f t="shared" si="65"/>
        <v>629.59766679868994</v>
      </c>
      <c r="CD80" s="59">
        <f ca="1">AVERAGE(OFFSET($CC$3,0,0,'Données projet'!$E$12+1,1))-AVERAGE(OFFSET($H$3,0,0,'Données projet'!$E$12+1,1))</f>
        <v>361.26385625423757</v>
      </c>
      <c r="CE80" s="59">
        <f t="shared" si="94"/>
        <v>222.05197404028576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9.4093362546719437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9.4093362546719437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247.00000000000017</v>
      </c>
      <c r="CU80" s="17">
        <f>CT80*VLOOKUP('Données projet'!$B$13,Paramètres!$A$1:$I$89,3,0)*VLOOKUP('Données projet'!$B$13,Paramètres!$A$1:$I$89,5,0)</f>
        <v>223.48560000000012</v>
      </c>
      <c r="CV80" s="13">
        <f t="shared" si="95"/>
        <v>54.87176918107798</v>
      </c>
      <c r="CW80" s="20">
        <f t="shared" si="67"/>
        <v>484.80575132371092</v>
      </c>
      <c r="CX80" s="59">
        <f t="shared" si="68"/>
        <v>778.13908465704424</v>
      </c>
      <c r="CY80" s="59">
        <f ca="1">AVERAGE(OFFSET($CX$3,0,0,'Données projet'!$E$13+1,1))-AVERAGE(OFFSET($H$3,0,0,'Données projet'!$E$13+1,1))</f>
        <v>302.6937347295995</v>
      </c>
      <c r="CZ80" s="59">
        <f t="shared" si="96"/>
        <v>423.44006663873375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0.23882775237186762</v>
      </c>
      <c r="DG80" s="21">
        <f>EXP(-LN(2)/25)*DG79+(1-EXP(-LN(2)/25))/(LN(2)/25)*Calculateur!DB80*Calculateur!DD80*VLOOKUP('Données projet'!$B$13,Paramètres!$A$1:$I$89,3,0)*0.475*44/12</f>
        <v>1.1653132736232055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1.4041410259950731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156.18006666666662</v>
      </c>
      <c r="DQ80" s="13">
        <f t="shared" si="97"/>
        <v>39.979710818642765</v>
      </c>
      <c r="DR80" s="20">
        <f t="shared" si="70"/>
        <v>341.64494578691387</v>
      </c>
      <c r="DS80" s="59">
        <f t="shared" si="71"/>
        <v>634.97827912024718</v>
      </c>
      <c r="DT80" s="59">
        <f ca="1">AVERAGE(OFFSET($DS$3,0,0,'Données projet'!$E$14+1,1))-AVERAGE(OFFSET($H$3,0,0,'Données projet'!$E$14+1,1))</f>
        <v>366.51581861366333</v>
      </c>
      <c r="DU80" s="59">
        <f t="shared" si="98"/>
        <v>225.01415116995503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9.5635876686829597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9.5635876686829597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328.00000000000017</v>
      </c>
      <c r="EK80" s="17">
        <f>EJ80*VLOOKUP('Données projet'!$B$15,Paramètres!$A$1:$I$89,3,0)*VLOOKUP('Données projet'!$B$15,Paramètres!$A$1:$I$89,5,0)</f>
        <v>255.84000000000015</v>
      </c>
      <c r="EL80" s="13">
        <f t="shared" si="99"/>
        <v>61.834803371075886</v>
      </c>
      <c r="EM80" s="20">
        <f t="shared" si="73"/>
        <v>553.28361587129086</v>
      </c>
      <c r="EN80" s="59">
        <f t="shared" si="74"/>
        <v>846.61694920462423</v>
      </c>
      <c r="EO80" s="59">
        <f ca="1">AVERAGE(OFFSET($EN$3,0,0,'Données projet'!$E$15+1,1))-AVERAGE(OFFSET($H$3,0,0,'Données projet'!$E$15+1,1))</f>
        <v>288.80569134263209</v>
      </c>
      <c r="EP80" s="59">
        <f t="shared" si="100"/>
        <v>283.48738729114024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17.34832418765026</v>
      </c>
      <c r="EW80" s="21">
        <f>EXP(-LN(2)/25)*EW79+(1-EXP(-LN(2)/25))/(LN(2)/25)*Calculateur!ER80*Calculateur!ET80*VLOOKUP('Données projet'!$B$15,Paramètres!$A$1:$I$89,3,0)*0.475*44/12</f>
        <v>15.825478127927605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33.173802315577866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-1.7053025658242404E-13</v>
      </c>
      <c r="FF80" s="17">
        <f>FE80*VLOOKUP('Données projet'!$B$16,Paramètres!$A$1:$I$89,3,0)*VLOOKUP('Données projet'!$B$16,Paramètres!$A$1:$I$89,5,0)</f>
        <v>-1.0197709343628959E-13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323.17232038705157</v>
      </c>
      <c r="FK80" s="59">
        <f t="shared" si="102"/>
        <v>402.34685738619197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107.4395645104305</v>
      </c>
      <c r="FR80" s="21">
        <f>EXP(-LN(2)/25)*FR79+(1-EXP(-LN(2)/25))/(LN(2)/25)*Calculateur!FM80*Calculateur!FO80*VLOOKUP('Données projet'!$B$16,Paramètres!$A$1:$I$89,3,0)*0.475*44/12</f>
        <v>24.692368420072892</v>
      </c>
      <c r="FS80" s="21">
        <f>EXP(-LN(2)/2)*FS79+(1-EXP(-LN(2)/2))/(LN(2)/2)*FM80*FP80*VLOOKUP('Données projet'!$B$16,Paramètres!$A$1:$I$89,3,0)*0.475*44/12</f>
        <v>2.7901971578905949E-2</v>
      </c>
      <c r="FT80" s="22">
        <f t="shared" si="78"/>
        <v>132.15983490208228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328.00000000000017</v>
      </c>
      <c r="GA80" s="17">
        <f>FZ80*VLOOKUP('Données projet'!$B$17,Paramètres!$A$1:$I$89,3,0)*VLOOKUP('Données projet'!$B$17,Paramètres!$A$1:$I$89,5,0)</f>
        <v>266.07360000000017</v>
      </c>
      <c r="GB80" s="13">
        <f t="shared" si="103"/>
        <v>64.015279012301136</v>
      </c>
      <c r="GC80" s="20">
        <f t="shared" si="79"/>
        <v>574.90479761309132</v>
      </c>
      <c r="GD80" s="59">
        <f t="shared" si="80"/>
        <v>868.23813094642469</v>
      </c>
      <c r="GE80" s="59">
        <f ca="1">AVERAGE(OFFSET($GD$3,0,0,'Données projet'!$E$17+1,1))-AVERAGE(OFFSET($H$3,0,0,'Données projet'!$E$17+1,1))</f>
        <v>298.96480270023716</v>
      </c>
      <c r="GF80" s="59">
        <f t="shared" si="104"/>
        <v>293.11447542333889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22.23813091216936</v>
      </c>
      <c r="GM80" s="21">
        <f>EXP(-LN(2)/25)*GM79+(1-EXP(-LN(2)/25))/(LN(2)/25)*Calculateur!GH80*Calculateur!GJ80*VLOOKUP('Données projet'!$B$17,Paramètres!$A$1:$I$89,3,0)*0.475*44/12</f>
        <v>20.286054753752786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42.524185665922147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6.8861538461538547</v>
      </c>
      <c r="GU80" s="12">
        <f>IF('Données projet'!$A$270&gt;35,GU79+GT80-HC79,IF(A80&lt;'Données projet'!$A$270,$GR$205^A80,IF(A80='Données projet'!$A$270,'Données projet'!$B$270,GU79+GT80-HC79)))</f>
        <v>393.55999999999972</v>
      </c>
      <c r="GV80" s="17">
        <f>GU80*VLOOKUP('Données projet'!$B$18,Paramètres!$A$1:$I$89,3,0)*VLOOKUP('Données projet'!$B$18,Paramètres!$A$1:$I$89,5,0)</f>
        <v>225.11631999999983</v>
      </c>
      <c r="GW80" s="13">
        <f t="shared" si="105"/>
        <v>55.225400361088361</v>
      </c>
      <c r="GX80" s="20">
        <f t="shared" si="82"/>
        <v>488.26182962889516</v>
      </c>
      <c r="GY80" s="59">
        <f t="shared" si="83"/>
        <v>781.59516296222841</v>
      </c>
      <c r="GZ80" s="59">
        <f ca="1">AVERAGE(OFFSET($GY$3,0,0,'Données projet'!$E$18+1,1))-AVERAGE(OFFSET($H$3,0,0,'Données projet'!$E$18+1,1))</f>
        <v>320.76883487964511</v>
      </c>
      <c r="HA80" s="59">
        <f t="shared" si="106"/>
        <v>290.51177680335746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35.148288879062584</v>
      </c>
      <c r="HH80" s="21">
        <f>EXP(-LN(2)/25)*HH79+(1-EXP(-LN(2)/25))/(LN(2)/25)*Calculateur!HC80*Calculateur!HE80*VLOOKUP('Données projet'!$B$18,Paramètres!$A$1:$I$89,3,0)*0.475*44/12</f>
        <v>10.574942123703439</v>
      </c>
      <c r="HI80" s="21">
        <f>EXP(-LN(2)/2)*HI79+(1-EXP(-LN(2)/2))/(LN(2)/2)*HC80*HF80*VLOOKUP('Données projet'!$B$18,Paramètres!$A$1:$I$89,3,0)*0.475*44/12</f>
        <v>0.17707176780610021</v>
      </c>
      <c r="HJ80" s="22">
        <f t="shared" si="84"/>
        <v>45.900302770572118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261.94422222222244</v>
      </c>
      <c r="AK81" s="13">
        <f t="shared" si="89"/>
        <v>63.136627703535865</v>
      </c>
      <c r="AL81" s="20">
        <f t="shared" si="58"/>
        <v>566.18248028736241</v>
      </c>
      <c r="AM81" s="59">
        <f t="shared" si="59"/>
        <v>859.51581362069578</v>
      </c>
      <c r="AN81" s="59">
        <f ca="1">AVERAGE(OFFSET($AM$3,0,0,'Données projet'!$E$10+1,1))-AVERAGE(OFFSET($H$3,0,0,'Données projet'!$E$10+1,1))</f>
        <v>425.47148407510412</v>
      </c>
      <c r="AO81" s="59">
        <f t="shared" si="90"/>
        <v>308.54448799922471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22.190217436984664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22.190217436984664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3.2</v>
      </c>
      <c r="BD81" s="12">
        <f>IF('Données projet'!$A$88&gt;35,BD80+BC81-BL80,IF(A81&lt;'Données projet'!$A$88,$BA$205^A81,IF(A81='Données projet'!$A$88,'Données projet'!$B$88,BD80+BC81-BL80)))</f>
        <v>201.59999999999994</v>
      </c>
      <c r="BE81" s="13">
        <f>BD81*VLOOKUP('Données projet'!$B$11,Paramètres!$A$1:$I$89,3,0)*VLOOKUP('Données projet'!$B$11,Paramètres!$A$1:$I$89,5,0)</f>
        <v>176.11775999999998</v>
      </c>
      <c r="BF81" s="13">
        <f t="shared" si="91"/>
        <v>44.457366290237204</v>
      </c>
      <c r="BG81" s="20">
        <f t="shared" si="61"/>
        <v>384.16834495549637</v>
      </c>
      <c r="BH81" s="59">
        <f t="shared" si="62"/>
        <v>677.50167828882968</v>
      </c>
      <c r="BI81" s="59">
        <f ca="1">AVERAGE(OFFSET($BH$3,0,0,'Données projet'!$E$11+1,1))-AVERAGE(OFFSET($H$3,0,0,'Données projet'!$E$11+1,1))</f>
        <v>300.63505444445104</v>
      </c>
      <c r="BJ81" s="59">
        <f t="shared" si="92"/>
        <v>266.32508105927997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9.4405754925649727</v>
      </c>
      <c r="BQ81" s="21">
        <f>EXP(-LN(2)/25)*BQ80+(1-EXP(-LN(2)/25))/(LN(2)/25)*Calculateur!BL81*Calculateur!BN81*VLOOKUP('Données projet'!$B$11,Paramètres!$A$1:$I$89,3,0)*0.475*44/12</f>
        <v>13.235911846435437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22.67648733900041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5.5042735042735051</v>
      </c>
      <c r="BY81" s="12">
        <f>IF('Données projet'!$A$114&gt;35,BY80+BX81-CG80,IF(A81&lt;'Données projet'!$A$114,$BV$205^A81,IF(A81='Données projet'!$A$114,'Données projet'!$B$114,BY80+BX81-CG80)))</f>
        <v>166.98076923076917</v>
      </c>
      <c r="BZ81" s="13">
        <f>BY81*VLOOKUP('Données projet'!$B$12,Paramètres!$A$1:$I$89,3,0)*VLOOKUP('Données projet'!$B$12,Paramètres!$A$1:$I$89,5,0)</f>
        <v>158.89889999999994</v>
      </c>
      <c r="CA81" s="13">
        <f t="shared" si="93"/>
        <v>40.59405949958991</v>
      </c>
      <c r="CB81" s="20">
        <f t="shared" si="64"/>
        <v>347.45023779511899</v>
      </c>
      <c r="CC81" s="59">
        <f t="shared" si="65"/>
        <v>640.78357112845231</v>
      </c>
      <c r="CD81" s="59">
        <f ca="1">AVERAGE(OFFSET($CC$3,0,0,'Données projet'!$E$12+1,1))-AVERAGE(OFFSET($H$3,0,0,'Données projet'!$E$12+1,1))</f>
        <v>361.26385625423757</v>
      </c>
      <c r="CE81" s="59">
        <f t="shared" si="94"/>
        <v>222.05197404028576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9.2248249098462498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9.2248249098462498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247.00000000000017</v>
      </c>
      <c r="CU81" s="17">
        <f>CT81*VLOOKUP('Données projet'!$B$13,Paramètres!$A$1:$I$89,3,0)*VLOOKUP('Données projet'!$B$13,Paramètres!$A$1:$I$89,5,0)</f>
        <v>223.48560000000012</v>
      </c>
      <c r="CV81" s="13">
        <f t="shared" si="95"/>
        <v>54.87176918107798</v>
      </c>
      <c r="CW81" s="20">
        <f t="shared" si="67"/>
        <v>484.80575132371092</v>
      </c>
      <c r="CX81" s="59">
        <f t="shared" si="68"/>
        <v>778.13908465704424</v>
      </c>
      <c r="CY81" s="59">
        <f ca="1">AVERAGE(OFFSET($CX$3,0,0,'Données projet'!$E$13+1,1))-AVERAGE(OFFSET($H$3,0,0,'Données projet'!$E$13+1,1))</f>
        <v>302.6937347295995</v>
      </c>
      <c r="CZ81" s="59">
        <f t="shared" si="96"/>
        <v>423.44006663873375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0.23414448581840047</v>
      </c>
      <c r="DG81" s="21">
        <f>EXP(-LN(2)/25)*DG80+(1-EXP(-LN(2)/25))/(LN(2)/25)*Calculateur!DB81*Calculateur!DD81*VLOOKUP('Données projet'!$B$13,Paramètres!$A$1:$I$89,3,0)*0.475*44/12</f>
        <v>1.1334477208748173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1.3675922066932178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161.50379999999993</v>
      </c>
      <c r="DQ81" s="13">
        <f t="shared" si="97"/>
        <v>41.181516802669677</v>
      </c>
      <c r="DR81" s="20">
        <f t="shared" si="70"/>
        <v>353.01026009798289</v>
      </c>
      <c r="DS81" s="59">
        <f t="shared" si="71"/>
        <v>646.34359343131621</v>
      </c>
      <c r="DT81" s="59">
        <f ca="1">AVERAGE(OFFSET($DS$3,0,0,'Données projet'!$E$14+1,1))-AVERAGE(OFFSET($H$3,0,0,'Données projet'!$E$14+1,1))</f>
        <v>366.51581861366333</v>
      </c>
      <c r="DU81" s="59">
        <f t="shared" si="98"/>
        <v>225.01415116995503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9.3760515477125832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9.3760515477125832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328.00000000000017</v>
      </c>
      <c r="EK81" s="17">
        <f>EJ81*VLOOKUP('Données projet'!$B$15,Paramètres!$A$1:$I$89,3,0)*VLOOKUP('Données projet'!$B$15,Paramètres!$A$1:$I$89,5,0)</f>
        <v>255.84000000000015</v>
      </c>
      <c r="EL81" s="13">
        <f t="shared" si="99"/>
        <v>61.834803371075886</v>
      </c>
      <c r="EM81" s="20">
        <f t="shared" si="73"/>
        <v>553.28361587129086</v>
      </c>
      <c r="EN81" s="59">
        <f t="shared" si="74"/>
        <v>846.61694920462423</v>
      </c>
      <c r="EO81" s="59">
        <f ca="1">AVERAGE(OFFSET($EN$3,0,0,'Données projet'!$E$15+1,1))-AVERAGE(OFFSET($H$3,0,0,'Données projet'!$E$15+1,1))</f>
        <v>288.80569134263209</v>
      </c>
      <c r="EP81" s="59">
        <f t="shared" si="100"/>
        <v>283.48738729114024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17.008134131763363</v>
      </c>
      <c r="EW81" s="21">
        <f>EXP(-LN(2)/25)*EW80+(1-EXP(-LN(2)/25))/(LN(2)/25)*Calculateur!ER81*Calculateur!ET81*VLOOKUP('Données projet'!$B$15,Paramètres!$A$1:$I$89,3,0)*0.475*44/12</f>
        <v>15.3927295962937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32.400863728057061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-1.7053025658242404E-13</v>
      </c>
      <c r="FF81" s="17">
        <f>FE81*VLOOKUP('Données projet'!$B$16,Paramètres!$A$1:$I$89,3,0)*VLOOKUP('Données projet'!$B$16,Paramètres!$A$1:$I$89,5,0)</f>
        <v>-1.0197709343628959E-13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323.17232038705157</v>
      </c>
      <c r="FK81" s="59">
        <f t="shared" si="102"/>
        <v>402.34685738619197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105.33274018204459</v>
      </c>
      <c r="FR81" s="21">
        <f>EXP(-LN(2)/25)*FR80+(1-EXP(-LN(2)/25))/(LN(2)/25)*Calculateur!FM81*Calculateur!FO81*VLOOKUP('Données projet'!$B$16,Paramètres!$A$1:$I$89,3,0)*0.475*44/12</f>
        <v>24.017154307110779</v>
      </c>
      <c r="FS81" s="21">
        <f>EXP(-LN(2)/2)*FS80+(1-EXP(-LN(2)/2))/(LN(2)/2)*FM81*FP81*VLOOKUP('Données projet'!$B$16,Paramètres!$A$1:$I$89,3,0)*0.475*44/12</f>
        <v>1.9729673311918716E-2</v>
      </c>
      <c r="FT81" s="22">
        <f t="shared" si="78"/>
        <v>129.36962416246729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328.00000000000017</v>
      </c>
      <c r="GA81" s="17">
        <f>FZ81*VLOOKUP('Données projet'!$B$17,Paramètres!$A$1:$I$89,3,0)*VLOOKUP('Données projet'!$B$17,Paramètres!$A$1:$I$89,5,0)</f>
        <v>266.07360000000017</v>
      </c>
      <c r="GB81" s="13">
        <f t="shared" si="103"/>
        <v>64.015279012301136</v>
      </c>
      <c r="GC81" s="20">
        <f t="shared" si="79"/>
        <v>574.90479761309132</v>
      </c>
      <c r="GD81" s="59">
        <f t="shared" si="80"/>
        <v>868.23813094642469</v>
      </c>
      <c r="GE81" s="59">
        <f ca="1">AVERAGE(OFFSET($GD$3,0,0,'Données projet'!$E$17+1,1))-AVERAGE(OFFSET($H$3,0,0,'Données projet'!$E$17+1,1))</f>
        <v>298.96480270023716</v>
      </c>
      <c r="GF81" s="59">
        <f t="shared" si="104"/>
        <v>293.11447542333889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21.802054728902249</v>
      </c>
      <c r="GM81" s="21">
        <f>EXP(-LN(2)/25)*GM80+(1-EXP(-LN(2)/25))/(LN(2)/25)*Calculateur!GH81*Calculateur!GJ81*VLOOKUP('Données projet'!$B$17,Paramètres!$A$1:$I$89,3,0)*0.475*44/12</f>
        <v>19.731331519714161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41.533386248616409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>
        <f>VLOOKUP(A81,'Données projet'!$A$269:$I$289,2,0)</f>
        <v>400.44615384615389</v>
      </c>
      <c r="GS81" s="12">
        <f>VLOOKUP(A81,'Données projet'!$A$269:$I$289,9,0)</f>
        <v>6.8861538461538547</v>
      </c>
      <c r="GT81" s="12">
        <f t="array" ref="GT81">INDEX(GS:GS,MIN(IF(ISNUMBER(GS81:GS277),ROW(GS81:GS277),"")))</f>
        <v>6.8861538461538547</v>
      </c>
      <c r="GU81" s="12">
        <f>IF('Données projet'!$A$270&gt;35,GU80+GT81-HC80,IF(A81&lt;'Données projet'!$A$270,$GR$205^A81,IF(A81='Données projet'!$A$270,'Données projet'!$B$270,GU80+GT81-HC80)))</f>
        <v>400.44615384615355</v>
      </c>
      <c r="GV81" s="17">
        <f>GU81*VLOOKUP('Données projet'!$B$18,Paramètres!$A$1:$I$89,3,0)*VLOOKUP('Données projet'!$B$18,Paramètres!$A$1:$I$89,5,0)</f>
        <v>229.05519999999984</v>
      </c>
      <c r="GW81" s="13">
        <f t="shared" si="105"/>
        <v>56.07834476667518</v>
      </c>
      <c r="GX81" s="20">
        <f t="shared" si="82"/>
        <v>496.60759046862569</v>
      </c>
      <c r="GY81" s="59">
        <f t="shared" si="83"/>
        <v>789.940923801959</v>
      </c>
      <c r="GZ81" s="59">
        <f ca="1">AVERAGE(OFFSET($GY$3,0,0,'Données projet'!$E$18+1,1))-AVERAGE(OFFSET($H$3,0,0,'Données projet'!$E$18+1,1))</f>
        <v>320.76883487964511</v>
      </c>
      <c r="HA81" s="59">
        <f t="shared" si="106"/>
        <v>290.51177680335746</v>
      </c>
      <c r="HB81" s="15">
        <f>IF(ISNA(VLOOKUP(A81,'Données projet'!$A$269:$I$289,3,0)),0,VLOOKUP(A81,'Données projet'!$A$269:$I$289,3,0))</f>
        <v>9</v>
      </c>
      <c r="HC81" s="15">
        <f>IF(ISNA(VLOOKUP(A81,'Données projet'!$A$269:$I$289,4,0)),0,VLOOKUP(A81,'Données projet'!$A$269:$I$289,4,0))</f>
        <v>42.9</v>
      </c>
      <c r="HD81" s="16">
        <f>IF(ISNA(VLOOKUP(A81,'Données projet'!$A$269:$I$289,5,0)),0%,VLOOKUP(A81,'Données projet'!$A$269:$I$289,5,0)*VLOOKUP('Données projet'!$B$18,Paramètres!$A$1:$I$89,7,0))</f>
        <v>0.315</v>
      </c>
      <c r="HE81" s="16">
        <f>IF(ISNA(VLOOKUP(A81,'Données projet'!$A$269:$I$289,6,0)),0%,VLOOKUP(A81,'Données projet'!$A$269:$I$289,6,0)*VLOOKUP('Données projet'!$B$18,Paramètres!$A$1:$I$89,7,0))</f>
        <v>7.6500000000000012E-2</v>
      </c>
      <c r="HF81" s="16">
        <f>IF(ISNA(VLOOKUP(A81,'Données projet'!$A$269:$I$289,7,0)),0%,VLOOKUP(A81,'Données projet'!$A$269:$I$289,7,0))</f>
        <v>0.13</v>
      </c>
      <c r="HG81" s="21">
        <f>EXP(-LN(2)/35)*HG80+(1-EXP(-LN(2)/35))/(LN(2)/35)*HC81*HD81*VLOOKUP('Données projet'!$B$18,Paramètres!$A$1:$I$89,3,0)*0.475*44/12</f>
        <v>44.713026828112554</v>
      </c>
      <c r="HH81" s="21">
        <f>EXP(-LN(2)/25)*HH80+(1-EXP(-LN(2)/25))/(LN(2)/25)*Calculateur!HC81*Calculateur!HE81*VLOOKUP('Données projet'!$B$18,Paramètres!$A$1:$I$89,3,0)*0.475*44/12</f>
        <v>12.766215647635203</v>
      </c>
      <c r="HI81" s="21">
        <f>EXP(-LN(2)/2)*HI80+(1-EXP(-LN(2)/2))/(LN(2)/2)*HC81*HF81*VLOOKUP('Données projet'!$B$18,Paramètres!$A$1:$I$89,3,0)*0.475*44/12</f>
        <v>3.7370794951029001</v>
      </c>
      <c r="HJ81" s="22">
        <f t="shared" si="84"/>
        <v>61.21632197085065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269.89661111111133</v>
      </c>
      <c r="AK82" s="13">
        <f t="shared" si="89"/>
        <v>64.82732706719186</v>
      </c>
      <c r="AL82" s="20">
        <f t="shared" si="58"/>
        <v>582.97752566054464</v>
      </c>
      <c r="AM82" s="59">
        <f t="shared" si="59"/>
        <v>876.3108589938779</v>
      </c>
      <c r="AN82" s="59">
        <f ca="1">AVERAGE(OFFSET($AM$3,0,0,'Données projet'!$E$10+1,1))-AVERAGE(OFFSET($H$3,0,0,'Données projet'!$E$10+1,1))</f>
        <v>425.47148407510412</v>
      </c>
      <c r="AO82" s="59">
        <f t="shared" si="90"/>
        <v>308.54448799922471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21.755080807741592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21.755080807741592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3.2</v>
      </c>
      <c r="BD82" s="12">
        <f>IF('Données projet'!$A$88&gt;35,BD81+BC82-BL81,IF(A82&lt;'Données projet'!$A$88,$BA$205^A82,IF(A82='Données projet'!$A$88,'Données projet'!$B$88,BD81+BC82-BL81)))</f>
        <v>204.79999999999993</v>
      </c>
      <c r="BE82" s="13">
        <f>BD82*VLOOKUP('Données projet'!$B$11,Paramètres!$A$1:$I$89,3,0)*VLOOKUP('Données projet'!$B$11,Paramètres!$A$1:$I$89,5,0)</f>
        <v>178.91327999999996</v>
      </c>
      <c r="BF82" s="13">
        <f t="shared" si="91"/>
        <v>45.080325843494805</v>
      </c>
      <c r="BG82" s="20">
        <f t="shared" si="61"/>
        <v>390.12219684408677</v>
      </c>
      <c r="BH82" s="59">
        <f t="shared" si="62"/>
        <v>683.45553017742009</v>
      </c>
      <c r="BI82" s="59">
        <f ca="1">AVERAGE(OFFSET($BH$3,0,0,'Données projet'!$E$11+1,1))-AVERAGE(OFFSET($H$3,0,0,'Données projet'!$E$11+1,1))</f>
        <v>300.63505444445104</v>
      </c>
      <c r="BJ82" s="59">
        <f t="shared" si="92"/>
        <v>266.32508105927997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9.2554515653382516</v>
      </c>
      <c r="BQ82" s="21">
        <f>EXP(-LN(2)/25)*BQ81+(1-EXP(-LN(2)/25))/(LN(2)/25)*Calculateur!BL82*Calculateur!BN82*VLOOKUP('Données projet'!$B$11,Paramètres!$A$1:$I$89,3,0)*0.475*44/12</f>
        <v>12.873975140948307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22.129426706286559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5.5042735042735051</v>
      </c>
      <c r="BY82" s="12">
        <f>IF('Données projet'!$A$114&gt;35,BY81+BX82-CG81,IF(A82&lt;'Données projet'!$A$114,$BV$205^A82,IF(A82='Données projet'!$A$114,'Données projet'!$B$114,BY81+BX82-CG81)))</f>
        <v>172.48504273504267</v>
      </c>
      <c r="BZ82" s="13">
        <f>BY82*VLOOKUP('Données projet'!$B$12,Paramètres!$A$1:$I$89,3,0)*VLOOKUP('Données projet'!$B$12,Paramètres!$A$1:$I$89,5,0)</f>
        <v>164.1367666666666</v>
      </c>
      <c r="CA82" s="13">
        <f t="shared" si="93"/>
        <v>41.774183982382013</v>
      </c>
      <c r="CB82" s="20">
        <f t="shared" si="64"/>
        <v>358.62823904709302</v>
      </c>
      <c r="CC82" s="59">
        <f t="shared" si="65"/>
        <v>651.96157238042633</v>
      </c>
      <c r="CD82" s="59">
        <f ca="1">AVERAGE(OFFSET($CC$3,0,0,'Données projet'!$E$12+1,1))-AVERAGE(OFFSET($H$3,0,0,'Données projet'!$E$12+1,1))</f>
        <v>361.26385625423757</v>
      </c>
      <c r="CE82" s="59">
        <f t="shared" si="94"/>
        <v>222.05197404028576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9.0439317199517806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9.0439317199517806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247.00000000000017</v>
      </c>
      <c r="CU82" s="17">
        <f>CT82*VLOOKUP('Données projet'!$B$13,Paramètres!$A$1:$I$89,3,0)*VLOOKUP('Données projet'!$B$13,Paramètres!$A$1:$I$89,5,0)</f>
        <v>223.48560000000012</v>
      </c>
      <c r="CV82" s="13">
        <f t="shared" si="95"/>
        <v>54.87176918107798</v>
      </c>
      <c r="CW82" s="20">
        <f t="shared" si="67"/>
        <v>484.80575132371092</v>
      </c>
      <c r="CX82" s="59">
        <f t="shared" si="68"/>
        <v>778.13908465704424</v>
      </c>
      <c r="CY82" s="59">
        <f ca="1">AVERAGE(OFFSET($CX$3,0,0,'Données projet'!$E$13+1,1))-AVERAGE(OFFSET($H$3,0,0,'Données projet'!$E$13+1,1))</f>
        <v>302.6937347295995</v>
      </c>
      <c r="CZ82" s="59">
        <f t="shared" si="96"/>
        <v>423.44006663873375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0.22955305526553627</v>
      </c>
      <c r="DG82" s="21">
        <f>EXP(-LN(2)/25)*DG81+(1-EXP(-LN(2)/25))/(LN(2)/25)*Calculateur!DB82*Calculateur!DD82*VLOOKUP('Données projet'!$B$13,Paramètres!$A$1:$I$89,3,0)*0.475*44/12</f>
        <v>1.1024535333420702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1.3320065886076065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166.82753333333326</v>
      </c>
      <c r="DQ82" s="13">
        <f t="shared" si="97"/>
        <v>42.378719467700897</v>
      </c>
      <c r="DR82" s="20">
        <f t="shared" si="70"/>
        <v>364.3675569618012</v>
      </c>
      <c r="DS82" s="59">
        <f t="shared" si="71"/>
        <v>657.70089029513451</v>
      </c>
      <c r="DT82" s="59">
        <f ca="1">AVERAGE(OFFSET($DS$3,0,0,'Données projet'!$E$14+1,1))-AVERAGE(OFFSET($H$3,0,0,'Données projet'!$E$14+1,1))</f>
        <v>366.51581861366333</v>
      </c>
      <c r="DU82" s="59">
        <f t="shared" si="98"/>
        <v>225.01415116995503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9.1921928956886969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9.1921928956886969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328.00000000000017</v>
      </c>
      <c r="EK82" s="17">
        <f>EJ82*VLOOKUP('Données projet'!$B$15,Paramètres!$A$1:$I$89,3,0)*VLOOKUP('Données projet'!$B$15,Paramètres!$A$1:$I$89,5,0)</f>
        <v>255.84000000000015</v>
      </c>
      <c r="EL82" s="13">
        <f t="shared" si="99"/>
        <v>61.834803371075886</v>
      </c>
      <c r="EM82" s="20">
        <f t="shared" si="73"/>
        <v>553.28361587129086</v>
      </c>
      <c r="EN82" s="59">
        <f t="shared" si="74"/>
        <v>846.61694920462423</v>
      </c>
      <c r="EO82" s="59">
        <f ca="1">AVERAGE(OFFSET($EN$3,0,0,'Données projet'!$E$15+1,1))-AVERAGE(OFFSET($H$3,0,0,'Données projet'!$E$15+1,1))</f>
        <v>288.80569134263209</v>
      </c>
      <c r="EP82" s="59">
        <f t="shared" si="100"/>
        <v>283.48738729114024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16.674614995376963</v>
      </c>
      <c r="EW82" s="21">
        <f>EXP(-LN(2)/25)*EW81+(1-EXP(-LN(2)/25))/(LN(2)/25)*Calculateur!ER82*Calculateur!ET82*VLOOKUP('Données projet'!$B$15,Paramètres!$A$1:$I$89,3,0)*0.475*44/12</f>
        <v>14.97181459601458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31.646429591391545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-1.7053025658242404E-13</v>
      </c>
      <c r="FF82" s="17">
        <f>FE82*VLOOKUP('Données projet'!$B$16,Paramètres!$A$1:$I$89,3,0)*VLOOKUP('Données projet'!$B$16,Paramètres!$A$1:$I$89,5,0)</f>
        <v>-1.0197709343628959E-13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323.17232038705157</v>
      </c>
      <c r="FK82" s="59">
        <f t="shared" si="102"/>
        <v>402.34685738619197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103.26722939370238</v>
      </c>
      <c r="FR82" s="21">
        <f>EXP(-LN(2)/25)*FR81+(1-EXP(-LN(2)/25))/(LN(2)/25)*Calculateur!FM82*Calculateur!FO82*VLOOKUP('Données projet'!$B$16,Paramètres!$A$1:$I$89,3,0)*0.475*44/12</f>
        <v>23.360403959575581</v>
      </c>
      <c r="FS82" s="21">
        <f>EXP(-LN(2)/2)*FS81+(1-EXP(-LN(2)/2))/(LN(2)/2)*FM82*FP82*VLOOKUP('Données projet'!$B$16,Paramètres!$A$1:$I$89,3,0)*0.475*44/12</f>
        <v>1.3950985789452974E-2</v>
      </c>
      <c r="FT82" s="22">
        <f t="shared" si="78"/>
        <v>126.64158433906741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328.00000000000017</v>
      </c>
      <c r="GA82" s="17">
        <f>FZ82*VLOOKUP('Données projet'!$B$17,Paramètres!$A$1:$I$89,3,0)*VLOOKUP('Données projet'!$B$17,Paramètres!$A$1:$I$89,5,0)</f>
        <v>266.07360000000017</v>
      </c>
      <c r="GB82" s="13">
        <f t="shared" si="103"/>
        <v>64.015279012301136</v>
      </c>
      <c r="GC82" s="20">
        <f t="shared" si="79"/>
        <v>574.90479761309132</v>
      </c>
      <c r="GD82" s="59">
        <f t="shared" si="80"/>
        <v>868.23813094642469</v>
      </c>
      <c r="GE82" s="59">
        <f ca="1">AVERAGE(OFFSET($GD$3,0,0,'Données projet'!$E$17+1,1))-AVERAGE(OFFSET($H$3,0,0,'Données projet'!$E$17+1,1))</f>
        <v>298.96480270023716</v>
      </c>
      <c r="GF82" s="59">
        <f t="shared" si="104"/>
        <v>293.11447542333889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21.374529733608799</v>
      </c>
      <c r="GM82" s="21">
        <f>EXP(-LN(2)/25)*GM81+(1-EXP(-LN(2)/25))/(LN(2)/25)*Calculateur!GH82*Calculateur!GJ82*VLOOKUP('Données projet'!$B$17,Paramètres!$A$1:$I$89,3,0)*0.475*44/12</f>
        <v>19.191777221681949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40.566306955290749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5.9607692307692215</v>
      </c>
      <c r="GU82" s="12">
        <f>IF('Données projet'!$A$270&gt;35,GU81+GT82-HC81,IF(A82&lt;'Données projet'!$A$270,$GR$205^A82,IF(A82='Données projet'!$A$270,'Données projet'!$B$270,GU81+GT82-HC81)))</f>
        <v>363.50692307692282</v>
      </c>
      <c r="GV82" s="17">
        <f>GU82*VLOOKUP('Données projet'!$B$18,Paramètres!$A$1:$I$89,3,0)*VLOOKUP('Données projet'!$B$18,Paramètres!$A$1:$I$89,5,0)</f>
        <v>207.92595999999986</v>
      </c>
      <c r="GW82" s="13">
        <f t="shared" si="105"/>
        <v>51.482094294693198</v>
      </c>
      <c r="GX82" s="20">
        <f t="shared" si="82"/>
        <v>451.80236122992369</v>
      </c>
      <c r="GY82" s="59">
        <f t="shared" si="83"/>
        <v>745.13569456325695</v>
      </c>
      <c r="GZ82" s="59">
        <f ca="1">AVERAGE(OFFSET($GY$3,0,0,'Données projet'!$E$18+1,1))-AVERAGE(OFFSET($H$3,0,0,'Données projet'!$E$18+1,1))</f>
        <v>320.76883487964511</v>
      </c>
      <c r="HA82" s="59">
        <f t="shared" si="106"/>
        <v>290.51177680335746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43.836231644266718</v>
      </c>
      <c r="HH82" s="21">
        <f>EXP(-LN(2)/25)*HH81+(1-EXP(-LN(2)/25))/(LN(2)/25)*Calculateur!HC82*Calculateur!HE82*VLOOKUP('Données projet'!$B$18,Paramètres!$A$1:$I$89,3,0)*0.475*44/12</f>
        <v>12.417122809404516</v>
      </c>
      <c r="HI82" s="21">
        <f>EXP(-LN(2)/2)*HI81+(1-EXP(-LN(2)/2))/(LN(2)/2)*HC82*HF82*VLOOKUP('Données projet'!$B$18,Paramètres!$A$1:$I$89,3,0)*0.475*44/12</f>
        <v>2.6425142528204599</v>
      </c>
      <c r="HJ82" s="22">
        <f t="shared" si="84"/>
        <v>58.895868706491697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277.84900000000027</v>
      </c>
      <c r="AK83" s="13">
        <f t="shared" si="89"/>
        <v>66.512236926053845</v>
      </c>
      <c r="AL83" s="20">
        <f t="shared" si="58"/>
        <v>599.76248764621096</v>
      </c>
      <c r="AM83" s="59">
        <f t="shared" si="59"/>
        <v>893.09582097954421</v>
      </c>
      <c r="AN83" s="59">
        <f ca="1">AVERAGE(OFFSET($AM$3,0,0,'Données projet'!$E$10+1,1))-AVERAGE(OFFSET($H$3,0,0,'Données projet'!$E$10+1,1))</f>
        <v>425.47148407510412</v>
      </c>
      <c r="AO83" s="59">
        <f t="shared" si="90"/>
        <v>308.54448799922471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36.717174597003321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36.717174597003321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208</v>
      </c>
      <c r="BB83" s="12">
        <f>VLOOKUP(A83,'Données projet'!$A$87:$I$107,9,0)</f>
        <v>3.2</v>
      </c>
      <c r="BC83" s="12">
        <f t="array" ref="BC83">INDEX(BB:BB,MIN(IF(ISNUMBER(BB83:BB279),ROW(BB83:BB279),"")))</f>
        <v>3.2</v>
      </c>
      <c r="BD83" s="12">
        <f>IF('Données projet'!$A$88&gt;35,BD82+BC83-BL82,IF(A83&lt;'Données projet'!$A$88,$BA$205^A83,IF(A83='Données projet'!$A$88,'Données projet'!$B$88,BD82+BC83-BL82)))</f>
        <v>207.99999999999991</v>
      </c>
      <c r="BE83" s="13">
        <f>BD83*VLOOKUP('Données projet'!$B$11,Paramètres!$A$1:$I$89,3,0)*VLOOKUP('Données projet'!$B$11,Paramètres!$A$1:$I$89,5,0)</f>
        <v>181.70879999999994</v>
      </c>
      <c r="BF83" s="13">
        <f t="shared" si="91"/>
        <v>45.702153370067769</v>
      </c>
      <c r="BG83" s="20">
        <f t="shared" si="61"/>
        <v>396.07407711953459</v>
      </c>
      <c r="BH83" s="59">
        <f t="shared" si="62"/>
        <v>689.40741045286791</v>
      </c>
      <c r="BI83" s="59">
        <f ca="1">AVERAGE(OFFSET($BH$3,0,0,'Données projet'!$E$11+1,1))-AVERAGE(OFFSET($H$3,0,0,'Données projet'!$E$11+1,1))</f>
        <v>300.63505444445104</v>
      </c>
      <c r="BJ83" s="59">
        <f t="shared" si="92"/>
        <v>266.32508105927997</v>
      </c>
      <c r="BK83" s="15">
        <f>IF(ISNA(VLOOKUP(A83,'Données projet'!$A$87:$I$107,3,0)),0,VLOOKUP(A83,'Données projet'!$A$87:$I$107,3,0))</f>
        <v>13</v>
      </c>
      <c r="BL83" s="21" t="str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0.17200000000000001</v>
      </c>
      <c r="BN83" s="16">
        <f>IF(ISNA(VLOOKUP(A83,'Données projet'!$A$87:$I$107,6,0)),0%,VLOOKUP(A83,'Données projet'!$A$87:$I$107,6,0)*VLOOKUP('Données projet'!$B$11,Paramètres!$A$1:$I$89,7,0))</f>
        <v>0.17200000000000001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10.901135848785492</v>
      </c>
      <c r="BQ83" s="21">
        <f>EXP(-LN(2)/25)*BQ82+(1-EXP(-LN(2)/25))/(LN(2)/25)*Calculateur!BL83*Calculateur!BN83*VLOOKUP('Données projet'!$B$11,Paramètres!$A$1:$I$89,3,0)*0.475*44/12</f>
        <v>14.341919360915453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25.243055209700945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5.5042735042735051</v>
      </c>
      <c r="BY83" s="12">
        <f>IF('Données projet'!$A$114&gt;35,BY82+BX83-CG82,IF(A83&lt;'Données projet'!$A$114,$BV$205^A83,IF(A83='Données projet'!$A$114,'Données projet'!$B$114,BY82+BX83-CG82)))</f>
        <v>177.98931623931617</v>
      </c>
      <c r="BZ83" s="13">
        <f>BY83*VLOOKUP('Données projet'!$B$12,Paramètres!$A$1:$I$89,3,0)*VLOOKUP('Données projet'!$B$12,Paramètres!$A$1:$I$89,5,0)</f>
        <v>169.37463333333326</v>
      </c>
      <c r="CA83" s="13">
        <f t="shared" si="93"/>
        <v>42.949932227488745</v>
      </c>
      <c r="CB83" s="20">
        <f t="shared" si="64"/>
        <v>369.79861835176501</v>
      </c>
      <c r="CC83" s="59">
        <f t="shared" si="65"/>
        <v>663.13195168509833</v>
      </c>
      <c r="CD83" s="59">
        <f ca="1">AVERAGE(OFFSET($CC$3,0,0,'Données projet'!$E$12+1,1))-AVERAGE(OFFSET($H$3,0,0,'Données projet'!$E$12+1,1))</f>
        <v>361.26385625423757</v>
      </c>
      <c r="CE83" s="59">
        <f t="shared" si="94"/>
        <v>222.05197404028576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8.8665857351771908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8.8665857351771908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247.00000000000017</v>
      </c>
      <c r="CU83" s="17">
        <f>CT83*VLOOKUP('Données projet'!$B$13,Paramètres!$A$1:$I$89,3,0)*VLOOKUP('Données projet'!$B$13,Paramètres!$A$1:$I$89,5,0)</f>
        <v>223.48560000000012</v>
      </c>
      <c r="CV83" s="13">
        <f t="shared" si="95"/>
        <v>54.87176918107798</v>
      </c>
      <c r="CW83" s="20">
        <f t="shared" si="67"/>
        <v>484.80575132371092</v>
      </c>
      <c r="CX83" s="59">
        <f t="shared" si="68"/>
        <v>778.13908465704424</v>
      </c>
      <c r="CY83" s="59">
        <f ca="1">AVERAGE(OFFSET($CX$3,0,0,'Données projet'!$E$13+1,1))-AVERAGE(OFFSET($H$3,0,0,'Données projet'!$E$13+1,1))</f>
        <v>302.6937347295995</v>
      </c>
      <c r="CZ83" s="59">
        <f t="shared" si="96"/>
        <v>423.44006663873375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0.22505165986531761</v>
      </c>
      <c r="DG83" s="21">
        <f>EXP(-LN(2)/25)*DG82+(1-EXP(-LN(2)/25))/(LN(2)/25)*Calculateur!DB83*Calculateur!DD83*VLOOKUP('Données projet'!$B$13,Paramètres!$A$1:$I$89,3,0)*0.475*44/12</f>
        <v>1.0723068834973197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1.2973585433626373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172.1512666666666</v>
      </c>
      <c r="DQ83" s="13">
        <f t="shared" si="97"/>
        <v>43.571482564283073</v>
      </c>
      <c r="DR83" s="20">
        <f t="shared" si="70"/>
        <v>375.71712157723732</v>
      </c>
      <c r="DS83" s="59">
        <f t="shared" si="71"/>
        <v>669.05045491057058</v>
      </c>
      <c r="DT83" s="59">
        <f ca="1">AVERAGE(OFFSET($DS$3,0,0,'Données projet'!$E$14+1,1))-AVERAGE(OFFSET($H$3,0,0,'Données projet'!$E$14+1,1))</f>
        <v>366.51581861366333</v>
      </c>
      <c r="DU83" s="59">
        <f t="shared" si="98"/>
        <v>225.01415116995503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9.0119395996882936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9.0119395996882936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328.00000000000017</v>
      </c>
      <c r="EK83" s="17">
        <f>EJ83*VLOOKUP('Données projet'!$B$15,Paramètres!$A$1:$I$89,3,0)*VLOOKUP('Données projet'!$B$15,Paramètres!$A$1:$I$89,5,0)</f>
        <v>255.84000000000015</v>
      </c>
      <c r="EL83" s="13">
        <f t="shared" si="99"/>
        <v>61.834803371075886</v>
      </c>
      <c r="EM83" s="20">
        <f t="shared" si="73"/>
        <v>553.28361587129086</v>
      </c>
      <c r="EN83" s="59">
        <f t="shared" si="74"/>
        <v>846.61694920462423</v>
      </c>
      <c r="EO83" s="59">
        <f ca="1">AVERAGE(OFFSET($EN$3,0,0,'Données projet'!$E$15+1,1))-AVERAGE(OFFSET($H$3,0,0,'Données projet'!$E$15+1,1))</f>
        <v>288.80569134263209</v>
      </c>
      <c r="EP83" s="59">
        <f t="shared" si="100"/>
        <v>283.48738729114024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16.347635965828513</v>
      </c>
      <c r="EW83" s="21">
        <f>EXP(-LN(2)/25)*EW82+(1-EXP(-LN(2)/25))/(LN(2)/25)*Calculateur!ER83*Calculateur!ET83*VLOOKUP('Données projet'!$B$15,Paramètres!$A$1:$I$89,3,0)*0.475*44/12</f>
        <v>14.56240953855305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30.910045504381564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-1.7053025658242404E-13</v>
      </c>
      <c r="FF83" s="17">
        <f>FE83*VLOOKUP('Données projet'!$B$16,Paramètres!$A$1:$I$89,3,0)*VLOOKUP('Données projet'!$B$16,Paramètres!$A$1:$I$89,5,0)</f>
        <v>-1.0197709343628959E-13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323.17232038705157</v>
      </c>
      <c r="FK83" s="59">
        <f t="shared" si="102"/>
        <v>402.34685738619197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101.24222201208238</v>
      </c>
      <c r="FR83" s="21">
        <f>EXP(-LN(2)/25)*FR82+(1-EXP(-LN(2)/25))/(LN(2)/25)*Calculateur!FM83*Calculateur!FO83*VLOOKUP('Données projet'!$B$16,Paramètres!$A$1:$I$89,3,0)*0.475*44/12</f>
        <v>22.721612484830732</v>
      </c>
      <c r="FS83" s="21">
        <f>EXP(-LN(2)/2)*FS82+(1-EXP(-LN(2)/2))/(LN(2)/2)*FM83*FP83*VLOOKUP('Données projet'!$B$16,Paramètres!$A$1:$I$89,3,0)*0.475*44/12</f>
        <v>9.8648366559593581E-3</v>
      </c>
      <c r="FT83" s="22">
        <f t="shared" si="78"/>
        <v>123.97369933356907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328.00000000000017</v>
      </c>
      <c r="GA83" s="17">
        <f>FZ83*VLOOKUP('Données projet'!$B$17,Paramètres!$A$1:$I$89,3,0)*VLOOKUP('Données projet'!$B$17,Paramètres!$A$1:$I$89,5,0)</f>
        <v>266.07360000000017</v>
      </c>
      <c r="GB83" s="13">
        <f t="shared" si="103"/>
        <v>64.015279012301136</v>
      </c>
      <c r="GC83" s="20">
        <f t="shared" si="79"/>
        <v>574.90479761309132</v>
      </c>
      <c r="GD83" s="59">
        <f t="shared" si="80"/>
        <v>868.23813094642469</v>
      </c>
      <c r="GE83" s="59">
        <f ca="1">AVERAGE(OFFSET($GD$3,0,0,'Données projet'!$E$17+1,1))-AVERAGE(OFFSET($H$3,0,0,'Données projet'!$E$17+1,1))</f>
        <v>298.96480270023716</v>
      </c>
      <c r="GF83" s="59">
        <f t="shared" si="104"/>
        <v>293.11447542333889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20.955388242708555</v>
      </c>
      <c r="GM83" s="21">
        <f>EXP(-LN(2)/25)*GM82+(1-EXP(-LN(2)/25))/(LN(2)/25)*Calculateur!GH83*Calculateur!GJ83*VLOOKUP('Données projet'!$B$17,Paramètres!$A$1:$I$89,3,0)*0.475*44/12</f>
        <v>18.666977064303357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39.622365307011911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5.9607692307692215</v>
      </c>
      <c r="GU83" s="12">
        <f>IF('Données projet'!$A$270&gt;35,GU82+GT83-HC82,IF(A83&lt;'Données projet'!$A$270,$GR$205^A83,IF(A83='Données projet'!$A$270,'Données projet'!$B$270,GU82+GT83-HC82)))</f>
        <v>369.46769230769206</v>
      </c>
      <c r="GV83" s="17">
        <f>GU83*VLOOKUP('Données projet'!$B$18,Paramètres!$A$1:$I$89,3,0)*VLOOKUP('Données projet'!$B$18,Paramètres!$A$1:$I$89,5,0)</f>
        <v>211.33551999999986</v>
      </c>
      <c r="GW83" s="13">
        <f t="shared" si="105"/>
        <v>52.227322653845086</v>
      </c>
      <c r="GX83" s="20">
        <f t="shared" si="82"/>
        <v>459.03861762211324</v>
      </c>
      <c r="GY83" s="59">
        <f t="shared" si="83"/>
        <v>752.37195095544655</v>
      </c>
      <c r="GZ83" s="59">
        <f ca="1">AVERAGE(OFFSET($GY$3,0,0,'Données projet'!$E$18+1,1))-AVERAGE(OFFSET($H$3,0,0,'Données projet'!$E$18+1,1))</f>
        <v>320.76883487964511</v>
      </c>
      <c r="HA83" s="59">
        <f t="shared" si="106"/>
        <v>290.51177680335746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42.976629879183847</v>
      </c>
      <c r="HH83" s="21">
        <f>EXP(-LN(2)/25)*HH82+(1-EXP(-LN(2)/25))/(LN(2)/25)*Calculateur!HC83*Calculateur!HE83*VLOOKUP('Données projet'!$B$18,Paramètres!$A$1:$I$89,3,0)*0.475*44/12</f>
        <v>12.077575933193241</v>
      </c>
      <c r="HI83" s="21">
        <f>EXP(-LN(2)/2)*HI82+(1-EXP(-LN(2)/2))/(LN(2)/2)*HC83*HF83*VLOOKUP('Données projet'!$B$18,Paramètres!$A$1:$I$89,3,0)*0.475*44/12</f>
        <v>1.8685397475514502</v>
      </c>
      <c r="HJ83" s="22">
        <f t="shared" si="84"/>
        <v>56.922745559928543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239.20144444444466</v>
      </c>
      <c r="AK84" s="13">
        <f t="shared" si="89"/>
        <v>58.267684051527382</v>
      </c>
      <c r="AL84" s="20">
        <f t="shared" si="58"/>
        <v>518.0920654638179</v>
      </c>
      <c r="AM84" s="59">
        <f t="shared" si="59"/>
        <v>811.42539879715127</v>
      </c>
      <c r="AN84" s="59">
        <f ca="1">AVERAGE(OFFSET($AM$3,0,0,'Données projet'!$E$10+1,1))-AVERAGE(OFFSET($H$3,0,0,'Données projet'!$E$10+1,1))</f>
        <v>425.47148407510412</v>
      </c>
      <c r="AO84" s="59">
        <f t="shared" si="90"/>
        <v>308.54448799922471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35.997173198421244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35.997173198421244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2.8</v>
      </c>
      <c r="BD84" s="12">
        <f>IF('Données projet'!$A$88&gt;35,BD83+BC84-BL83,IF(A84&lt;'Données projet'!$A$88,$BA$205^A84,IF(A84='Données projet'!$A$88,'Données projet'!$B$88,BD83+BC84-BL83)))</f>
        <v>199.79999999999993</v>
      </c>
      <c r="BE84" s="13">
        <f>BD84*VLOOKUP('Données projet'!$B$11,Paramètres!$A$1:$I$89,3,0)*VLOOKUP('Données projet'!$B$11,Paramètres!$A$1:$I$89,5,0)</f>
        <v>174.54527999999993</v>
      </c>
      <c r="BF84" s="13">
        <f t="shared" si="91"/>
        <v>44.106446559111959</v>
      </c>
      <c r="BG84" s="20">
        <f t="shared" si="61"/>
        <v>380.81842375711989</v>
      </c>
      <c r="BH84" s="59">
        <f t="shared" si="62"/>
        <v>674.1517570904532</v>
      </c>
      <c r="BI84" s="59">
        <f ca="1">AVERAGE(OFFSET($BH$3,0,0,'Données projet'!$E$11+1,1))-AVERAGE(OFFSET($H$3,0,0,'Données projet'!$E$11+1,1))</f>
        <v>300.63505444445104</v>
      </c>
      <c r="BJ84" s="59">
        <f t="shared" si="92"/>
        <v>266.32508105927997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10.687371223827139</v>
      </c>
      <c r="BQ84" s="21">
        <f>EXP(-LN(2)/25)*BQ83+(1-EXP(-LN(2)/25))/(LN(2)/25)*Calculateur!BL84*Calculateur!BN84*VLOOKUP('Données projet'!$B$11,Paramètres!$A$1:$I$89,3,0)*0.475*44/12</f>
        <v>13.949738821782459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24.637110045609596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5.5042735042735051</v>
      </c>
      <c r="BY84" s="12">
        <f>IF('Données projet'!$A$114&gt;35,BY83+BX84-CG83,IF(A84&lt;'Données projet'!$A$114,$BV$205^A84,IF(A84='Données projet'!$A$114,'Données projet'!$B$114,BY83+BX84-CG83)))</f>
        <v>183.49358974358967</v>
      </c>
      <c r="BZ84" s="13">
        <f>BY84*VLOOKUP('Données projet'!$B$12,Paramètres!$A$1:$I$89,3,0)*VLOOKUP('Données projet'!$B$12,Paramètres!$A$1:$I$89,5,0)</f>
        <v>174.61249999999993</v>
      </c>
      <c r="CA84" s="13">
        <f t="shared" si="93"/>
        <v>44.121455098987823</v>
      </c>
      <c r="CB84" s="20">
        <f t="shared" si="64"/>
        <v>380.96163846407029</v>
      </c>
      <c r="CC84" s="59">
        <f t="shared" si="65"/>
        <v>674.2949717974036</v>
      </c>
      <c r="CD84" s="59">
        <f ca="1">AVERAGE(OFFSET($CC$3,0,0,'Données projet'!$E$12+1,1))-AVERAGE(OFFSET($H$3,0,0,'Données projet'!$E$12+1,1))</f>
        <v>361.26385625423757</v>
      </c>
      <c r="CE84" s="59">
        <f t="shared" si="94"/>
        <v>222.05197404028576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8.6927173969936611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8.6927173969936611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247.00000000000017</v>
      </c>
      <c r="CU84" s="17">
        <f>CT84*VLOOKUP('Données projet'!$B$13,Paramètres!$A$1:$I$89,3,0)*VLOOKUP('Données projet'!$B$13,Paramètres!$A$1:$I$89,5,0)</f>
        <v>223.48560000000012</v>
      </c>
      <c r="CV84" s="13">
        <f t="shared" si="95"/>
        <v>54.87176918107798</v>
      </c>
      <c r="CW84" s="20">
        <f t="shared" si="67"/>
        <v>484.80575132371092</v>
      </c>
      <c r="CX84" s="59">
        <f t="shared" si="68"/>
        <v>778.13908465704424</v>
      </c>
      <c r="CY84" s="59">
        <f ca="1">AVERAGE(OFFSET($CX$3,0,0,'Données projet'!$E$13+1,1))-AVERAGE(OFFSET($H$3,0,0,'Données projet'!$E$13+1,1))</f>
        <v>302.6937347295995</v>
      </c>
      <c r="CZ84" s="59">
        <f t="shared" si="96"/>
        <v>423.44006663873375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0.22063853408331716</v>
      </c>
      <c r="DG84" s="21">
        <f>EXP(-LN(2)/25)*DG83+(1-EXP(-LN(2)/25))/(LN(2)/25)*Calculateur!DB84*Calculateur!DD84*VLOOKUP('Données projet'!$B$13,Paramètres!$A$1:$I$89,3,0)*0.475*44/12</f>
        <v>1.0429845953779173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1.2636231294612346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177.47499999999994</v>
      </c>
      <c r="DQ84" s="13">
        <f t="shared" si="97"/>
        <v>44.75995913972482</v>
      </c>
      <c r="DR84" s="20">
        <f t="shared" si="70"/>
        <v>387.05922050168732</v>
      </c>
      <c r="DS84" s="59">
        <f t="shared" si="71"/>
        <v>680.39255383502064</v>
      </c>
      <c r="DT84" s="59">
        <f ca="1">AVERAGE(OFFSET($DS$3,0,0,'Données projet'!$E$14+1,1))-AVERAGE(OFFSET($H$3,0,0,'Données projet'!$E$14+1,1))</f>
        <v>366.51581861366333</v>
      </c>
      <c r="DU84" s="59">
        <f t="shared" si="98"/>
        <v>225.01415116995503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8.8352209608788037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8.8352209608788037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328.00000000000017</v>
      </c>
      <c r="EK84" s="17">
        <f>EJ84*VLOOKUP('Données projet'!$B$15,Paramètres!$A$1:$I$89,3,0)*VLOOKUP('Données projet'!$B$15,Paramètres!$A$1:$I$89,5,0)</f>
        <v>255.84000000000015</v>
      </c>
      <c r="EL84" s="13">
        <f t="shared" si="99"/>
        <v>61.834803371075886</v>
      </c>
      <c r="EM84" s="20">
        <f t="shared" si="73"/>
        <v>553.28361587129086</v>
      </c>
      <c r="EN84" s="59">
        <f t="shared" si="74"/>
        <v>846.61694920462423</v>
      </c>
      <c r="EO84" s="59">
        <f ca="1">AVERAGE(OFFSET($EN$3,0,0,'Données projet'!$E$15+1,1))-AVERAGE(OFFSET($H$3,0,0,'Données projet'!$E$15+1,1))</f>
        <v>288.80569134263209</v>
      </c>
      <c r="EP84" s="59">
        <f t="shared" si="100"/>
        <v>283.48738729114024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16.027068795611992</v>
      </c>
      <c r="EW84" s="21">
        <f>EXP(-LN(2)/25)*EW83+(1-EXP(-LN(2)/25))/(LN(2)/25)*Calculateur!ER84*Calculateur!ET84*VLOOKUP('Données projet'!$B$15,Paramètres!$A$1:$I$89,3,0)*0.475*44/12</f>
        <v>14.164199683917483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30.191268479529477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-1.0197709343628959E-13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323.17232038705157</v>
      </c>
      <c r="FK84" s="59">
        <f t="shared" si="102"/>
        <v>402.34685738619197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99.256923790083405</v>
      </c>
      <c r="FR84" s="21">
        <f>EXP(-LN(2)/25)*FR83+(1-EXP(-LN(2)/25))/(LN(2)/25)*Calculateur!FM84*Calculateur!FO84*VLOOKUP('Données projet'!$B$16,Paramètres!$A$1:$I$89,3,0)*0.475*44/12</f>
        <v>22.100288796555365</v>
      </c>
      <c r="FS84" s="21">
        <f>EXP(-LN(2)/2)*FS83+(1-EXP(-LN(2)/2))/(LN(2)/2)*FM84*FP84*VLOOKUP('Données projet'!$B$16,Paramètres!$A$1:$I$89,3,0)*0.475*44/12</f>
        <v>6.9754928947264871E-3</v>
      </c>
      <c r="FT84" s="22">
        <f t="shared" si="78"/>
        <v>121.36418807953349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328.00000000000017</v>
      </c>
      <c r="GA84" s="17">
        <f>FZ84*VLOOKUP('Données projet'!$B$17,Paramètres!$A$1:$I$89,3,0)*VLOOKUP('Données projet'!$B$17,Paramètres!$A$1:$I$89,5,0)</f>
        <v>266.07360000000017</v>
      </c>
      <c r="GB84" s="13">
        <f t="shared" si="103"/>
        <v>64.015279012301136</v>
      </c>
      <c r="GC84" s="20">
        <f t="shared" si="79"/>
        <v>574.90479761309132</v>
      </c>
      <c r="GD84" s="59">
        <f t="shared" si="80"/>
        <v>868.23813094642469</v>
      </c>
      <c r="GE84" s="59">
        <f ca="1">AVERAGE(OFFSET($GD$3,0,0,'Données projet'!$E$17+1,1))-AVERAGE(OFFSET($H$3,0,0,'Données projet'!$E$17+1,1))</f>
        <v>298.96480270023716</v>
      </c>
      <c r="GF84" s="59">
        <f t="shared" si="104"/>
        <v>293.11447542333889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20.544465860793796</v>
      </c>
      <c r="GM84" s="21">
        <f>EXP(-LN(2)/25)*GM83+(1-EXP(-LN(2)/25))/(LN(2)/25)*Calculateur!GH84*Calculateur!GJ84*VLOOKUP('Données projet'!$B$17,Paramètres!$A$1:$I$89,3,0)*0.475*44/12</f>
        <v>18.156527594826322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38.700993455620122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5.9607692307692215</v>
      </c>
      <c r="GU84" s="12">
        <f>IF('Données projet'!$A$270&gt;35,GU83+GT84-HC83,IF(A84&lt;'Données projet'!$A$270,$GR$205^A84,IF(A84='Données projet'!$A$270,'Données projet'!$B$270,GU83+GT84-HC83)))</f>
        <v>375.42846153846131</v>
      </c>
      <c r="GV84" s="17">
        <f>GU84*VLOOKUP('Données projet'!$B$18,Paramètres!$A$1:$I$89,3,0)*VLOOKUP('Données projet'!$B$18,Paramètres!$A$1:$I$89,5,0)</f>
        <v>214.74507999999986</v>
      </c>
      <c r="GW84" s="13">
        <f t="shared" si="105"/>
        <v>52.971152777282462</v>
      </c>
      <c r="GX84" s="20">
        <f t="shared" si="82"/>
        <v>466.27243875376661</v>
      </c>
      <c r="GY84" s="59">
        <f t="shared" si="83"/>
        <v>759.60577208709992</v>
      </c>
      <c r="GZ84" s="59">
        <f ca="1">AVERAGE(OFFSET($GY$3,0,0,'Données projet'!$E$18+1,1))-AVERAGE(OFFSET($H$3,0,0,'Données projet'!$E$18+1,1))</f>
        <v>320.76883487964511</v>
      </c>
      <c r="HA84" s="59">
        <f t="shared" si="106"/>
        <v>290.51177680335746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42.133884380408944</v>
      </c>
      <c r="HH84" s="21">
        <f>EXP(-LN(2)/25)*HH83+(1-EXP(-LN(2)/25))/(LN(2)/25)*Calculateur!HC84*Calculateur!HE84*VLOOKUP('Données projet'!$B$18,Paramètres!$A$1:$I$89,3,0)*0.475*44/12</f>
        <v>11.747313984167958</v>
      </c>
      <c r="HI84" s="21">
        <f>EXP(-LN(2)/2)*HI83+(1-EXP(-LN(2)/2))/(LN(2)/2)*HC84*HF84*VLOOKUP('Données projet'!$B$18,Paramètres!$A$1:$I$89,3,0)*0.475*44/12</f>
        <v>1.3212571264102302</v>
      </c>
      <c r="HJ84" s="22">
        <f t="shared" si="84"/>
        <v>55.202455490987134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246.80138888888911</v>
      </c>
      <c r="AK85" s="13">
        <f t="shared" si="89"/>
        <v>59.900493951858735</v>
      </c>
      <c r="AL85" s="20">
        <f t="shared" si="58"/>
        <v>534.17244594763577</v>
      </c>
      <c r="AM85" s="59">
        <f t="shared" si="59"/>
        <v>827.50577928096914</v>
      </c>
      <c r="AN85" s="59">
        <f ca="1">AVERAGE(OFFSET($AM$3,0,0,'Données projet'!$E$10+1,1))-AVERAGE(OFFSET($H$3,0,0,'Données projet'!$E$10+1,1))</f>
        <v>425.47148407510412</v>
      </c>
      <c r="AO85" s="59">
        <f t="shared" si="90"/>
        <v>308.54448799922471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35.29129058810787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35.29129058810787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2.8</v>
      </c>
      <c r="BD85" s="12">
        <f>IF('Données projet'!$A$88&gt;35,BD84+BC85-BL84,IF(A85&lt;'Données projet'!$A$88,$BA$205^A85,IF(A85='Données projet'!$A$88,'Données projet'!$B$88,BD84+BC85-BL84)))</f>
        <v>202.59999999999994</v>
      </c>
      <c r="BE85" s="13">
        <f>BD85*VLOOKUP('Données projet'!$B$11,Paramètres!$A$1:$I$89,3,0)*VLOOKUP('Données projet'!$B$11,Paramètres!$A$1:$I$89,5,0)</f>
        <v>176.99135999999996</v>
      </c>
      <c r="BF85" s="13">
        <f t="shared" si="91"/>
        <v>44.65216395512175</v>
      </c>
      <c r="BG85" s="20">
        <f t="shared" si="61"/>
        <v>386.02913755517028</v>
      </c>
      <c r="BH85" s="59">
        <f t="shared" si="62"/>
        <v>679.36247088850359</v>
      </c>
      <c r="BI85" s="59">
        <f ca="1">AVERAGE(OFFSET($BH$3,0,0,'Données projet'!$E$11+1,1))-AVERAGE(OFFSET($H$3,0,0,'Données projet'!$E$11+1,1))</f>
        <v>300.63505444445104</v>
      </c>
      <c r="BJ85" s="59">
        <f t="shared" si="92"/>
        <v>266.32508105927997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10.477798392780672</v>
      </c>
      <c r="BQ85" s="21">
        <f>EXP(-LN(2)/25)*BQ84+(1-EXP(-LN(2)/25))/(LN(2)/25)*Calculateur!BL85*Calculateur!BN85*VLOOKUP('Données projet'!$B$11,Paramètres!$A$1:$I$89,3,0)*0.475*44/12</f>
        <v>13.568282480115936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24.04608087289661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5.5042735042735051</v>
      </c>
      <c r="BY85" s="12">
        <f>IF('Données projet'!$A$114&gt;35,BY84+BX85-CG84,IF(A85&lt;'Données projet'!$A$114,$BV$205^A85,IF(A85='Données projet'!$A$114,'Données projet'!$B$114,BY84+BX85-CG84)))</f>
        <v>188.99786324786317</v>
      </c>
      <c r="BZ85" s="13">
        <f>BY85*VLOOKUP('Données projet'!$B$12,Paramètres!$A$1:$I$89,3,0)*VLOOKUP('Données projet'!$B$12,Paramètres!$A$1:$I$89,5,0)</f>
        <v>179.85036666666659</v>
      </c>
      <c r="CA85" s="13">
        <f t="shared" si="93"/>
        <v>45.288893895579243</v>
      </c>
      <c r="CB85" s="20">
        <f t="shared" si="64"/>
        <v>392.11754547924482</v>
      </c>
      <c r="CC85" s="59">
        <f t="shared" si="65"/>
        <v>685.45087881257814</v>
      </c>
      <c r="CD85" s="59">
        <f ca="1">AVERAGE(OFFSET($CC$3,0,0,'Données projet'!$E$12+1,1))-AVERAGE(OFFSET($H$3,0,0,'Données projet'!$E$12+1,1))</f>
        <v>361.26385625423757</v>
      </c>
      <c r="CE85" s="59">
        <f t="shared" si="94"/>
        <v>222.05197404028576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8.522258510872696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8.522258510872696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247.00000000000017</v>
      </c>
      <c r="CU85" s="17">
        <f>CT85*VLOOKUP('Données projet'!$B$13,Paramètres!$A$1:$I$89,3,0)*VLOOKUP('Données projet'!$B$13,Paramètres!$A$1:$I$89,5,0)</f>
        <v>223.48560000000012</v>
      </c>
      <c r="CV85" s="13">
        <f t="shared" si="95"/>
        <v>54.87176918107798</v>
      </c>
      <c r="CW85" s="20">
        <f t="shared" si="67"/>
        <v>484.80575132371092</v>
      </c>
      <c r="CX85" s="59">
        <f t="shared" si="68"/>
        <v>778.13908465704424</v>
      </c>
      <c r="CY85" s="59">
        <f ca="1">AVERAGE(OFFSET($CX$3,0,0,'Données projet'!$E$13+1,1))-AVERAGE(OFFSET($H$3,0,0,'Données projet'!$E$13+1,1))</f>
        <v>302.6937347295995</v>
      </c>
      <c r="CZ85" s="59">
        <f t="shared" si="96"/>
        <v>423.44006663873375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0.2163119470061608</v>
      </c>
      <c r="DG85" s="21">
        <f>EXP(-LN(2)/25)*DG84+(1-EXP(-LN(2)/25))/(LN(2)/25)*Calculateur!DB85*Calculateur!DD85*VLOOKUP('Données projet'!$B$13,Paramètres!$A$1:$I$89,3,0)*0.475*44/12</f>
        <v>1.0144641267691321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1.2307760737752929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182.79873333333327</v>
      </c>
      <c r="DQ85" s="13">
        <f t="shared" si="97"/>
        <v>45.944292537531553</v>
      </c>
      <c r="DR85" s="20">
        <f t="shared" si="70"/>
        <v>398.39410339175623</v>
      </c>
      <c r="DS85" s="59">
        <f t="shared" si="71"/>
        <v>691.72743672508955</v>
      </c>
      <c r="DT85" s="59">
        <f ca="1">AVERAGE(OFFSET($DS$3,0,0,'Données projet'!$E$14+1,1))-AVERAGE(OFFSET($H$3,0,0,'Données projet'!$E$14+1,1))</f>
        <v>366.51581861366333</v>
      </c>
      <c r="DU85" s="59">
        <f t="shared" si="98"/>
        <v>225.01415116995503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8.6619676667886409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8.6619676667886409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328.00000000000017</v>
      </c>
      <c r="EK85" s="17">
        <f>EJ85*VLOOKUP('Données projet'!$B$15,Paramètres!$A$1:$I$89,3,0)*VLOOKUP('Données projet'!$B$15,Paramètres!$A$1:$I$89,5,0)</f>
        <v>255.84000000000015</v>
      </c>
      <c r="EL85" s="13">
        <f t="shared" si="99"/>
        <v>61.834803371075886</v>
      </c>
      <c r="EM85" s="20">
        <f t="shared" si="73"/>
        <v>553.28361587129086</v>
      </c>
      <c r="EN85" s="59">
        <f t="shared" si="74"/>
        <v>846.61694920462423</v>
      </c>
      <c r="EO85" s="59">
        <f ca="1">AVERAGE(OFFSET($EN$3,0,0,'Données projet'!$E$15+1,1))-AVERAGE(OFFSET($H$3,0,0,'Données projet'!$E$15+1,1))</f>
        <v>288.80569134263209</v>
      </c>
      <c r="EP85" s="59">
        <f t="shared" si="100"/>
        <v>283.48738729114024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15.712787752076752</v>
      </c>
      <c r="EW85" s="21">
        <f>EXP(-LN(2)/25)*EW84+(1-EXP(-LN(2)/25))/(LN(2)/25)*Calculateur!ER85*Calculateur!ET85*VLOOKUP('Données projet'!$B$15,Paramètres!$A$1:$I$89,3,0)*0.475*44/12</f>
        <v>13.77687889869787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29.489666650774623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-1.0197709343628959E-13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323.17232038705157</v>
      </c>
      <c r="FK85" s="59">
        <f t="shared" si="102"/>
        <v>402.34685738619197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97.310556055305483</v>
      </c>
      <c r="FR85" s="21">
        <f>EXP(-LN(2)/25)*FR84+(1-EXP(-LN(2)/25))/(LN(2)/25)*Calculateur!FM85*Calculateur!FO85*VLOOKUP('Données projet'!$B$16,Paramètres!$A$1:$I$89,3,0)*0.475*44/12</f>
        <v>21.495955237209881</v>
      </c>
      <c r="FS85" s="21">
        <f>EXP(-LN(2)/2)*FS84+(1-EXP(-LN(2)/2))/(LN(2)/2)*FM85*FP85*VLOOKUP('Données projet'!$B$16,Paramètres!$A$1:$I$89,3,0)*0.475*44/12</f>
        <v>4.9324183279796791E-3</v>
      </c>
      <c r="FT85" s="22">
        <f t="shared" si="78"/>
        <v>118.81144371084335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328.00000000000017</v>
      </c>
      <c r="GA85" s="17">
        <f>FZ85*VLOOKUP('Données projet'!$B$17,Paramètres!$A$1:$I$89,3,0)*VLOOKUP('Données projet'!$B$17,Paramètres!$A$1:$I$89,5,0)</f>
        <v>266.07360000000017</v>
      </c>
      <c r="GB85" s="13">
        <f t="shared" si="103"/>
        <v>64.015279012301136</v>
      </c>
      <c r="GC85" s="20">
        <f t="shared" si="79"/>
        <v>574.90479761309132</v>
      </c>
      <c r="GD85" s="59">
        <f t="shared" si="80"/>
        <v>868.23813094642469</v>
      </c>
      <c r="GE85" s="59">
        <f ca="1">AVERAGE(OFFSET($GD$3,0,0,'Données projet'!$E$17+1,1))-AVERAGE(OFFSET($H$3,0,0,'Données projet'!$E$17+1,1))</f>
        <v>298.96480270023716</v>
      </c>
      <c r="GF85" s="59">
        <f t="shared" si="104"/>
        <v>293.11447542333889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20.141601416150483</v>
      </c>
      <c r="GM85" s="21">
        <f>EXP(-LN(2)/25)*GM84+(1-EXP(-LN(2)/25))/(LN(2)/25)*Calculateur!GH85*Calculateur!GJ85*VLOOKUP('Données projet'!$B$17,Paramètres!$A$1:$I$89,3,0)*0.475*44/12</f>
        <v>17.660036392935506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37.801637809085989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5.9607692307692215</v>
      </c>
      <c r="GU85" s="12">
        <f>IF('Données projet'!$A$270&gt;35,GU84+GT85-HC84,IF(A85&lt;'Données projet'!$A$270,$GR$205^A85,IF(A85='Données projet'!$A$270,'Données projet'!$B$270,GU84+GT85-HC84)))</f>
        <v>381.38923076923055</v>
      </c>
      <c r="GV85" s="17">
        <f>GU85*VLOOKUP('Données projet'!$B$18,Paramètres!$A$1:$I$89,3,0)*VLOOKUP('Données projet'!$B$18,Paramètres!$A$1:$I$89,5,0)</f>
        <v>218.15463999999989</v>
      </c>
      <c r="GW85" s="13">
        <f t="shared" si="105"/>
        <v>53.713609428437721</v>
      </c>
      <c r="GX85" s="20">
        <f t="shared" si="82"/>
        <v>473.50386775452876</v>
      </c>
      <c r="GY85" s="59">
        <f t="shared" si="83"/>
        <v>766.83720108786201</v>
      </c>
      <c r="GZ85" s="59">
        <f ca="1">AVERAGE(OFFSET($GY$3,0,0,'Données projet'!$E$18+1,1))-AVERAGE(OFFSET($H$3,0,0,'Données projet'!$E$18+1,1))</f>
        <v>320.76883487964511</v>
      </c>
      <c r="HA85" s="59">
        <f t="shared" si="106"/>
        <v>290.51177680335746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41.307664606841016</v>
      </c>
      <c r="HH85" s="21">
        <f>EXP(-LN(2)/25)*HH84+(1-EXP(-LN(2)/25))/(LN(2)/25)*Calculateur!HC85*Calculateur!HE85*VLOOKUP('Données projet'!$B$18,Paramètres!$A$1:$I$89,3,0)*0.475*44/12</f>
        <v>11.426083065506491</v>
      </c>
      <c r="HI85" s="21">
        <f>EXP(-LN(2)/2)*HI84+(1-EXP(-LN(2)/2))/(LN(2)/2)*HC85*HF85*VLOOKUP('Données projet'!$B$18,Paramètres!$A$1:$I$89,3,0)*0.475*44/12</f>
        <v>0.93426987377572523</v>
      </c>
      <c r="HJ85" s="22">
        <f t="shared" si="84"/>
        <v>53.668017546123231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254.40133333333353</v>
      </c>
      <c r="AK86" s="13">
        <f t="shared" si="89"/>
        <v>61.527460718284608</v>
      </c>
      <c r="AL86" s="20">
        <f t="shared" si="58"/>
        <v>550.24264963990152</v>
      </c>
      <c r="AM86" s="59">
        <f t="shared" si="59"/>
        <v>843.57598297323489</v>
      </c>
      <c r="AN86" s="59">
        <f ca="1">AVERAGE(OFFSET($AM$3,0,0,'Données projet'!$E$10+1,1))-AVERAGE(OFFSET($H$3,0,0,'Données projet'!$E$10+1,1))</f>
        <v>425.47148407510412</v>
      </c>
      <c r="AO86" s="59">
        <f t="shared" si="90"/>
        <v>308.54448799922471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34.59924990523686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34.59924990523686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2.8</v>
      </c>
      <c r="BD86" s="12">
        <f>IF('Données projet'!$A$88&gt;35,BD85+BC86-BL85,IF(A86&lt;'Données projet'!$A$88,$BA$205^A86,IF(A86='Données projet'!$A$88,'Données projet'!$B$88,BD85+BC86-BL85)))</f>
        <v>205.39999999999995</v>
      </c>
      <c r="BE86" s="13">
        <f>BD86*VLOOKUP('Données projet'!$B$11,Paramètres!$A$1:$I$89,3,0)*VLOOKUP('Données projet'!$B$11,Paramètres!$A$1:$I$89,5,0)</f>
        <v>179.43743999999998</v>
      </c>
      <c r="BF86" s="13">
        <f t="shared" si="91"/>
        <v>45.197004138831623</v>
      </c>
      <c r="BG86" s="20">
        <f t="shared" si="61"/>
        <v>391.23832354179837</v>
      </c>
      <c r="BH86" s="59">
        <f t="shared" si="62"/>
        <v>684.57165687513168</v>
      </c>
      <c r="BI86" s="59">
        <f ca="1">AVERAGE(OFFSET($BH$3,0,0,'Données projet'!$E$11+1,1))-AVERAGE(OFFSET($H$3,0,0,'Données projet'!$E$11+1,1))</f>
        <v>300.63505444445104</v>
      </c>
      <c r="BJ86" s="59">
        <f t="shared" si="92"/>
        <v>266.32508105927997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10.272335157124221</v>
      </c>
      <c r="BQ86" s="21">
        <f>EXP(-LN(2)/25)*BQ85+(1-EXP(-LN(2)/25))/(LN(2)/25)*Calculateur!BL86*Calculateur!BN86*VLOOKUP('Données projet'!$B$11,Paramètres!$A$1:$I$89,3,0)*0.475*44/12</f>
        <v>13.197257082172202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23.469592239296425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5.5042735042735051</v>
      </c>
      <c r="BY86" s="12">
        <f>IF('Données projet'!$A$114&gt;35,BY85+BX86-CG85,IF(A86&lt;'Données projet'!$A$114,$BV$205^A86,IF(A86='Données projet'!$A$114,'Données projet'!$B$114,BY85+BX86-CG85)))</f>
        <v>194.50213675213666</v>
      </c>
      <c r="BZ86" s="13">
        <f>BY86*VLOOKUP('Données projet'!$B$12,Paramètres!$A$1:$I$89,3,0)*VLOOKUP('Données projet'!$B$12,Paramètres!$A$1:$I$89,5,0)</f>
        <v>185.08823333333325</v>
      </c>
      <c r="CA86" s="13">
        <f t="shared" si="93"/>
        <v>46.452381217770373</v>
      </c>
      <c r="CB86" s="20">
        <f t="shared" si="64"/>
        <v>403.26657034317213</v>
      </c>
      <c r="CC86" s="59">
        <f t="shared" si="65"/>
        <v>696.59990367650539</v>
      </c>
      <c r="CD86" s="59">
        <f ca="1">AVERAGE(OFFSET($CC$3,0,0,'Données projet'!$E$12+1,1))-AVERAGE(OFFSET($H$3,0,0,'Données projet'!$E$12+1,1))</f>
        <v>361.26385625423757</v>
      </c>
      <c r="CE86" s="59">
        <f t="shared" si="94"/>
        <v>222.05197404028576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8.3551422195389087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8.3551422195389087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247.00000000000017</v>
      </c>
      <c r="CU86" s="17">
        <f>CT86*VLOOKUP('Données projet'!$B$13,Paramètres!$A$1:$I$89,3,0)*VLOOKUP('Données projet'!$B$13,Paramètres!$A$1:$I$89,5,0)</f>
        <v>223.48560000000012</v>
      </c>
      <c r="CV86" s="13">
        <f t="shared" si="95"/>
        <v>54.87176918107798</v>
      </c>
      <c r="CW86" s="20">
        <f t="shared" si="67"/>
        <v>484.80575132371092</v>
      </c>
      <c r="CX86" s="59">
        <f t="shared" si="68"/>
        <v>778.13908465704424</v>
      </c>
      <c r="CY86" s="59">
        <f ca="1">AVERAGE(OFFSET($CX$3,0,0,'Données projet'!$E$13+1,1))-AVERAGE(OFFSET($H$3,0,0,'Données projet'!$E$13+1,1))</f>
        <v>302.6937347295995</v>
      </c>
      <c r="CZ86" s="59">
        <f t="shared" si="96"/>
        <v>423.44006663873375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0.21207020166262994</v>
      </c>
      <c r="DG86" s="21">
        <f>EXP(-LN(2)/25)*DG85+(1-EXP(-LN(2)/25))/(LN(2)/25)*Calculateur!DB86*Calculateur!DD86*VLOOKUP('Données projet'!$B$13,Paramètres!$A$1:$I$89,3,0)*0.475*44/12</f>
        <v>0.9867235518742804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1.1987937535369104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188.12246666666658</v>
      </c>
      <c r="DQ86" s="13">
        <f t="shared" si="97"/>
        <v>47.124617277140104</v>
      </c>
      <c r="DR86" s="20">
        <f t="shared" si="70"/>
        <v>409.72200453546321</v>
      </c>
      <c r="DS86" s="59">
        <f t="shared" si="71"/>
        <v>703.05533786879653</v>
      </c>
      <c r="DT86" s="59">
        <f ca="1">AVERAGE(OFFSET($DS$3,0,0,'Données projet'!$E$14+1,1))-AVERAGE(OFFSET($H$3,0,0,'Données projet'!$E$14+1,1))</f>
        <v>366.51581861366333</v>
      </c>
      <c r="DU86" s="59">
        <f t="shared" si="98"/>
        <v>225.01415116995503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8.4921117641215123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8.4921117641215123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328.00000000000017</v>
      </c>
      <c r="EK86" s="17">
        <f>EJ86*VLOOKUP('Données projet'!$B$15,Paramètres!$A$1:$I$89,3,0)*VLOOKUP('Données projet'!$B$15,Paramètres!$A$1:$I$89,5,0)</f>
        <v>255.84000000000015</v>
      </c>
      <c r="EL86" s="13">
        <f t="shared" si="99"/>
        <v>61.834803371075886</v>
      </c>
      <c r="EM86" s="20">
        <f t="shared" si="73"/>
        <v>553.28361587129086</v>
      </c>
      <c r="EN86" s="59">
        <f t="shared" si="74"/>
        <v>846.61694920462423</v>
      </c>
      <c r="EO86" s="59">
        <f ca="1">AVERAGE(OFFSET($EN$3,0,0,'Données projet'!$E$15+1,1))-AVERAGE(OFFSET($H$3,0,0,'Données projet'!$E$15+1,1))</f>
        <v>288.80569134263209</v>
      </c>
      <c r="EP86" s="59">
        <f t="shared" si="100"/>
        <v>283.48738729114024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15.404669568112729</v>
      </c>
      <c r="EW86" s="21">
        <f>EXP(-LN(2)/25)*EW85+(1-EXP(-LN(2)/25))/(LN(2)/25)*Calculateur!ER86*Calculateur!ET86*VLOOKUP('Données projet'!$B$15,Paramètres!$A$1:$I$89,3,0)*0.475*44/12</f>
        <v>13.400149420718403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28.80481898883113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-1.0197709343628959E-13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323.17232038705157</v>
      </c>
      <c r="FK86" s="59">
        <f t="shared" si="102"/>
        <v>402.34685738619197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95.402355404639451</v>
      </c>
      <c r="FR86" s="21">
        <f>EXP(-LN(2)/25)*FR85+(1-EXP(-LN(2)/25))/(LN(2)/25)*Calculateur!FM86*Calculateur!FO86*VLOOKUP('Données projet'!$B$16,Paramètres!$A$1:$I$89,3,0)*0.475*44/12</f>
        <v>20.90814721082522</v>
      </c>
      <c r="FS86" s="21">
        <f>EXP(-LN(2)/2)*FS85+(1-EXP(-LN(2)/2))/(LN(2)/2)*FM86*FP86*VLOOKUP('Données projet'!$B$16,Paramètres!$A$1:$I$89,3,0)*0.475*44/12</f>
        <v>3.4877464473632436E-3</v>
      </c>
      <c r="FT86" s="22">
        <f t="shared" si="78"/>
        <v>116.31399036191203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328.00000000000017</v>
      </c>
      <c r="GA86" s="17">
        <f>FZ86*VLOOKUP('Données projet'!$B$17,Paramètres!$A$1:$I$89,3,0)*VLOOKUP('Données projet'!$B$17,Paramètres!$A$1:$I$89,5,0)</f>
        <v>266.07360000000017</v>
      </c>
      <c r="GB86" s="13">
        <f t="shared" si="103"/>
        <v>64.015279012301136</v>
      </c>
      <c r="GC86" s="20">
        <f t="shared" si="79"/>
        <v>574.90479761309132</v>
      </c>
      <c r="GD86" s="59">
        <f t="shared" si="80"/>
        <v>868.23813094642469</v>
      </c>
      <c r="GE86" s="59">
        <f ca="1">AVERAGE(OFFSET($GD$3,0,0,'Données projet'!$E$17+1,1))-AVERAGE(OFFSET($H$3,0,0,'Données projet'!$E$17+1,1))</f>
        <v>298.96480270023716</v>
      </c>
      <c r="GF86" s="59">
        <f t="shared" si="104"/>
        <v>293.11447542333889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19.746636897543578</v>
      </c>
      <c r="GM86" s="21">
        <f>EXP(-LN(2)/25)*GM85+(1-EXP(-LN(2)/25))/(LN(2)/25)*Calculateur!GH86*Calculateur!GJ86*VLOOKUP('Données projet'!$B$17,Paramètres!$A$1:$I$89,3,0)*0.475*44/12</f>
        <v>17.177121769069732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36.92375866661331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5.9607692307692215</v>
      </c>
      <c r="GU86" s="12">
        <f>IF('Données projet'!$A$270&gt;35,GU85+GT86-HC85,IF(A86&lt;'Données projet'!$A$270,$GR$205^A86,IF(A86='Données projet'!$A$270,'Données projet'!$B$270,GU85+GT86-HC85)))</f>
        <v>387.3499999999998</v>
      </c>
      <c r="GV86" s="17">
        <f>GU86*VLOOKUP('Données projet'!$B$18,Paramètres!$A$1:$I$89,3,0)*VLOOKUP('Données projet'!$B$18,Paramètres!$A$1:$I$89,5,0)</f>
        <v>221.56419999999989</v>
      </c>
      <c r="GW86" s="13">
        <f t="shared" si="105"/>
        <v>54.454716552277773</v>
      </c>
      <c r="GX86" s="20">
        <f t="shared" si="82"/>
        <v>480.73294632855033</v>
      </c>
      <c r="GY86" s="59">
        <f t="shared" si="83"/>
        <v>774.06627966188364</v>
      </c>
      <c r="GZ86" s="59">
        <f ca="1">AVERAGE(OFFSET($GY$3,0,0,'Données projet'!$E$18+1,1))-AVERAGE(OFFSET($H$3,0,0,'Données projet'!$E$18+1,1))</f>
        <v>320.76883487964511</v>
      </c>
      <c r="HA86" s="59">
        <f t="shared" si="106"/>
        <v>290.51177680335746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40.497646499088454</v>
      </c>
      <c r="HH86" s="21">
        <f>EXP(-LN(2)/25)*HH85+(1-EXP(-LN(2)/25))/(LN(2)/25)*Calculateur!HC86*Calculateur!HE86*VLOOKUP('Données projet'!$B$18,Paramètres!$A$1:$I$89,3,0)*0.475*44/12</f>
        <v>11.113636223208623</v>
      </c>
      <c r="HI86" s="21">
        <f>EXP(-LN(2)/2)*HI85+(1-EXP(-LN(2)/2))/(LN(2)/2)*HC86*HF86*VLOOKUP('Données projet'!$B$18,Paramètres!$A$1:$I$89,3,0)*0.475*44/12</f>
        <v>0.6606285632051152</v>
      </c>
      <c r="HJ86" s="22">
        <f t="shared" si="84"/>
        <v>52.271911285502192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262.001277777778</v>
      </c>
      <c r="AK87" s="13">
        <f t="shared" si="89"/>
        <v>63.148778946325088</v>
      </c>
      <c r="AL87" s="20">
        <f t="shared" si="58"/>
        <v>566.30301546114617</v>
      </c>
      <c r="AM87" s="59">
        <f t="shared" si="59"/>
        <v>859.63634879447955</v>
      </c>
      <c r="AN87" s="59">
        <f ca="1">AVERAGE(OFFSET($AM$3,0,0,'Données projet'!$E$10+1,1))-AVERAGE(OFFSET($H$3,0,0,'Données projet'!$E$10+1,1))</f>
        <v>425.47148407510412</v>
      </c>
      <c r="AO87" s="59">
        <f t="shared" si="90"/>
        <v>308.54448799922471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33.920779718053815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33.920779718053815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2.8</v>
      </c>
      <c r="BD87" s="12">
        <f>IF('Données projet'!$A$88&gt;35,BD86+BC87-BL86,IF(A87&lt;'Données projet'!$A$88,$BA$205^A87,IF(A87='Données projet'!$A$88,'Données projet'!$B$88,BD86+BC87-BL86)))</f>
        <v>208.19999999999996</v>
      </c>
      <c r="BE87" s="13">
        <f>BD87*VLOOKUP('Données projet'!$B$11,Paramètres!$A$1:$I$89,3,0)*VLOOKUP('Données projet'!$B$11,Paramètres!$A$1:$I$89,5,0)</f>
        <v>181.88351999999998</v>
      </c>
      <c r="BF87" s="13">
        <f t="shared" si="91"/>
        <v>45.740980450513447</v>
      </c>
      <c r="BG87" s="20">
        <f t="shared" si="61"/>
        <v>396.4460049513109</v>
      </c>
      <c r="BH87" s="59">
        <f t="shared" si="62"/>
        <v>689.77933828464415</v>
      </c>
      <c r="BI87" s="59">
        <f ca="1">AVERAGE(OFFSET($BH$3,0,0,'Données projet'!$E$11+1,1))-AVERAGE(OFFSET($H$3,0,0,'Données projet'!$E$11+1,1))</f>
        <v>300.63505444445104</v>
      </c>
      <c r="BJ87" s="59">
        <f t="shared" si="92"/>
        <v>266.32508105927997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10.070900930198794</v>
      </c>
      <c r="BQ87" s="21">
        <f>EXP(-LN(2)/25)*BQ86+(1-EXP(-LN(2)/25))/(LN(2)/25)*Calculateur!BL87*Calculateur!BN87*VLOOKUP('Données projet'!$B$11,Paramètres!$A$1:$I$89,3,0)*0.475*44/12</f>
        <v>12.836377393246616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22.907278323445411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200.00641025641025</v>
      </c>
      <c r="BW87" s="12">
        <f>VLOOKUP(A87,'Données projet'!$A$113:$I$133,9,0)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projet'!$A$114&gt;35,BY86+BX87-CG86,IF(A87&lt;'Données projet'!$A$114,$BV$205^A87,IF(A87='Données projet'!$A$114,'Données projet'!$B$114,BY86+BX87-CG86)))</f>
        <v>200.00641025641016</v>
      </c>
      <c r="BZ87" s="13">
        <f>BY87*VLOOKUP('Données projet'!$B$12,Paramètres!$A$1:$I$89,3,0)*VLOOKUP('Données projet'!$B$12,Paramètres!$A$1:$I$89,5,0)</f>
        <v>190.32609999999991</v>
      </c>
      <c r="CA87" s="13">
        <f t="shared" si="93"/>
        <v>47.612041734138863</v>
      </c>
      <c r="CB87" s="20">
        <f t="shared" si="64"/>
        <v>414.40893018695834</v>
      </c>
      <c r="CC87" s="59">
        <f t="shared" si="65"/>
        <v>707.74226352029166</v>
      </c>
      <c r="CD87" s="59">
        <f ca="1">AVERAGE(OFFSET($CC$3,0,0,'Données projet'!$E$12+1,1))-AVERAGE(OFFSET($H$3,0,0,'Données projet'!$E$12+1,1))</f>
        <v>361.26385625423757</v>
      </c>
      <c r="CE87" s="59">
        <f t="shared" si="94"/>
        <v>222.05197404028576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35.083333333333329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19.300147515555544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19.300147515555544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247.00000000000017</v>
      </c>
      <c r="CU87" s="17">
        <f>CT87*VLOOKUP('Données projet'!$B$13,Paramètres!$A$1:$I$89,3,0)*VLOOKUP('Données projet'!$B$13,Paramètres!$A$1:$I$89,5,0)</f>
        <v>223.48560000000012</v>
      </c>
      <c r="CV87" s="13">
        <f t="shared" si="95"/>
        <v>54.87176918107798</v>
      </c>
      <c r="CW87" s="20">
        <f t="shared" si="67"/>
        <v>484.80575132371092</v>
      </c>
      <c r="CX87" s="59">
        <f t="shared" si="68"/>
        <v>778.13908465704424</v>
      </c>
      <c r="CY87" s="59">
        <f ca="1">AVERAGE(OFFSET($CX$3,0,0,'Données projet'!$E$13+1,1))-AVERAGE(OFFSET($H$3,0,0,'Données projet'!$E$13+1,1))</f>
        <v>302.6937347295995</v>
      </c>
      <c r="CZ87" s="59">
        <f t="shared" si="96"/>
        <v>423.44006663873375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0.20791163435807652</v>
      </c>
      <c r="DG87" s="21">
        <f>EXP(-LN(2)/25)*DG86+(1-EXP(-LN(2)/25))/(LN(2)/25)*Calculateur!DB87*Calculateur!DD87*VLOOKUP('Données projet'!$B$13,Paramètres!$A$1:$I$89,3,0)*0.475*44/12</f>
        <v>0.95974154445874182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1.1676531788168183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193.44619999999992</v>
      </c>
      <c r="DQ87" s="13">
        <f t="shared" si="97"/>
        <v>48.301059831270564</v>
      </c>
      <c r="DR87" s="20">
        <f t="shared" si="70"/>
        <v>421.0431442061294</v>
      </c>
      <c r="DS87" s="59">
        <f t="shared" si="71"/>
        <v>714.37647753946271</v>
      </c>
      <c r="DT87" s="59">
        <f ca="1">AVERAGE(OFFSET($DS$3,0,0,'Données projet'!$E$14+1,1))-AVERAGE(OFFSET($H$3,0,0,'Données projet'!$E$14+1,1))</f>
        <v>366.51581861366333</v>
      </c>
      <c r="DU87" s="59">
        <f t="shared" si="98"/>
        <v>225.01415116995503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19.616543376466289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19.616543376466289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328.00000000000017</v>
      </c>
      <c r="EK87" s="17">
        <f>EJ87*VLOOKUP('Données projet'!$B$15,Paramètres!$A$1:$I$89,3,0)*VLOOKUP('Données projet'!$B$15,Paramètres!$A$1:$I$89,5,0)</f>
        <v>255.84000000000015</v>
      </c>
      <c r="EL87" s="13">
        <f t="shared" si="99"/>
        <v>61.834803371075886</v>
      </c>
      <c r="EM87" s="20">
        <f t="shared" si="73"/>
        <v>553.28361587129086</v>
      </c>
      <c r="EN87" s="59">
        <f t="shared" si="74"/>
        <v>846.61694920462423</v>
      </c>
      <c r="EO87" s="59">
        <f ca="1">AVERAGE(OFFSET($EN$3,0,0,'Données projet'!$E$15+1,1))-AVERAGE(OFFSET($H$3,0,0,'Données projet'!$E$15+1,1))</f>
        <v>288.80569134263209</v>
      </c>
      <c r="EP87" s="59">
        <f t="shared" si="100"/>
        <v>283.48738729114024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15.102593393802705</v>
      </c>
      <c r="EW87" s="21">
        <f>EXP(-LN(2)/25)*EW86+(1-EXP(-LN(2)/25))/(LN(2)/25)*Calculateur!ER87*Calculateur!ET87*VLOOKUP('Données projet'!$B$15,Paramètres!$A$1:$I$89,3,0)*0.475*44/12</f>
        <v>13.033721630125626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28.136315023928333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-1.0197709343628959E-13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323.17232038705157</v>
      </c>
      <c r="FK87" s="59">
        <f t="shared" si="102"/>
        <v>402.34685738619197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93.531573404845517</v>
      </c>
      <c r="FR87" s="21">
        <f>EXP(-LN(2)/25)*FR86+(1-EXP(-LN(2)/25))/(LN(2)/25)*Calculateur!FM87*Calculateur!FO87*VLOOKUP('Données projet'!$B$16,Paramètres!$A$1:$I$89,3,0)*0.475*44/12</f>
        <v>20.336412825833527</v>
      </c>
      <c r="FS87" s="21">
        <f>EXP(-LN(2)/2)*FS86+(1-EXP(-LN(2)/2))/(LN(2)/2)*FM87*FP87*VLOOKUP('Données projet'!$B$16,Paramètres!$A$1:$I$89,3,0)*0.475*44/12</f>
        <v>2.4662091639898395E-3</v>
      </c>
      <c r="FT87" s="22">
        <f t="shared" si="78"/>
        <v>113.87045243984302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328.00000000000017</v>
      </c>
      <c r="GA87" s="17">
        <f>FZ87*VLOOKUP('Données projet'!$B$17,Paramètres!$A$1:$I$89,3,0)*VLOOKUP('Données projet'!$B$17,Paramètres!$A$1:$I$89,5,0)</f>
        <v>266.07360000000017</v>
      </c>
      <c r="GB87" s="13">
        <f t="shared" si="103"/>
        <v>64.015279012301136</v>
      </c>
      <c r="GC87" s="20">
        <f t="shared" si="79"/>
        <v>574.90479761309132</v>
      </c>
      <c r="GD87" s="59">
        <f t="shared" si="80"/>
        <v>868.23813094642469</v>
      </c>
      <c r="GE87" s="59">
        <f ca="1">AVERAGE(OFFSET($GD$3,0,0,'Données projet'!$E$17+1,1))-AVERAGE(OFFSET($H$3,0,0,'Données projet'!$E$17+1,1))</f>
        <v>298.96480270023716</v>
      </c>
      <c r="GF87" s="59">
        <f t="shared" si="104"/>
        <v>293.11447542333889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19.359417392241983</v>
      </c>
      <c r="GM87" s="21">
        <f>EXP(-LN(2)/25)*GM86+(1-EXP(-LN(2)/25))/(LN(2)/25)*Calculateur!GH87*Calculateur!GJ87*VLOOKUP('Données projet'!$B$17,Paramètres!$A$1:$I$89,3,0)*0.475*44/12</f>
        <v>16.707412470988945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36.066829863230929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5.9607692307692215</v>
      </c>
      <c r="GU87" s="12">
        <f>IF('Données projet'!$A$270&gt;35,GU86+GT87-HC86,IF(A87&lt;'Données projet'!$A$270,$GR$205^A87,IF(A87='Données projet'!$A$270,'Données projet'!$B$270,GU86+GT87-HC86)))</f>
        <v>393.31076923076904</v>
      </c>
      <c r="GV87" s="17">
        <f>GU87*VLOOKUP('Données projet'!$B$18,Paramètres!$A$1:$I$89,3,0)*VLOOKUP('Données projet'!$B$18,Paramètres!$A$1:$I$89,5,0)</f>
        <v>224.97375999999988</v>
      </c>
      <c r="GW87" s="13">
        <f t="shared" si="105"/>
        <v>55.194497314526473</v>
      </c>
      <c r="GX87" s="20">
        <f t="shared" si="82"/>
        <v>487.95971482280015</v>
      </c>
      <c r="GY87" s="59">
        <f t="shared" si="83"/>
        <v>781.29304815613341</v>
      </c>
      <c r="GZ87" s="59">
        <f ca="1">AVERAGE(OFFSET($GY$3,0,0,'Données projet'!$E$18+1,1))-AVERAGE(OFFSET($H$3,0,0,'Données projet'!$E$18+1,1))</f>
        <v>320.76883487964511</v>
      </c>
      <c r="HA87" s="59">
        <f t="shared" si="106"/>
        <v>290.51177680335746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39.703512352366658</v>
      </c>
      <c r="HH87" s="21">
        <f>EXP(-LN(2)/25)*HH86+(1-EXP(-LN(2)/25))/(LN(2)/25)*Calculateur!HC87*Calculateur!HE87*VLOOKUP('Données projet'!$B$18,Paramètres!$A$1:$I$89,3,0)*0.475*44/12</f>
        <v>10.809733256244254</v>
      </c>
      <c r="HI87" s="21">
        <f>EXP(-LN(2)/2)*HI86+(1-EXP(-LN(2)/2))/(LN(2)/2)*HC87*HF87*VLOOKUP('Données projet'!$B$18,Paramètres!$A$1:$I$89,3,0)*0.475*44/12</f>
        <v>0.46713493688786273</v>
      </c>
      <c r="HJ87" s="22">
        <f t="shared" si="84"/>
        <v>50.980380545498775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269.60122222222248</v>
      </c>
      <c r="AK88" s="13">
        <f t="shared" si="89"/>
        <v>64.764631300165817</v>
      </c>
      <c r="AL88" s="20">
        <f t="shared" si="58"/>
        <v>582.35386155149297</v>
      </c>
      <c r="AM88" s="59">
        <f t="shared" si="59"/>
        <v>875.68719488482634</v>
      </c>
      <c r="AN88" s="59">
        <f ca="1">AVERAGE(OFFSET($AM$3,0,0,'Données projet'!$E$10+1,1))-AVERAGE(OFFSET($H$3,0,0,'Données projet'!$E$10+1,1))</f>
        <v>425.47148407510412</v>
      </c>
      <c r="AO88" s="59">
        <f t="shared" si="90"/>
        <v>308.54448799922471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33.255613917415474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33.255613917415474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211</v>
      </c>
      <c r="BB88" s="12">
        <f>VLOOKUP(A88,'Données projet'!$A$87:$I$107,9,0)</f>
        <v>2.8</v>
      </c>
      <c r="BC88" s="12">
        <f t="array" ref="BC88">INDEX(BB:BB,MIN(IF(ISNUMBER(BB88:BB284),ROW(BB88:BB284),"")))</f>
        <v>2.8</v>
      </c>
      <c r="BD88" s="12">
        <f>IF('Données projet'!$A$88&gt;35,BD87+BC88-BL87,IF(A88&lt;'Données projet'!$A$88,$BA$205^A88,IF(A88='Données projet'!$A$88,'Données projet'!$B$88,BD87+BC88-BL87)))</f>
        <v>210.99999999999997</v>
      </c>
      <c r="BE88" s="13">
        <f>BD88*VLOOKUP('Données projet'!$B$11,Paramètres!$A$1:$I$89,3,0)*VLOOKUP('Données projet'!$B$11,Paramètres!$A$1:$I$89,5,0)</f>
        <v>184.3296</v>
      </c>
      <c r="BF88" s="13">
        <f t="shared" si="91"/>
        <v>46.284105851003062</v>
      </c>
      <c r="BG88" s="20">
        <f t="shared" si="61"/>
        <v>401.65220435716361</v>
      </c>
      <c r="BH88" s="59">
        <f t="shared" si="62"/>
        <v>694.98553769049693</v>
      </c>
      <c r="BI88" s="59">
        <f ca="1">AVERAGE(OFFSET($BH$3,0,0,'Données projet'!$E$11+1,1))-AVERAGE(OFFSET($H$3,0,0,'Données projet'!$E$11+1,1))</f>
        <v>300.63505444445104</v>
      </c>
      <c r="BJ88" s="59">
        <f t="shared" si="92"/>
        <v>266.32508105927997</v>
      </c>
      <c r="BK88" s="15">
        <f>IF(ISNA(VLOOKUP(A88,'Données projet'!$A$87:$I$107,3,0)),0,VLOOKUP(A88,'Données projet'!$A$87:$I$107,3,0))</f>
        <v>14</v>
      </c>
      <c r="BL88" s="15" t="str">
        <f>IF(ISNA(VLOOKUP(A88,'Données projet'!$A$87:$I$107,4,0)),0,VLOOKUP(A88,'Données projet'!$A$87:$I$107,4,0))</f>
        <v>10</v>
      </c>
      <c r="BM88" s="16">
        <f>IF(ISNA(VLOOKUP(A88,'Données projet'!$A$87:$I$107,5,0)),0%,VLOOKUP(A88,'Données projet'!$A$87:$I$107,5,0)*VLOOKUP('Données projet'!$B$11,Paramètres!$A$1:$I$89,7,0))</f>
        <v>0.215</v>
      </c>
      <c r="BN88" s="16">
        <f>IF(ISNA(VLOOKUP(A88,'Données projet'!$A$87:$I$107,6,0)),0%,VLOOKUP(A88,'Données projet'!$A$87:$I$107,6,0)*VLOOKUP('Données projet'!$B$11,Paramètres!$A$1:$I$89,7,0))</f>
        <v>0.17200000000000001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11.949755391254595</v>
      </c>
      <c r="BQ88" s="21">
        <f>EXP(-LN(2)/25)*BQ87+(1-EXP(-LN(2)/25))/(LN(2)/25)*Calculateur!BL88*Calculateur!BN88*VLOOKUP('Données projet'!$B$11,Paramètres!$A$1:$I$89,3,0)*0.475*44/12</f>
        <v>14.139896657673725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26.089652048928322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5.2606837606837598</v>
      </c>
      <c r="BY88" s="12">
        <f>IF('Données projet'!$A$114&gt;35,BY87+BX88-CG87,IF(A88&lt;'Données projet'!$A$114,$BV$205^A88,IF(A88='Données projet'!$A$114,'Données projet'!$B$114,BY87+BX88-CG87)))</f>
        <v>170.18376068376057</v>
      </c>
      <c r="BZ88" s="13">
        <f>BY88*VLOOKUP('Données projet'!$B$12,Paramètres!$A$1:$I$89,3,0)*VLOOKUP('Données projet'!$B$12,Paramètres!$A$1:$I$89,5,0)</f>
        <v>161.94686666666655</v>
      </c>
      <c r="CA88" s="13">
        <f t="shared" si="93"/>
        <v>41.281327043159628</v>
      </c>
      <c r="CB88" s="20">
        <f t="shared" si="64"/>
        <v>353.95577071128059</v>
      </c>
      <c r="CC88" s="59">
        <f t="shared" si="65"/>
        <v>647.28910404461385</v>
      </c>
      <c r="CD88" s="59">
        <f ca="1">AVERAGE(OFFSET($CC$3,0,0,'Données projet'!$E$12+1,1))-AVERAGE(OFFSET($H$3,0,0,'Données projet'!$E$12+1,1))</f>
        <v>361.26385625423757</v>
      </c>
      <c r="CE88" s="59">
        <f t="shared" si="94"/>
        <v>222.05197404028576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18.921683394703102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18.921683394703102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247.00000000000017</v>
      </c>
      <c r="CU88" s="17">
        <f>CT88*VLOOKUP('Données projet'!$B$13,Paramètres!$A$1:$I$89,3,0)*VLOOKUP('Données projet'!$B$13,Paramètres!$A$1:$I$89,5,0)</f>
        <v>223.48560000000012</v>
      </c>
      <c r="CV88" s="13">
        <f t="shared" si="95"/>
        <v>54.87176918107798</v>
      </c>
      <c r="CW88" s="20">
        <f t="shared" si="67"/>
        <v>484.80575132371092</v>
      </c>
      <c r="CX88" s="59">
        <f t="shared" si="68"/>
        <v>778.13908465704424</v>
      </c>
      <c r="CY88" s="59">
        <f ca="1">AVERAGE(OFFSET($CX$3,0,0,'Données projet'!$E$13+1,1))-AVERAGE(OFFSET($H$3,0,0,'Données projet'!$E$13+1,1))</f>
        <v>302.6937347295995</v>
      </c>
      <c r="CZ88" s="59">
        <f t="shared" si="96"/>
        <v>423.44006663873375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0.20383461402188979</v>
      </c>
      <c r="DG88" s="21">
        <f>EXP(-LN(2)/25)*DG87+(1-EXP(-LN(2)/25))/(LN(2)/25)*Calculateur!DB88*Calculateur!DD88*VLOOKUP('Données projet'!$B$13,Paramètres!$A$1:$I$89,3,0)*0.475*44/12</f>
        <v>0.93349736145490325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1.137331975476793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164.60173333333324</v>
      </c>
      <c r="DQ88" s="13">
        <f t="shared" si="97"/>
        <v>41.878730144777855</v>
      </c>
      <c r="DR88" s="20">
        <f t="shared" si="70"/>
        <v>359.6201405577101</v>
      </c>
      <c r="DS88" s="59">
        <f t="shared" si="71"/>
        <v>652.95347389104336</v>
      </c>
      <c r="DT88" s="59">
        <f ca="1">AVERAGE(OFFSET($DS$3,0,0,'Données projet'!$E$14+1,1))-AVERAGE(OFFSET($H$3,0,0,'Données projet'!$E$14+1,1))</f>
        <v>366.51581861366333</v>
      </c>
      <c r="DU88" s="59">
        <f t="shared" si="98"/>
        <v>225.01415116995503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19.231874925763808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19.231874925763808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328.00000000000017</v>
      </c>
      <c r="EK88" s="17">
        <f>EJ88*VLOOKUP('Données projet'!$B$15,Paramètres!$A$1:$I$89,3,0)*VLOOKUP('Données projet'!$B$15,Paramètres!$A$1:$I$89,5,0)</f>
        <v>255.84000000000015</v>
      </c>
      <c r="EL88" s="13">
        <f t="shared" si="99"/>
        <v>61.834803371075886</v>
      </c>
      <c r="EM88" s="20">
        <f t="shared" si="73"/>
        <v>553.28361587129086</v>
      </c>
      <c r="EN88" s="59">
        <f t="shared" si="74"/>
        <v>846.61694920462423</v>
      </c>
      <c r="EO88" s="59">
        <f ca="1">AVERAGE(OFFSET($EN$3,0,0,'Données projet'!$E$15+1,1))-AVERAGE(OFFSET($H$3,0,0,'Données projet'!$E$15+1,1))</f>
        <v>288.80569134263209</v>
      </c>
      <c r="EP88" s="59">
        <f t="shared" si="100"/>
        <v>283.48738729114024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14.806440749022627</v>
      </c>
      <c r="EW88" s="21">
        <f>EXP(-LN(2)/25)*EW87+(1-EXP(-LN(2)/25))/(LN(2)/25)*Calculateur!ER88*Calculateur!ET88*VLOOKUP('Données projet'!$B$15,Paramètres!$A$1:$I$89,3,0)*0.475*44/12</f>
        <v>12.67731382673621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27.483754575758837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-1.0197709343628959E-13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323.17232038705157</v>
      </c>
      <c r="FK88" s="59">
        <f t="shared" si="102"/>
        <v>402.34685738619197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91.697476299003185</v>
      </c>
      <c r="FR88" s="21">
        <f>EXP(-LN(2)/25)*FR87+(1-EXP(-LN(2)/25))/(LN(2)/25)*Calculateur!FM88*Calculateur!FO88*VLOOKUP('Données projet'!$B$16,Paramètres!$A$1:$I$89,3,0)*0.475*44/12</f>
        <v>19.780312547665638</v>
      </c>
      <c r="FS88" s="21">
        <f>EXP(-LN(2)/2)*FS87+(1-EXP(-LN(2)/2))/(LN(2)/2)*FM88*FP88*VLOOKUP('Données projet'!$B$16,Paramètres!$A$1:$I$89,3,0)*0.475*44/12</f>
        <v>1.7438732236816218E-3</v>
      </c>
      <c r="FT88" s="22">
        <f t="shared" si="78"/>
        <v>111.47953271989252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328.00000000000017</v>
      </c>
      <c r="GA88" s="17">
        <f>FZ88*VLOOKUP('Données projet'!$B$17,Paramètres!$A$1:$I$89,3,0)*VLOOKUP('Données projet'!$B$17,Paramètres!$A$1:$I$89,5,0)</f>
        <v>266.07360000000017</v>
      </c>
      <c r="GB88" s="13">
        <f t="shared" si="103"/>
        <v>64.015279012301136</v>
      </c>
      <c r="GC88" s="20">
        <f t="shared" si="79"/>
        <v>574.90479761309132</v>
      </c>
      <c r="GD88" s="59">
        <f t="shared" si="80"/>
        <v>868.23813094642469</v>
      </c>
      <c r="GE88" s="59">
        <f ca="1">AVERAGE(OFFSET($GD$3,0,0,'Données projet'!$E$17+1,1))-AVERAGE(OFFSET($H$3,0,0,'Données projet'!$E$17+1,1))</f>
        <v>298.96480270023716</v>
      </c>
      <c r="GF88" s="59">
        <f t="shared" si="104"/>
        <v>293.11447542333889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18.979791025258777</v>
      </c>
      <c r="GM88" s="21">
        <f>EXP(-LN(2)/25)*GM87+(1-EXP(-LN(2)/25))/(LN(2)/25)*Calculateur!GH88*Calculateur!GJ88*VLOOKUP('Données projet'!$B$17,Paramètres!$A$1:$I$89,3,0)*0.475*44/12</f>
        <v>16.250547398365114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35.230338423623891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5.9607692307692215</v>
      </c>
      <c r="GU88" s="12">
        <f>IF('Données projet'!$A$270&gt;35,GU87+GT88-HC87,IF(A88&lt;'Données projet'!$A$270,$GR$205^A88,IF(A88='Données projet'!$A$270,'Données projet'!$B$270,GU87+GT88-HC87)))</f>
        <v>399.27153846153828</v>
      </c>
      <c r="GV88" s="17">
        <f>GU88*VLOOKUP('Données projet'!$B$18,Paramètres!$A$1:$I$89,3,0)*VLOOKUP('Données projet'!$B$18,Paramètres!$A$1:$I$89,5,0)</f>
        <v>228.38331999999988</v>
      </c>
      <c r="GW88" s="13">
        <f t="shared" si="105"/>
        <v>55.932974138441338</v>
      </c>
      <c r="GX88" s="20">
        <f t="shared" si="82"/>
        <v>495.18421229111846</v>
      </c>
      <c r="GY88" s="59">
        <f t="shared" si="83"/>
        <v>788.51754562445171</v>
      </c>
      <c r="GZ88" s="59">
        <f ca="1">AVERAGE(OFFSET($GY$3,0,0,'Données projet'!$E$18+1,1))-AVERAGE(OFFSET($H$3,0,0,'Données projet'!$E$18+1,1))</f>
        <v>320.76883487964511</v>
      </c>
      <c r="HA88" s="59">
        <f t="shared" si="106"/>
        <v>290.51177680335746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38.924950691888078</v>
      </c>
      <c r="HH88" s="21">
        <f>EXP(-LN(2)/25)*HH87+(1-EXP(-LN(2)/25))/(LN(2)/25)*Calculateur!HC88*Calculateur!HE88*VLOOKUP('Données projet'!$B$18,Paramètres!$A$1:$I$89,3,0)*0.475*44/12</f>
        <v>10.514140531893089</v>
      </c>
      <c r="HI88" s="21">
        <f>EXP(-LN(2)/2)*HI87+(1-EXP(-LN(2)/2))/(LN(2)/2)*HC88*HF88*VLOOKUP('Données projet'!$B$18,Paramètres!$A$1:$I$89,3,0)*0.475*44/12</f>
        <v>0.33031428160255766</v>
      </c>
      <c r="HJ88" s="22">
        <f t="shared" si="84"/>
        <v>49.769405505383723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277.20116666666695</v>
      </c>
      <c r="AK89" s="13">
        <f t="shared" si="89"/>
        <v>66.37518955966982</v>
      </c>
      <c r="AL89" s="20">
        <f t="shared" si="58"/>
        <v>598.39548709420319</v>
      </c>
      <c r="AM89" s="59">
        <f t="shared" si="59"/>
        <v>891.72882042753645</v>
      </c>
      <c r="AN89" s="59">
        <f ca="1">AVERAGE(OFFSET($AM$3,0,0,'Données projet'!$E$10+1,1))-AVERAGE(OFFSET($H$3,0,0,'Données projet'!$E$10+1,1))</f>
        <v>425.47148407510412</v>
      </c>
      <c r="AO89" s="59">
        <f t="shared" si="90"/>
        <v>308.54448799922471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32.603491612416576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32.603491612416576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203.79999999999998</v>
      </c>
      <c r="BE89" s="13">
        <f>BD89*VLOOKUP('Données projet'!$B$11,Paramètres!$A$1:$I$89,3,0)*VLOOKUP('Données projet'!$B$11,Paramètres!$A$1:$I$89,5,0)</f>
        <v>178.03968</v>
      </c>
      <c r="BF89" s="13">
        <f t="shared" si="91"/>
        <v>44.885773518007284</v>
      </c>
      <c r="BG89" s="20">
        <f t="shared" si="61"/>
        <v>388.26183154386268</v>
      </c>
      <c r="BH89" s="59">
        <f t="shared" si="62"/>
        <v>681.595164877196</v>
      </c>
      <c r="BI89" s="59">
        <f ca="1">AVERAGE(OFFSET($BH$3,0,0,'Données projet'!$E$11+1,1))-AVERAGE(OFFSET($H$3,0,0,'Données projet'!$E$11+1,1))</f>
        <v>300.63505444445104</v>
      </c>
      <c r="BJ89" s="59">
        <f t="shared" si="92"/>
        <v>266.32508105927997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11.715427976663188</v>
      </c>
      <c r="BQ89" s="21">
        <f>EXP(-LN(2)/25)*BQ88+(1-EXP(-LN(2)/25))/(LN(2)/25)*Calculateur!BL89*Calculateur!BN89*VLOOKUP('Données projet'!$B$11,Paramètres!$A$1:$I$89,3,0)*0.475*44/12</f>
        <v>13.75324043998479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25.468668416647979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5.2606837606837598</v>
      </c>
      <c r="BY89" s="12">
        <f>IF('Données projet'!$A$114&gt;35,BY88+BX89-CG88,IF(A89&lt;'Données projet'!$A$114,$BV$205^A89,IF(A89='Données projet'!$A$114,'Données projet'!$B$114,BY88+BX89-CG88)))</f>
        <v>175.44444444444431</v>
      </c>
      <c r="BZ89" s="13">
        <f>BY89*VLOOKUP('Données projet'!$B$12,Paramètres!$A$1:$I$89,3,0)*VLOOKUP('Données projet'!$B$12,Paramètres!$A$1:$I$89,5,0)</f>
        <v>166.95293333333319</v>
      </c>
      <c r="CA89" s="13">
        <f t="shared" si="93"/>
        <v>42.40686531651955</v>
      </c>
      <c r="CB89" s="20">
        <f t="shared" si="64"/>
        <v>364.63498264849346</v>
      </c>
      <c r="CC89" s="59">
        <f t="shared" si="65"/>
        <v>657.96831598182678</v>
      </c>
      <c r="CD89" s="59">
        <f ca="1">AVERAGE(OFFSET($CC$3,0,0,'Données projet'!$E$12+1,1))-AVERAGE(OFFSET($H$3,0,0,'Données projet'!$E$12+1,1))</f>
        <v>361.26385625423757</v>
      </c>
      <c r="CE89" s="59">
        <f t="shared" si="94"/>
        <v>222.05197404028576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18.550640724420258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18.550640724420258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247.00000000000017</v>
      </c>
      <c r="CU89" s="17">
        <f>CT89*VLOOKUP('Données projet'!$B$13,Paramètres!$A$1:$I$89,3,0)*VLOOKUP('Données projet'!$B$13,Paramètres!$A$1:$I$89,5,0)</f>
        <v>223.48560000000012</v>
      </c>
      <c r="CV89" s="13">
        <f t="shared" si="95"/>
        <v>54.87176918107798</v>
      </c>
      <c r="CW89" s="20">
        <f t="shared" si="67"/>
        <v>484.80575132371092</v>
      </c>
      <c r="CX89" s="59">
        <f t="shared" si="68"/>
        <v>778.13908465704424</v>
      </c>
      <c r="CY89" s="59">
        <f ca="1">AVERAGE(OFFSET($CX$3,0,0,'Données projet'!$E$13+1,1))-AVERAGE(OFFSET($H$3,0,0,'Données projet'!$E$13+1,1))</f>
        <v>302.6937347295995</v>
      </c>
      <c r="CZ89" s="59">
        <f t="shared" si="96"/>
        <v>423.44006663873375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0.19983754156775882</v>
      </c>
      <c r="DG89" s="21">
        <f>EXP(-LN(2)/25)*DG88+(1-EXP(-LN(2)/25))/(LN(2)/25)*Calculateur!DB89*Calculateur!DD89*VLOOKUP('Données projet'!$B$13,Paramètres!$A$1:$I$89,3,0)*0.475*44/12</f>
        <v>0.9079708270154262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1.107808368583185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169.68986666666655</v>
      </c>
      <c r="DQ89" s="13">
        <f t="shared" si="97"/>
        <v>43.020556655548141</v>
      </c>
      <c r="DR89" s="20">
        <f t="shared" si="70"/>
        <v>370.47065395285722</v>
      </c>
      <c r="DS89" s="59">
        <f t="shared" si="71"/>
        <v>663.80398728619048</v>
      </c>
      <c r="DT89" s="59">
        <f ca="1">AVERAGE(OFFSET($DS$3,0,0,'Données projet'!$E$14+1,1))-AVERAGE(OFFSET($H$3,0,0,'Données projet'!$E$14+1,1))</f>
        <v>366.51581861366333</v>
      </c>
      <c r="DU89" s="59">
        <f t="shared" si="98"/>
        <v>225.01415116995503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18.854749588755016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18.854749588755016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328.00000000000017</v>
      </c>
      <c r="EK89" s="17">
        <f>EJ89*VLOOKUP('Données projet'!$B$15,Paramètres!$A$1:$I$89,3,0)*VLOOKUP('Données projet'!$B$15,Paramètres!$A$1:$I$89,5,0)</f>
        <v>255.84000000000015</v>
      </c>
      <c r="EL89" s="13">
        <f t="shared" si="99"/>
        <v>61.834803371075886</v>
      </c>
      <c r="EM89" s="20">
        <f t="shared" si="73"/>
        <v>553.28361587129086</v>
      </c>
      <c r="EN89" s="59">
        <f t="shared" si="74"/>
        <v>846.61694920462423</v>
      </c>
      <c r="EO89" s="59">
        <f ca="1">AVERAGE(OFFSET($EN$3,0,0,'Données projet'!$E$15+1,1))-AVERAGE(OFFSET($H$3,0,0,'Données projet'!$E$15+1,1))</f>
        <v>288.80569134263209</v>
      </c>
      <c r="EP89" s="59">
        <f t="shared" si="100"/>
        <v>283.48738729114024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14.51609547697141</v>
      </c>
      <c r="EW89" s="21">
        <f>EXP(-LN(2)/25)*EW88+(1-EXP(-LN(2)/25))/(LN(2)/25)*Calculateur!ER89*Calculateur!ET89*VLOOKUP('Données projet'!$B$15,Paramètres!$A$1:$I$89,3,0)*0.475*44/12</f>
        <v>12.330652013473149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26.846747490444557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-1.0197709343628959E-13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323.17232038705157</v>
      </c>
      <c r="FK89" s="59">
        <f t="shared" si="102"/>
        <v>402.34685738619197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89.899344718717657</v>
      </c>
      <c r="FR89" s="21">
        <f>EXP(-LN(2)/25)*FR88+(1-EXP(-LN(2)/25))/(LN(2)/25)*Calculateur!FM89*Calculateur!FO89*VLOOKUP('Données projet'!$B$16,Paramètres!$A$1:$I$89,3,0)*0.475*44/12</f>
        <v>19.239418860848293</v>
      </c>
      <c r="FS89" s="21">
        <f>EXP(-LN(2)/2)*FS88+(1-EXP(-LN(2)/2))/(LN(2)/2)*FM89*FP89*VLOOKUP('Données projet'!$B$16,Paramètres!$A$1:$I$89,3,0)*0.475*44/12</f>
        <v>1.2331045819949198E-3</v>
      </c>
      <c r="FT89" s="22">
        <f t="shared" si="78"/>
        <v>109.13999668414795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328.00000000000017</v>
      </c>
      <c r="GA89" s="17">
        <f>FZ89*VLOOKUP('Données projet'!$B$17,Paramètres!$A$1:$I$89,3,0)*VLOOKUP('Données projet'!$B$17,Paramètres!$A$1:$I$89,5,0)</f>
        <v>266.07360000000017</v>
      </c>
      <c r="GB89" s="13">
        <f t="shared" si="103"/>
        <v>64.015279012301136</v>
      </c>
      <c r="GC89" s="20">
        <f t="shared" si="79"/>
        <v>574.90479761309132</v>
      </c>
      <c r="GD89" s="59">
        <f t="shared" si="80"/>
        <v>868.23813094642469</v>
      </c>
      <c r="GE89" s="59">
        <f ca="1">AVERAGE(OFFSET($GD$3,0,0,'Données projet'!$E$17+1,1))-AVERAGE(OFFSET($H$3,0,0,'Données projet'!$E$17+1,1))</f>
        <v>298.96480270023716</v>
      </c>
      <c r="GF89" s="59">
        <f t="shared" si="104"/>
        <v>293.11447542333889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18.607608899782889</v>
      </c>
      <c r="GM89" s="21">
        <f>EXP(-LN(2)/25)*GM88+(1-EXP(-LN(2)/25))/(LN(2)/25)*Calculateur!GH89*Calculateur!GJ89*VLOOKUP('Données projet'!$B$17,Paramètres!$A$1:$I$89,3,0)*0.475*44/12</f>
        <v>15.806175325177673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34.413784224960565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5.9607692307692215</v>
      </c>
      <c r="GU89" s="12">
        <f>IF('Données projet'!$A$270&gt;35,GU88+GT89-HC88,IF(A89&lt;'Données projet'!$A$270,$GR$205^A89,IF(A89='Données projet'!$A$270,'Données projet'!$B$270,GU88+GT89-HC88)))</f>
        <v>405.23230769230753</v>
      </c>
      <c r="GV89" s="17">
        <f>GU89*VLOOKUP('Données projet'!$B$18,Paramètres!$A$1:$I$89,3,0)*VLOOKUP('Données projet'!$B$18,Paramètres!$A$1:$I$89,5,0)</f>
        <v>231.79287999999994</v>
      </c>
      <c r="GW89" s="13">
        <f t="shared" si="105"/>
        <v>56.670168739332162</v>
      </c>
      <c r="GX89" s="20">
        <f t="shared" si="82"/>
        <v>502.40647655433673</v>
      </c>
      <c r="GY89" s="59">
        <f t="shared" si="83"/>
        <v>795.73980988767005</v>
      </c>
      <c r="GZ89" s="59">
        <f ca="1">AVERAGE(OFFSET($GY$3,0,0,'Données projet'!$E$18+1,1))-AVERAGE(OFFSET($H$3,0,0,'Données projet'!$E$18+1,1))</f>
        <v>320.76883487964511</v>
      </c>
      <c r="HA89" s="59">
        <f t="shared" si="106"/>
        <v>290.51177680335746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38.161656150695762</v>
      </c>
      <c r="HH89" s="21">
        <f>EXP(-LN(2)/25)*HH88+(1-EXP(-LN(2)/25))/(LN(2)/25)*Calculateur!HC89*Calculateur!HE89*VLOOKUP('Données projet'!$B$18,Paramètres!$A$1:$I$89,3,0)*0.475*44/12</f>
        <v>10.226630806133853</v>
      </c>
      <c r="HI89" s="21">
        <f>EXP(-LN(2)/2)*HI88+(1-EXP(-LN(2)/2))/(LN(2)/2)*HC89*HF89*VLOOKUP('Données projet'!$B$18,Paramètres!$A$1:$I$89,3,0)*0.475*44/12</f>
        <v>0.23356746844393139</v>
      </c>
      <c r="HJ89" s="22">
        <f t="shared" si="84"/>
        <v>48.621854425273547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284.80111111111137</v>
      </c>
      <c r="AK90" s="13">
        <f t="shared" si="89"/>
        <v>67.98061554933885</v>
      </c>
      <c r="AL90" s="20">
        <f t="shared" si="58"/>
        <v>614.42817393361736</v>
      </c>
      <c r="AM90" s="59">
        <f t="shared" si="59"/>
        <v>907.76150726695073</v>
      </c>
      <c r="AN90" s="59">
        <f ca="1">AVERAGE(OFFSET($AM$3,0,0,'Données projet'!$E$10+1,1))-AVERAGE(OFFSET($H$3,0,0,'Données projet'!$E$10+1,1))</f>
        <v>425.47148407510412</v>
      </c>
      <c r="AO90" s="59">
        <f t="shared" si="90"/>
        <v>308.54448799922471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31.964157028063376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31.964157028063376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206.6</v>
      </c>
      <c r="BE90" s="13">
        <f>BD90*VLOOKUP('Données projet'!$B$11,Paramètres!$A$1:$I$89,3,0)*VLOOKUP('Données projet'!$B$11,Paramètres!$A$1:$I$89,5,0)</f>
        <v>180.48576000000003</v>
      </c>
      <c r="BF90" s="13">
        <f t="shared" si="91"/>
        <v>45.430241859839441</v>
      </c>
      <c r="BG90" s="20">
        <f t="shared" si="61"/>
        <v>393.47036990588708</v>
      </c>
      <c r="BH90" s="59">
        <f t="shared" si="62"/>
        <v>686.80370323922034</v>
      </c>
      <c r="BI90" s="59">
        <f ca="1">AVERAGE(OFFSET($BH$3,0,0,'Données projet'!$E$11+1,1))-AVERAGE(OFFSET($H$3,0,0,'Données projet'!$E$11+1,1))</f>
        <v>300.63505444445104</v>
      </c>
      <c r="BJ90" s="59">
        <f t="shared" si="92"/>
        <v>266.32508105927997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11.485695579746309</v>
      </c>
      <c r="BQ90" s="21">
        <f>EXP(-LN(2)/25)*BQ89+(1-EXP(-LN(2)/25))/(LN(2)/25)*Calculateur!BL90*Calculateur!BN90*VLOOKUP('Données projet'!$B$11,Paramètres!$A$1:$I$89,3,0)*0.475*44/12</f>
        <v>13.377157356901925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24.862852936648235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5.2606837606837598</v>
      </c>
      <c r="BY90" s="12">
        <f>IF('Données projet'!$A$114&gt;35,BY89+BX90-CG89,IF(A90&lt;'Données projet'!$A$114,$BV$205^A90,IF(A90='Données projet'!$A$114,'Données projet'!$B$114,BY89+BX90-CG89)))</f>
        <v>180.70512820512806</v>
      </c>
      <c r="BZ90" s="13">
        <f>BY90*VLOOKUP('Données projet'!$B$12,Paramètres!$A$1:$I$89,3,0)*VLOOKUP('Données projet'!$B$12,Paramètres!$A$1:$I$89,5,0)</f>
        <v>171.95899999999986</v>
      </c>
      <c r="CA90" s="13">
        <f t="shared" si="93"/>
        <v>43.528481415365803</v>
      </c>
      <c r="CB90" s="20">
        <f t="shared" si="64"/>
        <v>375.30736346509519</v>
      </c>
      <c r="CC90" s="59">
        <f t="shared" si="65"/>
        <v>668.64069679842851</v>
      </c>
      <c r="CD90" s="59">
        <f ca="1">AVERAGE(OFFSET($CC$3,0,0,'Données projet'!$E$12+1,1))-AVERAGE(OFFSET($H$3,0,0,'Données projet'!$E$12+1,1))</f>
        <v>361.26385625423757</v>
      </c>
      <c r="CE90" s="59">
        <f t="shared" si="94"/>
        <v>222.05197404028576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18.186873974587979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18.186873974587979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247.00000000000017</v>
      </c>
      <c r="CU90" s="17">
        <f>CT90*VLOOKUP('Données projet'!$B$13,Paramètres!$A$1:$I$89,3,0)*VLOOKUP('Données projet'!$B$13,Paramètres!$A$1:$I$89,5,0)</f>
        <v>223.48560000000012</v>
      </c>
      <c r="CV90" s="13">
        <f t="shared" si="95"/>
        <v>54.87176918107798</v>
      </c>
      <c r="CW90" s="20">
        <f t="shared" si="67"/>
        <v>484.80575132371092</v>
      </c>
      <c r="CX90" s="59">
        <f t="shared" si="68"/>
        <v>778.13908465704424</v>
      </c>
      <c r="CY90" s="59">
        <f ca="1">AVERAGE(OFFSET($CX$3,0,0,'Données projet'!$E$13+1,1))-AVERAGE(OFFSET($H$3,0,0,'Données projet'!$E$13+1,1))</f>
        <v>302.6937347295995</v>
      </c>
      <c r="CZ90" s="59">
        <f t="shared" si="96"/>
        <v>423.44006663873375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0.1959188492664799</v>
      </c>
      <c r="DG90" s="21">
        <f>EXP(-LN(2)/25)*DG89+(1-EXP(-LN(2)/25))/(LN(2)/25)*Calculateur!DB90*Calculateur!DD90*VLOOKUP('Données projet'!$B$13,Paramètres!$A$1:$I$89,3,0)*0.475*44/12</f>
        <v>0.88314231700257873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1.0790611662690586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174.77799999999988</v>
      </c>
      <c r="DQ90" s="13">
        <f t="shared" si="97"/>
        <v>44.158404232020459</v>
      </c>
      <c r="DR90" s="20">
        <f t="shared" si="70"/>
        <v>381.31423737076875</v>
      </c>
      <c r="DS90" s="59">
        <f t="shared" si="71"/>
        <v>674.64757070410201</v>
      </c>
      <c r="DT90" s="59">
        <f ca="1">AVERAGE(OFFSET($DS$3,0,0,'Données projet'!$E$14+1,1))-AVERAGE(OFFSET($H$3,0,0,'Données projet'!$E$14+1,1))</f>
        <v>366.51581861366333</v>
      </c>
      <c r="DU90" s="59">
        <f t="shared" si="98"/>
        <v>225.01415116995503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18.485019449581223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18.485019449581223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328.00000000000017</v>
      </c>
      <c r="EK90" s="17">
        <f>EJ90*VLOOKUP('Données projet'!$B$15,Paramètres!$A$1:$I$89,3,0)*VLOOKUP('Données projet'!$B$15,Paramètres!$A$1:$I$89,5,0)</f>
        <v>255.84000000000015</v>
      </c>
      <c r="EL90" s="13">
        <f t="shared" si="99"/>
        <v>61.834803371075886</v>
      </c>
      <c r="EM90" s="20">
        <f t="shared" si="73"/>
        <v>553.28361587129086</v>
      </c>
      <c r="EN90" s="59">
        <f t="shared" si="74"/>
        <v>846.61694920462423</v>
      </c>
      <c r="EO90" s="59">
        <f ca="1">AVERAGE(OFFSET($EN$3,0,0,'Données projet'!$E$15+1,1))-AVERAGE(OFFSET($H$3,0,0,'Données projet'!$E$15+1,1))</f>
        <v>288.80569134263209</v>
      </c>
      <c r="EP90" s="59">
        <f t="shared" si="100"/>
        <v>283.48738729114024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14.231443698611987</v>
      </c>
      <c r="EW90" s="21">
        <f>EXP(-LN(2)/25)*EW89+(1-EXP(-LN(2)/25))/(LN(2)/25)*Calculateur!ER90*Calculateur!ET90*VLOOKUP('Données projet'!$B$15,Paramètres!$A$1:$I$89,3,0)*0.475*44/12</f>
        <v>11.993469685723918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26.224913384335906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-1.0197709343628959E-13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323.17232038705157</v>
      </c>
      <c r="FK90" s="59">
        <f t="shared" si="102"/>
        <v>402.34685738619197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88.136473401969553</v>
      </c>
      <c r="FR90" s="21">
        <f>EXP(-LN(2)/25)*FR89+(1-EXP(-LN(2)/25))/(LN(2)/25)*Calculateur!FM90*Calculateur!FO90*VLOOKUP('Données projet'!$B$16,Paramètres!$A$1:$I$89,3,0)*0.475*44/12</f>
        <v>18.713315940341332</v>
      </c>
      <c r="FS90" s="21">
        <f>EXP(-LN(2)/2)*FS89+(1-EXP(-LN(2)/2))/(LN(2)/2)*FM90*FP90*VLOOKUP('Données projet'!$B$16,Paramètres!$A$1:$I$89,3,0)*0.475*44/12</f>
        <v>8.7193661184081089E-4</v>
      </c>
      <c r="FT90" s="22">
        <f t="shared" si="78"/>
        <v>106.85066127892273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328.00000000000017</v>
      </c>
      <c r="GA90" s="17">
        <f>FZ90*VLOOKUP('Données projet'!$B$17,Paramètres!$A$1:$I$89,3,0)*VLOOKUP('Données projet'!$B$17,Paramètres!$A$1:$I$89,5,0)</f>
        <v>266.07360000000017</v>
      </c>
      <c r="GB90" s="13">
        <f t="shared" si="103"/>
        <v>64.015279012301136</v>
      </c>
      <c r="GC90" s="20">
        <f t="shared" si="79"/>
        <v>574.90479761309132</v>
      </c>
      <c r="GD90" s="59">
        <f t="shared" si="80"/>
        <v>868.23813094642469</v>
      </c>
      <c r="GE90" s="59">
        <f ca="1">AVERAGE(OFFSET($GD$3,0,0,'Données projet'!$E$17+1,1))-AVERAGE(OFFSET($H$3,0,0,'Données projet'!$E$17+1,1))</f>
        <v>298.96480270023716</v>
      </c>
      <c r="GF90" s="59">
        <f t="shared" si="104"/>
        <v>293.11447542333889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18.242725038778904</v>
      </c>
      <c r="GM90" s="21">
        <f>EXP(-LN(2)/25)*GM89+(1-EXP(-LN(2)/25))/(LN(2)/25)*Calculateur!GH90*Calculateur!GJ90*VLOOKUP('Données projet'!$B$17,Paramètres!$A$1:$I$89,3,0)*0.475*44/12</f>
        <v>15.373954629700055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33.616679668478959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5.9607692307692215</v>
      </c>
      <c r="GU90" s="12">
        <f>IF('Données projet'!$A$270&gt;35,GU89+GT90-HC89,IF(A90&lt;'Données projet'!$A$270,$GR$205^A90,IF(A90='Données projet'!$A$270,'Données projet'!$B$270,GU89+GT90-HC89)))</f>
        <v>411.19307692307677</v>
      </c>
      <c r="GV90" s="17">
        <f>GU90*VLOOKUP('Données projet'!$B$18,Paramètres!$A$1:$I$89,3,0)*VLOOKUP('Données projet'!$B$18,Paramètres!$A$1:$I$89,5,0)</f>
        <v>235.20243999999994</v>
      </c>
      <c r="GW90" s="13">
        <f t="shared" si="105"/>
        <v>57.406102156990407</v>
      </c>
      <c r="GX90" s="20">
        <f t="shared" si="82"/>
        <v>509.62654425675811</v>
      </c>
      <c r="GY90" s="59">
        <f t="shared" si="83"/>
        <v>802.95987759009142</v>
      </c>
      <c r="GZ90" s="59">
        <f ca="1">AVERAGE(OFFSET($GY$3,0,0,'Données projet'!$E$18+1,1))-AVERAGE(OFFSET($H$3,0,0,'Données projet'!$E$18+1,1))</f>
        <v>320.76883487964511</v>
      </c>
      <c r="HA90" s="59">
        <f t="shared" si="106"/>
        <v>290.51177680335746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37.413329349892528</v>
      </c>
      <c r="HH90" s="21">
        <f>EXP(-LN(2)/25)*HH89+(1-EXP(-LN(2)/25))/(LN(2)/25)*Calculateur!HC90*Calculateur!HE90*VLOOKUP('Données projet'!$B$18,Paramètres!$A$1:$I$89,3,0)*0.475*44/12</f>
        <v>9.9469830489449826</v>
      </c>
      <c r="HI90" s="21">
        <f>EXP(-LN(2)/2)*HI89+(1-EXP(-LN(2)/2))/(LN(2)/2)*HC90*HF90*VLOOKUP('Données projet'!$B$18,Paramètres!$A$1:$I$89,3,0)*0.475*44/12</f>
        <v>0.16515714080127886</v>
      </c>
      <c r="HJ90" s="22">
        <f t="shared" si="84"/>
        <v>47.525469539638785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292.40105555555584</v>
      </c>
      <c r="AK91" s="13">
        <f t="shared" si="89"/>
        <v>69.581061965327606</v>
      </c>
      <c r="AL91" s="20">
        <f t="shared" si="58"/>
        <v>630.45218801553858</v>
      </c>
      <c r="AM91" s="59">
        <f t="shared" si="59"/>
        <v>923.78552134887195</v>
      </c>
      <c r="AN91" s="59">
        <f ca="1">AVERAGE(OFFSET($AM$3,0,0,'Données projet'!$E$10+1,1))-AVERAGE(OFFSET($H$3,0,0,'Données projet'!$E$10+1,1))</f>
        <v>425.47148407510412</v>
      </c>
      <c r="AO91" s="59">
        <f t="shared" si="90"/>
        <v>308.54448799922471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31.337359404953748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31.337359404953748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209.4</v>
      </c>
      <c r="BE91" s="13">
        <f>BD91*VLOOKUP('Données projet'!$B$11,Paramètres!$A$1:$I$89,3,0)*VLOOKUP('Données projet'!$B$11,Paramètres!$A$1:$I$89,5,0)</f>
        <v>182.93184000000002</v>
      </c>
      <c r="BF91" s="13">
        <f t="shared" si="91"/>
        <v>45.973851929814685</v>
      </c>
      <c r="BG91" s="20">
        <f t="shared" si="61"/>
        <v>398.67741344442726</v>
      </c>
      <c r="BH91" s="59">
        <f t="shared" si="62"/>
        <v>692.01074677776057</v>
      </c>
      <c r="BI91" s="59">
        <f ca="1">AVERAGE(OFFSET($BH$3,0,0,'Données projet'!$E$11+1,1))-AVERAGE(OFFSET($H$3,0,0,'Données projet'!$E$11+1,1))</f>
        <v>300.63505444445104</v>
      </c>
      <c r="BJ91" s="59">
        <f t="shared" si="92"/>
        <v>266.32508105927997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11.260468095010044</v>
      </c>
      <c r="BQ91" s="21">
        <f>EXP(-LN(2)/25)*BQ90+(1-EXP(-LN(2)/25))/(LN(2)/25)*Calculateur!BL91*Calculateur!BN91*VLOOKUP('Données projet'!$B$11,Paramètres!$A$1:$I$89,3,0)*0.475*44/12</f>
        <v>13.011358285503311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24.271826380513353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5.2606837606837598</v>
      </c>
      <c r="BY91" s="12">
        <f>IF('Données projet'!$A$114&gt;35,BY90+BX91-CG90,IF(A91&lt;'Données projet'!$A$114,$BV$205^A91,IF(A91='Données projet'!$A$114,'Données projet'!$B$114,BY90+BX91-CG90)))</f>
        <v>185.96581196581181</v>
      </c>
      <c r="BZ91" s="13">
        <f>BY91*VLOOKUP('Données projet'!$B$12,Paramètres!$A$1:$I$89,3,0)*VLOOKUP('Données projet'!$B$12,Paramètres!$A$1:$I$89,5,0)</f>
        <v>176.9650666666665</v>
      </c>
      <c r="CA91" s="13">
        <f t="shared" si="93"/>
        <v>44.646302633482748</v>
      </c>
      <c r="CB91" s="20">
        <f t="shared" si="64"/>
        <v>385.97313486442658</v>
      </c>
      <c r="CC91" s="59">
        <f t="shared" si="65"/>
        <v>679.30646819775984</v>
      </c>
      <c r="CD91" s="59">
        <f ca="1">AVERAGE(OFFSET($CC$3,0,0,'Données projet'!$E$12+1,1))-AVERAGE(OFFSET($H$3,0,0,'Données projet'!$E$12+1,1))</f>
        <v>361.26385625423757</v>
      </c>
      <c r="CE91" s="59">
        <f t="shared" si="94"/>
        <v>222.05197404028576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17.830240468844099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17.830240468844099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247.00000000000017</v>
      </c>
      <c r="CU91" s="17">
        <f>CT91*VLOOKUP('Données projet'!$B$13,Paramètres!$A$1:$I$89,3,0)*VLOOKUP('Données projet'!$B$13,Paramètres!$A$1:$I$89,5,0)</f>
        <v>223.48560000000012</v>
      </c>
      <c r="CV91" s="13">
        <f t="shared" si="95"/>
        <v>54.87176918107798</v>
      </c>
      <c r="CW91" s="20">
        <f t="shared" si="67"/>
        <v>484.80575132371092</v>
      </c>
      <c r="CX91" s="59">
        <f t="shared" si="68"/>
        <v>778.13908465704424</v>
      </c>
      <c r="CY91" s="59">
        <f ca="1">AVERAGE(OFFSET($CX$3,0,0,'Données projet'!$E$13+1,1))-AVERAGE(OFFSET($H$3,0,0,'Données projet'!$E$13+1,1))</f>
        <v>302.6937347295995</v>
      </c>
      <c r="CZ91" s="59">
        <f t="shared" si="96"/>
        <v>423.44006663873375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0.19207700013106277</v>
      </c>
      <c r="DG91" s="21">
        <f>EXP(-LN(2)/25)*DG90+(1-EXP(-LN(2)/25))/(LN(2)/25)*Calculateur!DB91*Calculateur!DD91*VLOOKUP('Données projet'!$B$13,Paramètres!$A$1:$I$89,3,0)*0.475*44/12</f>
        <v>0.85899274390170721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1.0510697440327701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179.86613333333318</v>
      </c>
      <c r="DQ91" s="13">
        <f t="shared" si="97"/>
        <v>45.292402010112326</v>
      </c>
      <c r="DR91" s="20">
        <f t="shared" si="70"/>
        <v>392.15111572316761</v>
      </c>
      <c r="DS91" s="59">
        <f t="shared" si="71"/>
        <v>685.48444905650092</v>
      </c>
      <c r="DT91" s="59">
        <f ca="1">AVERAGE(OFFSET($DS$3,0,0,'Données projet'!$E$14+1,1))-AVERAGE(OFFSET($H$3,0,0,'Données projet'!$E$14+1,1))</f>
        <v>366.51581861366333</v>
      </c>
      <c r="DU91" s="59">
        <f t="shared" si="98"/>
        <v>225.01415116995503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18.122539492923512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18.122539492923512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328.00000000000017</v>
      </c>
      <c r="EK91" s="17">
        <f>EJ91*VLOOKUP('Données projet'!$B$15,Paramètres!$A$1:$I$89,3,0)*VLOOKUP('Données projet'!$B$15,Paramètres!$A$1:$I$89,5,0)</f>
        <v>255.84000000000015</v>
      </c>
      <c r="EL91" s="13">
        <f t="shared" si="99"/>
        <v>61.834803371075886</v>
      </c>
      <c r="EM91" s="20">
        <f t="shared" si="73"/>
        <v>553.28361587129086</v>
      </c>
      <c r="EN91" s="59">
        <f t="shared" si="74"/>
        <v>846.61694920462423</v>
      </c>
      <c r="EO91" s="59">
        <f ca="1">AVERAGE(OFFSET($EN$3,0,0,'Données projet'!$E$15+1,1))-AVERAGE(OFFSET($H$3,0,0,'Données projet'!$E$15+1,1))</f>
        <v>288.80569134263209</v>
      </c>
      <c r="EP91" s="59">
        <f t="shared" si="100"/>
        <v>283.48738729114024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13.952373768005751</v>
      </c>
      <c r="EW91" s="21">
        <f>EXP(-LN(2)/25)*EW90+(1-EXP(-LN(2)/25))/(LN(2)/25)*Calculateur!ER91*Calculateur!ET91*VLOOKUP('Données projet'!$B$15,Paramètres!$A$1:$I$89,3,0)*0.475*44/12</f>
        <v>11.665507626458638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25.617881394464391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-1.0197709343628959E-13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323.17232038705157</v>
      </c>
      <c r="FK91" s="59">
        <f t="shared" si="102"/>
        <v>402.34685738619197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86.408170916497554</v>
      </c>
      <c r="FR91" s="21">
        <f>EXP(-LN(2)/25)*FR90+(1-EXP(-LN(2)/25))/(LN(2)/25)*Calculateur!FM91*Calculateur!FO91*VLOOKUP('Données projet'!$B$16,Paramètres!$A$1:$I$89,3,0)*0.475*44/12</f>
        <v>18.201599331862184</v>
      </c>
      <c r="FS91" s="21">
        <f>EXP(-LN(2)/2)*FS90+(1-EXP(-LN(2)/2))/(LN(2)/2)*FM91*FP91*VLOOKUP('Données projet'!$B$16,Paramètres!$A$1:$I$89,3,0)*0.475*44/12</f>
        <v>6.1655229099745988E-4</v>
      </c>
      <c r="FT91" s="22">
        <f t="shared" si="78"/>
        <v>104.61038680065073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328.00000000000017</v>
      </c>
      <c r="GA91" s="17">
        <f>FZ91*VLOOKUP('Données projet'!$B$17,Paramètres!$A$1:$I$89,3,0)*VLOOKUP('Données projet'!$B$17,Paramètres!$A$1:$I$89,5,0)</f>
        <v>266.07360000000017</v>
      </c>
      <c r="GB91" s="13">
        <f t="shared" si="103"/>
        <v>64.015279012301136</v>
      </c>
      <c r="GC91" s="20">
        <f t="shared" si="79"/>
        <v>574.90479761309132</v>
      </c>
      <c r="GD91" s="59">
        <f t="shared" si="80"/>
        <v>868.23813094642469</v>
      </c>
      <c r="GE91" s="59">
        <f ca="1">AVERAGE(OFFSET($GD$3,0,0,'Données projet'!$E$17+1,1))-AVERAGE(OFFSET($H$3,0,0,'Données projet'!$E$17+1,1))</f>
        <v>298.96480270023716</v>
      </c>
      <c r="GF91" s="59">
        <f t="shared" si="104"/>
        <v>293.11447542333889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17.884996327732026</v>
      </c>
      <c r="GM91" s="21">
        <f>EXP(-LN(2)/25)*GM90+(1-EXP(-LN(2)/25))/(LN(2)/25)*Calculateur!GH91*Calculateur!GJ91*VLOOKUP('Données projet'!$B$17,Paramètres!$A$1:$I$89,3,0)*0.475*44/12</f>
        <v>14.95355303186977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32.838549359601799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>
        <f>VLOOKUP(A91,'Données projet'!$A$269:$I$289,2,0)</f>
        <v>417.15384615384613</v>
      </c>
      <c r="GS91" s="12">
        <f>VLOOKUP(A91,'Données projet'!$A$269:$I$289,9,0)</f>
        <v>5.9607692307692215</v>
      </c>
      <c r="GT91" s="12">
        <f t="array" ref="GT91">INDEX(GS:GS,MIN(IF(ISNUMBER(GS91:GS287),ROW(GS91:GS287),"")))</f>
        <v>5.9607692307692215</v>
      </c>
      <c r="GU91" s="12">
        <f>IF('Données projet'!$A$270&gt;35,GU90+GT91-HC90,IF(A91&lt;'Données projet'!$A$270,$GR$205^A91,IF(A91='Données projet'!$A$270,'Données projet'!$B$270,GU90+GT91-HC90)))</f>
        <v>417.15384615384602</v>
      </c>
      <c r="GV91" s="17">
        <f>GU91*VLOOKUP('Données projet'!$B$18,Paramètres!$A$1:$I$89,3,0)*VLOOKUP('Données projet'!$B$18,Paramètres!$A$1:$I$89,5,0)</f>
        <v>238.61199999999994</v>
      </c>
      <c r="GW91" s="13">
        <f t="shared" si="105"/>
        <v>58.140794786185374</v>
      </c>
      <c r="GX91" s="20">
        <f t="shared" si="82"/>
        <v>516.84445091927262</v>
      </c>
      <c r="GY91" s="59">
        <f t="shared" si="83"/>
        <v>810.17778425260599</v>
      </c>
      <c r="GZ91" s="59">
        <f ca="1">AVERAGE(OFFSET($GY$3,0,0,'Données projet'!$E$18+1,1))-AVERAGE(OFFSET($H$3,0,0,'Données projet'!$E$18+1,1))</f>
        <v>320.76883487964511</v>
      </c>
      <c r="HA91" s="59">
        <f t="shared" si="106"/>
        <v>290.51177680335746</v>
      </c>
      <c r="HB91" s="15">
        <f>IF(ISNA(VLOOKUP(A91,'Données projet'!$A$269:$I$289,3,0)),0,VLOOKUP(A91,'Données projet'!$A$269:$I$289,3,0))</f>
        <v>10</v>
      </c>
      <c r="HC91" s="15">
        <f>IF(ISNA(VLOOKUP(A91,'Données projet'!$A$269:$I$289,4,0)),0,VLOOKUP(A91,'Données projet'!$A$269:$I$289,4,0))</f>
        <v>247.54615384615383</v>
      </c>
      <c r="HD91" s="16">
        <f>IF(ISNA(VLOOKUP(A91,'Données projet'!$A$269:$I$289,5,0)),0%,VLOOKUP(A91,'Données projet'!$A$269:$I$289,5,0)*VLOOKUP('Données projet'!$B$18,Paramètres!$A$1:$I$89,7,0))</f>
        <v>0.315</v>
      </c>
      <c r="HE91" s="16">
        <f>IF(ISNA(VLOOKUP(A91,'Données projet'!$A$269:$I$289,6,0)),0%,VLOOKUP(A91,'Données projet'!$A$269:$I$289,6,0)*VLOOKUP('Données projet'!$B$18,Paramètres!$A$1:$I$89,7,0))</f>
        <v>7.6500000000000012E-2</v>
      </c>
      <c r="HF91" s="16">
        <f>IF(ISNA(VLOOKUP(A91,'Données projet'!$A$269:$I$289,7,0)),0%,VLOOKUP(A91,'Données projet'!$A$269:$I$289,7,0))</f>
        <v>0.13</v>
      </c>
      <c r="HG91" s="21">
        <f>EXP(-LN(2)/35)*HG90+(1-EXP(-LN(2)/35))/(LN(2)/35)*HC91*HD91*VLOOKUP('Données projet'!$B$18,Paramètres!$A$1:$I$89,3,0)*0.475*44/12</f>
        <v>95.848253427551541</v>
      </c>
      <c r="HH91" s="21">
        <f>EXP(-LN(2)/25)*HH90+(1-EXP(-LN(2)/25))/(LN(2)/25)*Calculateur!HC91*Calculateur!HE91*VLOOKUP('Données projet'!$B$18,Paramètres!$A$1:$I$89,3,0)*0.475*44/12</f>
        <v>23.987915503759289</v>
      </c>
      <c r="HI91" s="21">
        <f>EXP(-LN(2)/2)*HI90+(1-EXP(-LN(2)/2))/(LN(2)/2)*HC91*HF91*VLOOKUP('Données projet'!$B$18,Paramètres!$A$1:$I$89,3,0)*0.475*44/12</f>
        <v>20.958385982373901</v>
      </c>
      <c r="HJ91" s="22">
        <f t="shared" si="84"/>
        <v>140.79455491368472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300.00100000000032</v>
      </c>
      <c r="AK92" s="13">
        <f t="shared" si="89"/>
        <v>71.176673114058119</v>
      </c>
      <c r="AL92" s="20">
        <f t="shared" si="58"/>
        <v>646.46778067365187</v>
      </c>
      <c r="AM92" s="59">
        <f t="shared" si="59"/>
        <v>939.80111400698524</v>
      </c>
      <c r="AN92" s="59">
        <f ca="1">AVERAGE(OFFSET($AM$3,0,0,'Données projet'!$E$10+1,1))-AVERAGE(OFFSET($H$3,0,0,'Données projet'!$E$10+1,1))</f>
        <v>425.47148407510412</v>
      </c>
      <c r="AO92" s="59">
        <f t="shared" si="90"/>
        <v>308.54448799922471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47.387633706095151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47.387633706095151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212.20000000000002</v>
      </c>
      <c r="BE92" s="13">
        <f>BD92*VLOOKUP('Données projet'!$B$11,Paramètres!$A$1:$I$89,3,0)*VLOOKUP('Données projet'!$B$11,Paramètres!$A$1:$I$89,5,0)</f>
        <v>185.37792000000005</v>
      </c>
      <c r="BF92" s="13">
        <f t="shared" si="91"/>
        <v>46.516616531004161</v>
      </c>
      <c r="BG92" s="20">
        <f t="shared" si="61"/>
        <v>403.88298445816571</v>
      </c>
      <c r="BH92" s="59">
        <f t="shared" si="62"/>
        <v>697.21631779149902</v>
      </c>
      <c r="BI92" s="59">
        <f ca="1">AVERAGE(OFFSET($BH$3,0,0,'Données projet'!$E$11+1,1))-AVERAGE(OFFSET($H$3,0,0,'Données projet'!$E$11+1,1))</f>
        <v>300.63505444445104</v>
      </c>
      <c r="BJ92" s="59">
        <f t="shared" si="92"/>
        <v>266.32508105927997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11.039657183874256</v>
      </c>
      <c r="BQ92" s="21">
        <f>EXP(-LN(2)/25)*BQ91+(1-EXP(-LN(2)/25))/(LN(2)/25)*Calculateur!BL92*Calculateur!BN92*VLOOKUP('Données projet'!$B$11,Paramètres!$A$1:$I$89,3,0)*0.475*44/12</f>
        <v>12.655562008948628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23.695219192822883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5.2606837606837598</v>
      </c>
      <c r="BY92" s="12">
        <f>IF('Données projet'!$A$114&gt;35,BY91+BX92-CG91,IF(A92&lt;'Données projet'!$A$114,$BV$205^A92,IF(A92='Données projet'!$A$114,'Données projet'!$B$114,BY91+BX92-CG91)))</f>
        <v>191.22649572649556</v>
      </c>
      <c r="BZ92" s="13">
        <f>BY92*VLOOKUP('Données projet'!$B$12,Paramètres!$A$1:$I$89,3,0)*VLOOKUP('Données projet'!$B$12,Paramètres!$A$1:$I$89,5,0)</f>
        <v>181.97113333333317</v>
      </c>
      <c r="CA92" s="13">
        <f t="shared" si="93"/>
        <v>45.760448653081077</v>
      </c>
      <c r="CB92" s="20">
        <f t="shared" si="64"/>
        <v>396.63250529300484</v>
      </c>
      <c r="CC92" s="59">
        <f t="shared" si="65"/>
        <v>689.96583862633815</v>
      </c>
      <c r="CD92" s="59">
        <f ca="1">AVERAGE(OFFSET($CC$3,0,0,'Données projet'!$E$12+1,1))-AVERAGE(OFFSET($H$3,0,0,'Données projet'!$E$12+1,1))</f>
        <v>361.26385625423757</v>
      </c>
      <c r="CE92" s="59">
        <f t="shared" si="94"/>
        <v>222.05197404028576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17.480600328622899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17.480600328622899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247.00000000000017</v>
      </c>
      <c r="CU92" s="17">
        <f>CT92*VLOOKUP('Données projet'!$B$13,Paramètres!$A$1:$I$89,3,0)*VLOOKUP('Données projet'!$B$13,Paramètres!$A$1:$I$89,5,0)</f>
        <v>223.48560000000012</v>
      </c>
      <c r="CV92" s="13">
        <f t="shared" si="95"/>
        <v>54.87176918107798</v>
      </c>
      <c r="CW92" s="20">
        <f t="shared" si="67"/>
        <v>484.80575132371092</v>
      </c>
      <c r="CX92" s="59">
        <f t="shared" si="68"/>
        <v>778.13908465704424</v>
      </c>
      <c r="CY92" s="59">
        <f ca="1">AVERAGE(OFFSET($CX$3,0,0,'Données projet'!$E$13+1,1))-AVERAGE(OFFSET($H$3,0,0,'Données projet'!$E$13+1,1))</f>
        <v>302.6937347295995</v>
      </c>
      <c r="CZ92" s="59">
        <f t="shared" si="96"/>
        <v>423.44006663873375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0.18831048731389458</v>
      </c>
      <c r="DG92" s="21">
        <f>EXP(-LN(2)/25)*DG91+(1-EXP(-LN(2)/25))/(LN(2)/25)*Calculateur!DB92*Calculateur!DD92*VLOOKUP('Données projet'!$B$13,Paramètres!$A$1:$I$89,3,0)*0.475*44/12</f>
        <v>0.83550354214724987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1.0238140294611444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184.95426666666651</v>
      </c>
      <c r="DQ92" s="13">
        <f t="shared" si="97"/>
        <v>46.422671404016612</v>
      </c>
      <c r="DR92" s="20">
        <f t="shared" si="70"/>
        <v>402.98150047310645</v>
      </c>
      <c r="DS92" s="59">
        <f t="shared" si="71"/>
        <v>696.31483380643976</v>
      </c>
      <c r="DT92" s="59">
        <f ca="1">AVERAGE(OFFSET($DS$3,0,0,'Données projet'!$E$14+1,1))-AVERAGE(OFFSET($H$3,0,0,'Données projet'!$E$14+1,1))</f>
        <v>366.51581861366333</v>
      </c>
      <c r="DU92" s="59">
        <f t="shared" si="98"/>
        <v>225.01415116995503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17.767167547124913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17.767167547124913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328.00000000000017</v>
      </c>
      <c r="EK92" s="17">
        <f>EJ92*VLOOKUP('Données projet'!$B$15,Paramètres!$A$1:$I$89,3,0)*VLOOKUP('Données projet'!$B$15,Paramètres!$A$1:$I$89,5,0)</f>
        <v>255.84000000000015</v>
      </c>
      <c r="EL92" s="13">
        <f t="shared" si="99"/>
        <v>61.834803371075886</v>
      </c>
      <c r="EM92" s="20">
        <f t="shared" si="73"/>
        <v>553.28361587129086</v>
      </c>
      <c r="EN92" s="59">
        <f t="shared" si="74"/>
        <v>846.61694920462423</v>
      </c>
      <c r="EO92" s="59">
        <f ca="1">AVERAGE(OFFSET($EN$3,0,0,'Données projet'!$E$15+1,1))-AVERAGE(OFFSET($H$3,0,0,'Données projet'!$E$15+1,1))</f>
        <v>288.80569134263209</v>
      </c>
      <c r="EP92" s="59">
        <f t="shared" si="100"/>
        <v>283.48738729114024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13.678776228522853</v>
      </c>
      <c r="EW92" s="21">
        <f>EXP(-LN(2)/25)*EW91+(1-EXP(-LN(2)/25))/(LN(2)/25)*Calculateur!ER92*Calculateur!ET92*VLOOKUP('Données projet'!$B$15,Paramètres!$A$1:$I$89,3,0)*0.475*44/12</f>
        <v>11.346513706950741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25.025289935473594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-1.0197709343628959E-13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323.17232038705157</v>
      </c>
      <c r="FK92" s="59">
        <f t="shared" si="102"/>
        <v>402.34685738619197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84.713759388605226</v>
      </c>
      <c r="FR92" s="21">
        <f>EXP(-LN(2)/25)*FR91+(1-EXP(-LN(2)/25))/(LN(2)/25)*Calculateur!FM92*Calculateur!FO92*VLOOKUP('Données projet'!$B$16,Paramètres!$A$1:$I$89,3,0)*0.475*44/12</f>
        <v>17.703875640951903</v>
      </c>
      <c r="FS92" s="21">
        <f>EXP(-LN(2)/2)*FS91+(1-EXP(-LN(2)/2))/(LN(2)/2)*FM92*FP92*VLOOKUP('Données projet'!$B$16,Paramètres!$A$1:$I$89,3,0)*0.475*44/12</f>
        <v>4.3596830592040545E-4</v>
      </c>
      <c r="FT92" s="22">
        <f t="shared" si="78"/>
        <v>102.41807099786305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328.00000000000017</v>
      </c>
      <c r="GA92" s="17">
        <f>FZ92*VLOOKUP('Données projet'!$B$17,Paramètres!$A$1:$I$89,3,0)*VLOOKUP('Données projet'!$B$17,Paramètres!$A$1:$I$89,5,0)</f>
        <v>266.07360000000017</v>
      </c>
      <c r="GB92" s="13">
        <f t="shared" si="103"/>
        <v>64.015279012301136</v>
      </c>
      <c r="GC92" s="20">
        <f t="shared" si="79"/>
        <v>574.90479761309132</v>
      </c>
      <c r="GD92" s="59">
        <f t="shared" si="80"/>
        <v>868.23813094642469</v>
      </c>
      <c r="GE92" s="59">
        <f ca="1">AVERAGE(OFFSET($GD$3,0,0,'Données projet'!$E$17+1,1))-AVERAGE(OFFSET($H$3,0,0,'Données projet'!$E$17+1,1))</f>
        <v>298.96480270023716</v>
      </c>
      <c r="GF92" s="59">
        <f t="shared" si="104"/>
        <v>293.11447542333889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17.534282458515808</v>
      </c>
      <c r="GM92" s="21">
        <f>EXP(-LN(2)/25)*GM91+(1-EXP(-LN(2)/25))/(LN(2)/25)*Calculateur!GH92*Calculateur!GJ92*VLOOKUP('Données projet'!$B$17,Paramètres!$A$1:$I$89,3,0)*0.475*44/12</f>
        <v>14.544647337840114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32.078929796355922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3.2153846153846168</v>
      </c>
      <c r="GU92" s="12">
        <f>IF('Données projet'!$A$270&gt;35,GU91+GT92-HC91,IF(A92&lt;'Données projet'!$A$270,$GR$205^A92,IF(A92='Données projet'!$A$270,'Données projet'!$B$270,GU91+GT92-HC91)))</f>
        <v>172.8230769230768</v>
      </c>
      <c r="GV92" s="17">
        <f>GU92*VLOOKUP('Données projet'!$B$18,Paramètres!$A$1:$I$89,3,0)*VLOOKUP('Données projet'!$B$18,Paramètres!$A$1:$I$89,5,0)</f>
        <v>98.85479999999994</v>
      </c>
      <c r="GW92" s="13">
        <f t="shared" si="105"/>
        <v>26.688986818913847</v>
      </c>
      <c r="GX92" s="20">
        <f t="shared" si="82"/>
        <v>218.65542870960817</v>
      </c>
      <c r="GY92" s="59">
        <f t="shared" si="83"/>
        <v>511.98876204294152</v>
      </c>
      <c r="GZ92" s="59">
        <f ca="1">AVERAGE(OFFSET($GY$3,0,0,'Données projet'!$E$18+1,1))-AVERAGE(OFFSET($H$3,0,0,'Données projet'!$E$18+1,1))</f>
        <v>320.76883487964511</v>
      </c>
      <c r="HA92" s="59">
        <f t="shared" si="106"/>
        <v>290.51177680335746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93.968727639499235</v>
      </c>
      <c r="HH92" s="21">
        <f>EXP(-LN(2)/25)*HH91+(1-EXP(-LN(2)/25))/(LN(2)/25)*Calculateur!HC92*Calculateur!HE92*VLOOKUP('Données projet'!$B$18,Paramètres!$A$1:$I$89,3,0)*0.475*44/12</f>
        <v>23.331964692839339</v>
      </c>
      <c r="HI92" s="21">
        <f>EXP(-LN(2)/2)*HI91+(1-EXP(-LN(2)/2))/(LN(2)/2)*HC92*HF92*VLOOKUP('Données projet'!$B$18,Paramètres!$A$1:$I$89,3,0)*0.475*44/12</f>
        <v>14.819816850861669</v>
      </c>
      <c r="HJ92" s="22">
        <f t="shared" si="84"/>
        <v>132.12050918320023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257.19720000000035</v>
      </c>
      <c r="AK93" s="13">
        <f t="shared" si="89"/>
        <v>62.124557913773614</v>
      </c>
      <c r="AL93" s="20">
        <f t="shared" si="58"/>
        <v>556.15206169982298</v>
      </c>
      <c r="AM93" s="59">
        <f t="shared" si="59"/>
        <v>849.48539503315624</v>
      </c>
      <c r="AN93" s="59">
        <f ca="1">AVERAGE(OFFSET($AM$3,0,0,'Données projet'!$E$10+1,1))-AVERAGE(OFFSET($H$3,0,0,'Données projet'!$E$10+1,1))</f>
        <v>425.47148407510412</v>
      </c>
      <c r="AO93" s="59">
        <f t="shared" si="90"/>
        <v>308.54448799922471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46.458391112721195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46.458391112721195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215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215.00000000000003</v>
      </c>
      <c r="BE93" s="13">
        <f>BD93*VLOOKUP('Données projet'!$B$11,Paramètres!$A$1:$I$89,3,0)*VLOOKUP('Données projet'!$B$11,Paramètres!$A$1:$I$89,5,0)</f>
        <v>187.82400000000007</v>
      </c>
      <c r="BF93" s="13">
        <f t="shared" si="91"/>
        <v>47.05854810918273</v>
      </c>
      <c r="BG93" s="20">
        <f t="shared" si="61"/>
        <v>409.08710462349336</v>
      </c>
      <c r="BH93" s="59">
        <f t="shared" si="62"/>
        <v>702.42043795682662</v>
      </c>
      <c r="BI93" s="59">
        <f ca="1">AVERAGE(OFFSET($BH$3,0,0,'Données projet'!$E$11+1,1))-AVERAGE(OFFSET($H$3,0,0,'Données projet'!$E$11+1,1))</f>
        <v>300.63505444445104</v>
      </c>
      <c r="BJ93" s="59">
        <f t="shared" si="92"/>
        <v>266.32508105927997</v>
      </c>
      <c r="BK93" s="15">
        <f>IF(ISNA(VLOOKUP(A93,'Données projet'!$A$87:$I$107,3,0)),0,VLOOKUP(A93,'Données projet'!$A$87:$I$107,3,0))</f>
        <v>15</v>
      </c>
      <c r="BL93" s="15" t="str">
        <f>IF(ISNA(VLOOKUP(A93,'Données projet'!$A$87:$I$107,4,0)),0,VLOOKUP(A93,'Données projet'!$A$87:$I$107,4,0))</f>
        <v>10</v>
      </c>
      <c r="BM93" s="16">
        <f>IF(ISNA(VLOOKUP(A93,'Données projet'!$A$87:$I$107,5,0)),0%,VLOOKUP(A93,'Données projet'!$A$87:$I$107,5,0)*VLOOKUP('Données projet'!$B$11,Paramètres!$A$1:$I$89,7,0))</f>
        <v>0.215</v>
      </c>
      <c r="BN93" s="16">
        <f>IF(ISNA(VLOOKUP(A93,'Données projet'!$A$87:$I$107,6,0)),0%,VLOOKUP(A93,'Données projet'!$A$87:$I$107,6,0)*VLOOKUP('Données projet'!$B$11,Paramètres!$A$1:$I$89,7,0))</f>
        <v>0.17200000000000001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12.899514925678453</v>
      </c>
      <c r="BQ93" s="21">
        <f>EXP(-LN(2)/25)*BQ92+(1-EXP(-LN(2)/25))/(LN(2)/25)*Calculateur!BL93*Calculateur!BN93*VLOOKUP('Données projet'!$B$11,Paramètres!$A$1:$I$89,3,0)*0.475*44/12</f>
        <v>13.964025679568033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26.863540605246484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5.2606837606837598</v>
      </c>
      <c r="BY93" s="12">
        <f>IF('Données projet'!$A$114&gt;35,BY92+BX93-CG92,IF(A93&lt;'Données projet'!$A$114,$BV$205^A93,IF(A93='Données projet'!$A$114,'Données projet'!$B$114,BY92+BX93-CG92)))</f>
        <v>196.4871794871793</v>
      </c>
      <c r="BZ93" s="13">
        <f>BY93*VLOOKUP('Données projet'!$B$12,Paramètres!$A$1:$I$89,3,0)*VLOOKUP('Données projet'!$B$12,Paramètres!$A$1:$I$89,5,0)</f>
        <v>186.97719999999984</v>
      </c>
      <c r="CA93" s="13">
        <f t="shared" si="93"/>
        <v>46.871032196648777</v>
      </c>
      <c r="CB93" s="20">
        <f t="shared" si="64"/>
        <v>407.28567107582967</v>
      </c>
      <c r="CC93" s="59">
        <f t="shared" si="65"/>
        <v>700.61900440916293</v>
      </c>
      <c r="CD93" s="59">
        <f ca="1">AVERAGE(OFFSET($CC$3,0,0,'Données projet'!$E$12+1,1))-AVERAGE(OFFSET($H$3,0,0,'Données projet'!$E$12+1,1))</f>
        <v>361.26385625423757</v>
      </c>
      <c r="CE93" s="59">
        <f t="shared" si="94"/>
        <v>222.05197404028576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17.137816418292008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17.137816418292008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247.00000000000017</v>
      </c>
      <c r="CU93" s="17">
        <f>CT93*VLOOKUP('Données projet'!$B$13,Paramètres!$A$1:$I$89,3,0)*VLOOKUP('Données projet'!$B$13,Paramètres!$A$1:$I$89,5,0)</f>
        <v>223.48560000000012</v>
      </c>
      <c r="CV93" s="13">
        <f t="shared" si="95"/>
        <v>54.87176918107798</v>
      </c>
      <c r="CW93" s="20">
        <f t="shared" si="67"/>
        <v>484.80575132371092</v>
      </c>
      <c r="CX93" s="59">
        <f t="shared" si="68"/>
        <v>778.13908465704424</v>
      </c>
      <c r="CY93" s="59">
        <f ca="1">AVERAGE(OFFSET($CX$3,0,0,'Données projet'!$E$13+1,1))-AVERAGE(OFFSET($H$3,0,0,'Données projet'!$E$13+1,1))</f>
        <v>302.6937347295995</v>
      </c>
      <c r="CZ93" s="59">
        <f t="shared" si="96"/>
        <v>423.44006663873375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0.18461783351572508</v>
      </c>
      <c r="DG93" s="21">
        <f>EXP(-LN(2)/25)*DG92+(1-EXP(-LN(2)/25))/(LN(2)/25)*Calculateur!DB93*Calculateur!DD93*VLOOKUP('Données projet'!$B$13,Paramètres!$A$1:$I$89,3,0)*0.475*44/12</f>
        <v>0.81265665385001162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0.99727448736573665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190.04239999999982</v>
      </c>
      <c r="DQ93" s="13">
        <f t="shared" si="97"/>
        <v>47.54932676748583</v>
      </c>
      <c r="DR93" s="20">
        <f t="shared" si="70"/>
        <v>413.80559078670422</v>
      </c>
      <c r="DS93" s="59">
        <f t="shared" si="71"/>
        <v>707.13892412003747</v>
      </c>
      <c r="DT93" s="59">
        <f ca="1">AVERAGE(OFFSET($DS$3,0,0,'Données projet'!$E$14+1,1))-AVERAGE(OFFSET($H$3,0,0,'Données projet'!$E$14+1,1))</f>
        <v>366.51581861366333</v>
      </c>
      <c r="DU93" s="59">
        <f t="shared" si="98"/>
        <v>225.01415116995503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17.418764228427943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17.418764228427943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328.00000000000017</v>
      </c>
      <c r="EK93" s="17">
        <f>EJ93*VLOOKUP('Données projet'!$B$15,Paramètres!$A$1:$I$89,3,0)*VLOOKUP('Données projet'!$B$15,Paramètres!$A$1:$I$89,5,0)</f>
        <v>255.84000000000015</v>
      </c>
      <c r="EL93" s="13">
        <f t="shared" si="99"/>
        <v>61.834803371075886</v>
      </c>
      <c r="EM93" s="20">
        <f t="shared" si="73"/>
        <v>553.28361587129086</v>
      </c>
      <c r="EN93" s="59">
        <f t="shared" si="74"/>
        <v>846.61694920462423</v>
      </c>
      <c r="EO93" s="59">
        <f ca="1">AVERAGE(OFFSET($EN$3,0,0,'Données projet'!$E$15+1,1))-AVERAGE(OFFSET($H$3,0,0,'Données projet'!$E$15+1,1))</f>
        <v>288.80569134263209</v>
      </c>
      <c r="EP93" s="59">
        <f t="shared" si="100"/>
        <v>283.48738729114024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13.410543769911193</v>
      </c>
      <c r="EW93" s="21">
        <f>EXP(-LN(2)/25)*EW92+(1-EXP(-LN(2)/25))/(LN(2)/25)*Calculateur!ER93*Calculateur!ET93*VLOOKUP('Données projet'!$B$15,Paramètres!$A$1:$I$89,3,0)*0.475*44/12</f>
        <v>11.036242692946951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24.446786462858142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-1.0197709343628959E-13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323.17232038705157</v>
      </c>
      <c r="FK93" s="59">
        <f t="shared" si="102"/>
        <v>402.34685738619197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83.052574237285882</v>
      </c>
      <c r="FR93" s="21">
        <f>EXP(-LN(2)/25)*FR92+(1-EXP(-LN(2)/25))/(LN(2)/25)*Calculateur!FM93*Calculateur!FO93*VLOOKUP('Données projet'!$B$16,Paramètres!$A$1:$I$89,3,0)*0.475*44/12</f>
        <v>17.219762230543715</v>
      </c>
      <c r="FS93" s="21">
        <f>EXP(-LN(2)/2)*FS92+(1-EXP(-LN(2)/2))/(LN(2)/2)*FM93*FP93*VLOOKUP('Données projet'!$B$16,Paramètres!$A$1:$I$89,3,0)*0.475*44/12</f>
        <v>3.0827614549872994E-4</v>
      </c>
      <c r="FT93" s="22">
        <f t="shared" si="78"/>
        <v>100.27264474397511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328.00000000000017</v>
      </c>
      <c r="GA93" s="17">
        <f>FZ93*VLOOKUP('Données projet'!$B$17,Paramètres!$A$1:$I$89,3,0)*VLOOKUP('Données projet'!$B$17,Paramètres!$A$1:$I$89,5,0)</f>
        <v>266.07360000000017</v>
      </c>
      <c r="GB93" s="13">
        <f t="shared" si="103"/>
        <v>64.015279012301136</v>
      </c>
      <c r="GC93" s="20">
        <f t="shared" si="79"/>
        <v>574.90479761309132</v>
      </c>
      <c r="GD93" s="59">
        <f t="shared" si="80"/>
        <v>868.23813094642469</v>
      </c>
      <c r="GE93" s="59">
        <f ca="1">AVERAGE(OFFSET($GD$3,0,0,'Données projet'!$E$17+1,1))-AVERAGE(OFFSET($H$3,0,0,'Données projet'!$E$17+1,1))</f>
        <v>298.96480270023716</v>
      </c>
      <c r="GF93" s="59">
        <f t="shared" si="104"/>
        <v>293.11447542333889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17.190445874360584</v>
      </c>
      <c r="GM93" s="21">
        <f>EXP(-LN(2)/25)*GM92+(1-EXP(-LN(2)/25))/(LN(2)/25)*Calculateur!GH93*Calculateur!GJ93*VLOOKUP('Données projet'!$B$17,Paramètres!$A$1:$I$89,3,0)*0.475*44/12</f>
        <v>14.146923191517116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31.337369065877702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3.2153846153846168</v>
      </c>
      <c r="GU93" s="12">
        <f>IF('Données projet'!$A$270&gt;35,GU92+GT93-HC92,IF(A93&lt;'Données projet'!$A$270,$GR$205^A93,IF(A93='Données projet'!$A$270,'Données projet'!$B$270,GU92+GT93-HC92)))</f>
        <v>176.03846153846141</v>
      </c>
      <c r="GV93" s="17">
        <f>GU93*VLOOKUP('Données projet'!$B$18,Paramètres!$A$1:$I$89,3,0)*VLOOKUP('Données projet'!$B$18,Paramètres!$A$1:$I$89,5,0)</f>
        <v>100.69399999999993</v>
      </c>
      <c r="GW93" s="13">
        <f t="shared" si="105"/>
        <v>27.127266869657319</v>
      </c>
      <c r="GX93" s="20">
        <f t="shared" si="82"/>
        <v>222.62203979798639</v>
      </c>
      <c r="GY93" s="59">
        <f t="shared" si="83"/>
        <v>515.95537313131967</v>
      </c>
      <c r="GZ93" s="59">
        <f ca="1">AVERAGE(OFFSET($GY$3,0,0,'Données projet'!$E$18+1,1))-AVERAGE(OFFSET($H$3,0,0,'Données projet'!$E$18+1,1))</f>
        <v>320.76883487964511</v>
      </c>
      <c r="HA93" s="59">
        <f t="shared" si="106"/>
        <v>290.51177680335746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92.126058205753097</v>
      </c>
      <c r="HH93" s="21">
        <f>EXP(-LN(2)/25)*HH92+(1-EXP(-LN(2)/25))/(LN(2)/25)*Calculateur!HC93*Calculateur!HE93*VLOOKUP('Données projet'!$B$18,Paramètres!$A$1:$I$89,3,0)*0.475*44/12</f>
        <v>22.69395089133895</v>
      </c>
      <c r="HI93" s="21">
        <f>EXP(-LN(2)/2)*HI92+(1-EXP(-LN(2)/2))/(LN(2)/2)*HC93*HF93*VLOOKUP('Données projet'!$B$18,Paramètres!$A$1:$I$89,3,0)*0.475*44/12</f>
        <v>10.479192991186952</v>
      </c>
      <c r="HJ93" s="22">
        <f t="shared" si="84"/>
        <v>125.299202088279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264.47590000000037</v>
      </c>
      <c r="AK94" s="13">
        <f t="shared" si="89"/>
        <v>63.675509123397234</v>
      </c>
      <c r="AL94" s="20">
        <f t="shared" si="58"/>
        <v>571.53037088991744</v>
      </c>
      <c r="AM94" s="59">
        <f t="shared" si="59"/>
        <v>864.86370422325081</v>
      </c>
      <c r="AN94" s="59">
        <f ca="1">AVERAGE(OFFSET($AM$3,0,0,'Données projet'!$E$10+1,1))-AVERAGE(OFFSET($H$3,0,0,'Données projet'!$E$10+1,1))</f>
        <v>425.47148407510412</v>
      </c>
      <c r="AO94" s="59">
        <f t="shared" si="90"/>
        <v>308.54448799922471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45.547370399821283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45.547370399821283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207.80000000000004</v>
      </c>
      <c r="BE94" s="13">
        <f>BD94*VLOOKUP('Données projet'!$B$11,Paramètres!$A$1:$I$89,3,0)*VLOOKUP('Données projet'!$B$11,Paramètres!$A$1:$I$89,5,0)</f>
        <v>181.53408000000007</v>
      </c>
      <c r="BF94" s="13">
        <f t="shared" si="91"/>
        <v>45.663321943731901</v>
      </c>
      <c r="BG94" s="20">
        <f t="shared" si="61"/>
        <v>395.7021417186665</v>
      </c>
      <c r="BH94" s="59">
        <f t="shared" si="62"/>
        <v>689.03547505199981</v>
      </c>
      <c r="BI94" s="59">
        <f ca="1">AVERAGE(OFFSET($BH$3,0,0,'Données projet'!$E$11+1,1))-AVERAGE(OFFSET($H$3,0,0,'Données projet'!$E$11+1,1))</f>
        <v>300.63505444445104</v>
      </c>
      <c r="BJ94" s="59">
        <f t="shared" si="92"/>
        <v>266.32508105927997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12.64656330591311</v>
      </c>
      <c r="BQ94" s="21">
        <f>EXP(-LN(2)/25)*BQ93+(1-EXP(-LN(2)/25))/(LN(2)/25)*Calculateur!BL94*Calculateur!BN94*VLOOKUP('Données projet'!$B$11,Paramètres!$A$1:$I$89,3,0)*0.475*44/12</f>
        <v>13.582178663024051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26.228741968937161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5.2606837606837598</v>
      </c>
      <c r="BY94" s="12">
        <f>IF('Données projet'!$A$114&gt;35,BY93+BX94-CG93,IF(A94&lt;'Données projet'!$A$114,$BV$205^A94,IF(A94='Données projet'!$A$114,'Données projet'!$B$114,BY93+BX94-CG93)))</f>
        <v>201.74786324786305</v>
      </c>
      <c r="BZ94" s="13">
        <f>BY94*VLOOKUP('Données projet'!$B$12,Paramètres!$A$1:$I$89,3,0)*VLOOKUP('Données projet'!$B$12,Paramètres!$A$1:$I$89,5,0)</f>
        <v>191.98326666666648</v>
      </c>
      <c r="CA94" s="13">
        <f t="shared" si="93"/>
        <v>47.97815960702949</v>
      </c>
      <c r="CB94" s="20">
        <f t="shared" si="64"/>
        <v>417.93281742668711</v>
      </c>
      <c r="CC94" s="59">
        <f t="shared" si="65"/>
        <v>711.26615076002042</v>
      </c>
      <c r="CD94" s="59">
        <f ca="1">AVERAGE(OFFSET($CC$3,0,0,'Données projet'!$E$12+1,1))-AVERAGE(OFFSET($H$3,0,0,'Données projet'!$E$12+1,1))</f>
        <v>361.26385625423757</v>
      </c>
      <c r="CE94" s="59">
        <f t="shared" si="94"/>
        <v>222.05197404028576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16.801754291365164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16.801754291365164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247.00000000000017</v>
      </c>
      <c r="CU94" s="17">
        <f>CT94*VLOOKUP('Données projet'!$B$13,Paramètres!$A$1:$I$89,3,0)*VLOOKUP('Données projet'!$B$13,Paramètres!$A$1:$I$89,5,0)</f>
        <v>223.48560000000012</v>
      </c>
      <c r="CV94" s="13">
        <f t="shared" si="95"/>
        <v>54.87176918107798</v>
      </c>
      <c r="CW94" s="20">
        <f t="shared" si="67"/>
        <v>484.80575132371092</v>
      </c>
      <c r="CX94" s="59">
        <f t="shared" si="68"/>
        <v>778.13908465704424</v>
      </c>
      <c r="CY94" s="59">
        <f ca="1">AVERAGE(OFFSET($CX$3,0,0,'Données projet'!$E$13+1,1))-AVERAGE(OFFSET($H$3,0,0,'Données projet'!$E$13+1,1))</f>
        <v>302.6937347295995</v>
      </c>
      <c r="CZ94" s="59">
        <f t="shared" si="96"/>
        <v>423.44006663873375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0.18099759040624128</v>
      </c>
      <c r="DG94" s="21">
        <f>EXP(-LN(2)/25)*DG93+(1-EXP(-LN(2)/25))/(LN(2)/25)*Calculateur!DB94*Calculateur!DD94*VLOOKUP('Données projet'!$B$13,Paramètres!$A$1:$I$89,3,0)*0.475*44/12</f>
        <v>0.79043451491472694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0.97143210532096824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195.13053333333315</v>
      </c>
      <c r="DQ94" s="13">
        <f t="shared" si="97"/>
        <v>48.672475982305059</v>
      </c>
      <c r="DR94" s="20">
        <f t="shared" si="70"/>
        <v>424.62357455806983</v>
      </c>
      <c r="DS94" s="59">
        <f t="shared" si="71"/>
        <v>717.95690789140315</v>
      </c>
      <c r="DT94" s="59">
        <f ca="1">AVERAGE(OFFSET($DS$3,0,0,'Données projet'!$E$14+1,1))-AVERAGE(OFFSET($H$3,0,0,'Données projet'!$E$14+1,1))</f>
        <v>366.51581861366333</v>
      </c>
      <c r="DU94" s="59">
        <f t="shared" si="98"/>
        <v>225.01415116995503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17.077192886305578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17.077192886305578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328.00000000000017</v>
      </c>
      <c r="EK94" s="17">
        <f>EJ94*VLOOKUP('Données projet'!$B$15,Paramètres!$A$1:$I$89,3,0)*VLOOKUP('Données projet'!$B$15,Paramètres!$A$1:$I$89,5,0)</f>
        <v>255.84000000000015</v>
      </c>
      <c r="EL94" s="13">
        <f t="shared" si="99"/>
        <v>61.834803371075886</v>
      </c>
      <c r="EM94" s="20">
        <f t="shared" si="73"/>
        <v>553.28361587129086</v>
      </c>
      <c r="EN94" s="59">
        <f t="shared" si="74"/>
        <v>846.61694920462423</v>
      </c>
      <c r="EO94" s="59">
        <f ca="1">AVERAGE(OFFSET($EN$3,0,0,'Données projet'!$E$15+1,1))-AVERAGE(OFFSET($H$3,0,0,'Données projet'!$E$15+1,1))</f>
        <v>288.80569134263209</v>
      </c>
      <c r="EP94" s="59">
        <f t="shared" si="100"/>
        <v>283.48738729114024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13.147571186207264</v>
      </c>
      <c r="EW94" s="21">
        <f>EXP(-LN(2)/25)*EW93+(1-EXP(-LN(2)/25))/(LN(2)/25)*Calculateur!ER94*Calculateur!ET94*VLOOKUP('Données projet'!$B$15,Paramètres!$A$1:$I$89,3,0)*0.475*44/12</f>
        <v>10.734456056137537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23.882027242344801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-1.0197709343628959E-13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323.17232038705157</v>
      </c>
      <c r="FK94" s="59">
        <f t="shared" si="102"/>
        <v>402.34685738619197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81.423963913561025</v>
      </c>
      <c r="FR94" s="21">
        <f>EXP(-LN(2)/25)*FR93+(1-EXP(-LN(2)/25))/(LN(2)/25)*Calculateur!FM94*Calculateur!FO94*VLOOKUP('Données projet'!$B$16,Paramètres!$A$1:$I$89,3,0)*0.475*44/12</f>
        <v>16.748886926801557</v>
      </c>
      <c r="FS94" s="21">
        <f>EXP(-LN(2)/2)*FS93+(1-EXP(-LN(2)/2))/(LN(2)/2)*FM94*FP94*VLOOKUP('Données projet'!$B$16,Paramètres!$A$1:$I$89,3,0)*0.475*44/12</f>
        <v>2.1798415296020272E-4</v>
      </c>
      <c r="FT94" s="22">
        <f t="shared" si="78"/>
        <v>98.173068824515539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328.00000000000017</v>
      </c>
      <c r="GA94" s="17">
        <f>FZ94*VLOOKUP('Données projet'!$B$17,Paramètres!$A$1:$I$89,3,0)*VLOOKUP('Données projet'!$B$17,Paramètres!$A$1:$I$89,5,0)</f>
        <v>266.07360000000017</v>
      </c>
      <c r="GB94" s="13">
        <f t="shared" si="103"/>
        <v>64.015279012301136</v>
      </c>
      <c r="GC94" s="20">
        <f t="shared" si="79"/>
        <v>574.90479761309132</v>
      </c>
      <c r="GD94" s="59">
        <f t="shared" si="80"/>
        <v>868.23813094642469</v>
      </c>
      <c r="GE94" s="59">
        <f ca="1">AVERAGE(OFFSET($GD$3,0,0,'Données projet'!$E$17+1,1))-AVERAGE(OFFSET($H$3,0,0,'Données projet'!$E$17+1,1))</f>
        <v>298.96480270023716</v>
      </c>
      <c r="GF94" s="59">
        <f t="shared" si="104"/>
        <v>293.11447542333889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16.853351715901034</v>
      </c>
      <c r="GM94" s="21">
        <f>EXP(-LN(2)/25)*GM93+(1-EXP(-LN(2)/25))/(LN(2)/25)*Calculateur!GH94*Calculateur!GJ94*VLOOKUP('Données projet'!$B$17,Paramètres!$A$1:$I$89,3,0)*0.475*44/12</f>
        <v>13.760074832890723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30.613426548791757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>
        <f>VLOOKUP(A94,'Données projet'!$A$269:$I$289,2,0)</f>
        <v>179.25384615384615</v>
      </c>
      <c r="GS94" s="12">
        <f>VLOOKUP(A94,'Données projet'!$A$269:$I$289,9,0)</f>
        <v>3.2153846153846168</v>
      </c>
      <c r="GT94" s="12">
        <f t="array" ref="GT94">INDEX(GS:GS,MIN(IF(ISNUMBER(GS94:GS290),ROW(GS94:GS290),"")))</f>
        <v>3.2153846153846168</v>
      </c>
      <c r="GU94" s="12">
        <f>IF('Données projet'!$A$270&gt;35,GU93+GT94-HC93,IF(A94&lt;'Données projet'!$A$270,$GR$205^A94,IF(A94='Données projet'!$A$270,'Données projet'!$B$270,GU93+GT94-HC93)))</f>
        <v>179.25384615384601</v>
      </c>
      <c r="GV94" s="17">
        <f>GU94*VLOOKUP('Données projet'!$B$18,Paramètres!$A$1:$I$89,3,0)*VLOOKUP('Données projet'!$B$18,Paramètres!$A$1:$I$89,5,0)</f>
        <v>102.53319999999992</v>
      </c>
      <c r="GW94" s="13">
        <f t="shared" si="105"/>
        <v>27.564616039781431</v>
      </c>
      <c r="GX94" s="20">
        <f t="shared" si="82"/>
        <v>226.58702960261917</v>
      </c>
      <c r="GY94" s="59">
        <f t="shared" si="83"/>
        <v>519.92036293595243</v>
      </c>
      <c r="GZ94" s="59">
        <f ca="1">AVERAGE(OFFSET($GY$3,0,0,'Données projet'!$E$18+1,1))-AVERAGE(OFFSET($H$3,0,0,'Données projet'!$E$18+1,1))</f>
        <v>320.76883487964511</v>
      </c>
      <c r="HA94" s="59">
        <f t="shared" si="106"/>
        <v>290.51177680335746</v>
      </c>
      <c r="HB94" s="15">
        <f>IF(ISNA(VLOOKUP(A94,'Données projet'!$A$269:$I$289,3,0)),0,VLOOKUP(A94,'Données projet'!$A$269:$I$289,3,0))</f>
        <v>11</v>
      </c>
      <c r="HC94" s="15">
        <f>IF(ISNA(VLOOKUP(A94,'Données projet'!$A$269:$I$289,4,0)),0,VLOOKUP(A94,'Données projet'!$A$269:$I$289,4,0))</f>
        <v>179.25384615384615</v>
      </c>
      <c r="HD94" s="16">
        <f>IF(ISNA(VLOOKUP(A94,'Données projet'!$A$269:$I$289,5,0)),0%,VLOOKUP(A94,'Données projet'!$A$269:$I$289,5,0)*VLOOKUP('Données projet'!$B$18,Paramètres!$A$1:$I$89,7,0))</f>
        <v>0.315</v>
      </c>
      <c r="HE94" s="16">
        <f>IF(ISNA(VLOOKUP(A94,'Données projet'!$A$269:$I$289,6,0)),0%,VLOOKUP(A94,'Données projet'!$A$269:$I$289,6,0)*VLOOKUP('Données projet'!$B$18,Paramètres!$A$1:$I$89,7,0))</f>
        <v>7.6500000000000012E-2</v>
      </c>
      <c r="HF94" s="16">
        <f>IF(ISNA(VLOOKUP(A94,'Données projet'!$A$269:$I$289,7,0)),0%,VLOOKUP(A94,'Données projet'!$A$269:$I$289,7,0))</f>
        <v>0.13</v>
      </c>
      <c r="HG94" s="21">
        <f>EXP(-LN(2)/35)*HG93+(1-EXP(-LN(2)/35))/(LN(2)/35)*HC94*HD94*VLOOKUP('Données projet'!$B$18,Paramètres!$A$1:$I$89,3,0)*0.475*44/12</f>
        <v>133.16484546176449</v>
      </c>
      <c r="HH94" s="21">
        <f>EXP(-LN(2)/25)*HH93+(1-EXP(-LN(2)/25))/(LN(2)/25)*Calculateur!HC94*Calculateur!HE94*VLOOKUP('Données projet'!$B$18,Paramètres!$A$1:$I$89,3,0)*0.475*44/12</f>
        <v>32.437706753148568</v>
      </c>
      <c r="HI94" s="21">
        <f>EXP(-LN(2)/2)*HI93+(1-EXP(-LN(2)/2))/(LN(2)/2)*HC94*HF94*VLOOKUP('Données projet'!$B$18,Paramètres!$A$1:$I$89,3,0)*0.475*44/12</f>
        <v>22.501790504567118</v>
      </c>
      <c r="HJ94" s="22">
        <f t="shared" si="84"/>
        <v>188.10434271948017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271.75460000000038</v>
      </c>
      <c r="AK95" s="13">
        <f t="shared" si="89"/>
        <v>65.221499194772917</v>
      </c>
      <c r="AL95" s="20">
        <f t="shared" si="58"/>
        <v>586.90003943089675</v>
      </c>
      <c r="AM95" s="59">
        <f t="shared" si="59"/>
        <v>880.23337276423013</v>
      </c>
      <c r="AN95" s="59">
        <f ca="1">AVERAGE(OFFSET($AM$3,0,0,'Données projet'!$E$10+1,1))-AVERAGE(OFFSET($H$3,0,0,'Données projet'!$E$10+1,1))</f>
        <v>425.47148407510412</v>
      </c>
      <c r="AO95" s="59">
        <f t="shared" si="90"/>
        <v>308.54448799922471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44.654214247433572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44.654214247433572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210.60000000000005</v>
      </c>
      <c r="BE95" s="13">
        <f>BD95*VLOOKUP('Données projet'!$B$11,Paramètres!$A$1:$I$89,3,0)*VLOOKUP('Données projet'!$B$11,Paramètres!$A$1:$I$89,5,0)</f>
        <v>183.98016000000007</v>
      </c>
      <c r="BF95" s="13">
        <f t="shared" si="91"/>
        <v>46.206568123393758</v>
      </c>
      <c r="BG95" s="20">
        <f t="shared" si="61"/>
        <v>400.9085514815776</v>
      </c>
      <c r="BH95" s="59">
        <f t="shared" si="62"/>
        <v>694.24188481491092</v>
      </c>
      <c r="BI95" s="59">
        <f ca="1">AVERAGE(OFFSET($BH$3,0,0,'Données projet'!$E$11+1,1))-AVERAGE(OFFSET($H$3,0,0,'Données projet'!$E$11+1,1))</f>
        <v>300.63505444445104</v>
      </c>
      <c r="BJ95" s="59">
        <f t="shared" si="92"/>
        <v>266.32508105927997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12.398571913126112</v>
      </c>
      <c r="BQ95" s="21">
        <f>EXP(-LN(2)/25)*BQ94+(1-EXP(-LN(2)/25))/(LN(2)/25)*Calculateur!BL95*Calculateur!BN95*VLOOKUP('Données projet'!$B$11,Paramètres!$A$1:$I$89,3,0)*0.475*44/12</f>
        <v>13.210773273227925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25.609345186354037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5.2606837606837598</v>
      </c>
      <c r="BY95" s="12">
        <f>IF('Données projet'!$A$114&gt;35,BY94+BX95-CG94,IF(A95&lt;'Données projet'!$A$114,$BV$205^A95,IF(A95='Données projet'!$A$114,'Données projet'!$B$114,BY94+BX95-CG94)))</f>
        <v>207.0085470085468</v>
      </c>
      <c r="BZ95" s="13">
        <f>BY95*VLOOKUP('Données projet'!$B$12,Paramètres!$A$1:$I$89,3,0)*VLOOKUP('Données projet'!$B$12,Paramètres!$A$1:$I$89,5,0)</f>
        <v>196.98933333333315</v>
      </c>
      <c r="CA95" s="13">
        <f t="shared" si="93"/>
        <v>49.081931365294992</v>
      </c>
      <c r="CB95" s="20">
        <f t="shared" si="64"/>
        <v>428.57411935011061</v>
      </c>
      <c r="CC95" s="59">
        <f t="shared" si="65"/>
        <v>721.90745268344392</v>
      </c>
      <c r="CD95" s="59">
        <f ca="1">AVERAGE(OFFSET($CC$3,0,0,'Données projet'!$E$12+1,1))-AVERAGE(OFFSET($H$3,0,0,'Données projet'!$E$12+1,1))</f>
        <v>361.26385625423757</v>
      </c>
      <c r="CE95" s="59">
        <f t="shared" si="94"/>
        <v>222.05197404028576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16.4722821377697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16.4722821377697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247.00000000000017</v>
      </c>
      <c r="CU95" s="17">
        <f>CT95*VLOOKUP('Données projet'!$B$13,Paramètres!$A$1:$I$89,3,0)*VLOOKUP('Données projet'!$B$13,Paramètres!$A$1:$I$89,5,0)</f>
        <v>223.48560000000012</v>
      </c>
      <c r="CV95" s="13">
        <f t="shared" si="95"/>
        <v>54.87176918107798</v>
      </c>
      <c r="CW95" s="20">
        <f t="shared" si="67"/>
        <v>484.80575132371092</v>
      </c>
      <c r="CX95" s="59">
        <f t="shared" si="68"/>
        <v>778.13908465704424</v>
      </c>
      <c r="CY95" s="59">
        <f ca="1">AVERAGE(OFFSET($CX$3,0,0,'Données projet'!$E$13+1,1))-AVERAGE(OFFSET($H$3,0,0,'Données projet'!$E$13+1,1))</f>
        <v>302.6937347295995</v>
      </c>
      <c r="CZ95" s="59">
        <f t="shared" si="96"/>
        <v>423.44006663873375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0.17744833805600418</v>
      </c>
      <c r="DG95" s="21">
        <f>EXP(-LN(2)/25)*DG94+(1-EXP(-LN(2)/25))/(LN(2)/25)*Calculateur!DB95*Calculateur!DD95*VLOOKUP('Données projet'!$B$13,Paramètres!$A$1:$I$89,3,0)*0.475*44/12</f>
        <v>0.76882004153723915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0.94626837959324339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200.21866666666645</v>
      </c>
      <c r="DQ95" s="13">
        <f t="shared" si="97"/>
        <v>49.792220983658822</v>
      </c>
      <c r="DR95" s="20">
        <f t="shared" si="70"/>
        <v>435.43562932431655</v>
      </c>
      <c r="DS95" s="59">
        <f t="shared" si="71"/>
        <v>728.76896265764981</v>
      </c>
      <c r="DT95" s="59">
        <f ca="1">AVERAGE(OFFSET($DS$3,0,0,'Données projet'!$E$14+1,1))-AVERAGE(OFFSET($H$3,0,0,'Données projet'!$E$14+1,1))</f>
        <v>366.51581861366333</v>
      </c>
      <c r="DU95" s="59">
        <f t="shared" si="98"/>
        <v>225.01415116995503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16.742319549864288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16.742319549864288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328.00000000000017</v>
      </c>
      <c r="EK95" s="17">
        <f>EJ95*VLOOKUP('Données projet'!$B$15,Paramètres!$A$1:$I$89,3,0)*VLOOKUP('Données projet'!$B$15,Paramètres!$A$1:$I$89,5,0)</f>
        <v>255.84000000000015</v>
      </c>
      <c r="EL95" s="13">
        <f t="shared" si="99"/>
        <v>61.834803371075886</v>
      </c>
      <c r="EM95" s="20">
        <f t="shared" si="73"/>
        <v>553.28361587129086</v>
      </c>
      <c r="EN95" s="59">
        <f t="shared" si="74"/>
        <v>846.61694920462423</v>
      </c>
      <c r="EO95" s="59">
        <f ca="1">AVERAGE(OFFSET($EN$3,0,0,'Données projet'!$E$15+1,1))-AVERAGE(OFFSET($H$3,0,0,'Données projet'!$E$15+1,1))</f>
        <v>288.80569134263209</v>
      </c>
      <c r="EP95" s="59">
        <f t="shared" si="100"/>
        <v>283.48738729114024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12.88975533447233</v>
      </c>
      <c r="EW95" s="21">
        <f>EXP(-LN(2)/25)*EW94+(1-EXP(-LN(2)/25))/(LN(2)/25)*Calculateur!ER95*Calculateur!ET95*VLOOKUP('Données projet'!$B$15,Paramètres!$A$1:$I$89,3,0)*0.475*44/12</f>
        <v>10.440921790781946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23.330677125254276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-1.0197709343628959E-13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323.17232038705157</v>
      </c>
      <c r="FK95" s="59">
        <f t="shared" si="102"/>
        <v>402.34685738619197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79.82728964493019</v>
      </c>
      <c r="FR95" s="21">
        <f>EXP(-LN(2)/25)*FR94+(1-EXP(-LN(2)/25))/(LN(2)/25)*Calculateur!FM95*Calculateur!FO95*VLOOKUP('Données projet'!$B$16,Paramètres!$A$1:$I$89,3,0)*0.475*44/12</f>
        <v>16.290887733002485</v>
      </c>
      <c r="FS95" s="21">
        <f>EXP(-LN(2)/2)*FS94+(1-EXP(-LN(2)/2))/(LN(2)/2)*FM95*FP95*VLOOKUP('Données projet'!$B$16,Paramètres!$A$1:$I$89,3,0)*0.475*44/12</f>
        <v>1.5413807274936497E-4</v>
      </c>
      <c r="FT95" s="22">
        <f t="shared" si="78"/>
        <v>96.118331516005426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328.00000000000017</v>
      </c>
      <c r="GA95" s="17">
        <f>FZ95*VLOOKUP('Données projet'!$B$17,Paramètres!$A$1:$I$89,3,0)*VLOOKUP('Données projet'!$B$17,Paramètres!$A$1:$I$89,5,0)</f>
        <v>266.07360000000017</v>
      </c>
      <c r="GB95" s="13">
        <f t="shared" si="103"/>
        <v>64.015279012301136</v>
      </c>
      <c r="GC95" s="20">
        <f t="shared" si="79"/>
        <v>574.90479761309132</v>
      </c>
      <c r="GD95" s="59">
        <f t="shared" si="80"/>
        <v>868.23813094642469</v>
      </c>
      <c r="GE95" s="59">
        <f ca="1">AVERAGE(OFFSET($GD$3,0,0,'Données projet'!$E$17+1,1))-AVERAGE(OFFSET($H$3,0,0,'Données projet'!$E$17+1,1))</f>
        <v>298.96480270023716</v>
      </c>
      <c r="GF95" s="59">
        <f t="shared" si="104"/>
        <v>293.11447542333889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16.522867768281742</v>
      </c>
      <c r="GM95" s="21">
        <f>EXP(-LN(2)/25)*GM94+(1-EXP(-LN(2)/25))/(LN(2)/25)*Calculateur!GH95*Calculateur!GJ95*VLOOKUP('Données projet'!$B$17,Paramètres!$A$1:$I$89,3,0)*0.475*44/12</f>
        <v>13.38380486297444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29.906672631256182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-1.4210854715202004E-13</v>
      </c>
      <c r="GV95" s="17">
        <f>GU95*VLOOKUP('Données projet'!$B$18,Paramètres!$A$1:$I$89,3,0)*VLOOKUP('Données projet'!$B$18,Paramètres!$A$1:$I$89,5,0)</f>
        <v>-8.128608897095547E-14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320.76883487964511</v>
      </c>
      <c r="HA95" s="59">
        <f t="shared" si="106"/>
        <v>290.51177680335746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130.55356406479495</v>
      </c>
      <c r="HH95" s="21">
        <f>EXP(-LN(2)/25)*HH94+(1-EXP(-LN(2)/25))/(LN(2)/25)*Calculateur!HC95*Calculateur!HE95*VLOOKUP('Données projet'!$B$18,Paramètres!$A$1:$I$89,3,0)*0.475*44/12</f>
        <v>31.550695956158858</v>
      </c>
      <c r="HI95" s="21">
        <f>EXP(-LN(2)/2)*HI94+(1-EXP(-LN(2)/2))/(LN(2)/2)*HC95*HF95*VLOOKUP('Données projet'!$B$18,Paramètres!$A$1:$I$89,3,0)*0.475*44/12</f>
        <v>15.911168654618475</v>
      </c>
      <c r="HJ95" s="22">
        <f t="shared" si="84"/>
        <v>178.01542867557228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279.03330000000039</v>
      </c>
      <c r="AK96" s="13">
        <f t="shared" si="89"/>
        <v>66.762676279521131</v>
      </c>
      <c r="AL96" s="20">
        <f t="shared" si="58"/>
        <v>602.26132535349996</v>
      </c>
      <c r="AM96" s="59">
        <f t="shared" si="59"/>
        <v>895.59465868683333</v>
      </c>
      <c r="AN96" s="59">
        <f ca="1">AVERAGE(OFFSET($AM$3,0,0,'Données projet'!$E$10+1,1))-AVERAGE(OFFSET($H$3,0,0,'Données projet'!$E$10+1,1))</f>
        <v>425.47148407510412</v>
      </c>
      <c r="AO96" s="59">
        <f t="shared" si="90"/>
        <v>308.54448799922471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43.77857234242272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43.77857234242272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213.40000000000006</v>
      </c>
      <c r="BE96" s="13">
        <f>BD96*VLOOKUP('Données projet'!$B$11,Paramètres!$A$1:$I$89,3,0)*VLOOKUP('Données projet'!$B$11,Paramètres!$A$1:$I$89,5,0)</f>
        <v>186.42624000000009</v>
      </c>
      <c r="BF96" s="13">
        <f t="shared" si="91"/>
        <v>46.748974211060826</v>
      </c>
      <c r="BG96" s="20">
        <f t="shared" si="61"/>
        <v>406.11349808426439</v>
      </c>
      <c r="BH96" s="59">
        <f t="shared" si="62"/>
        <v>699.44683141759765</v>
      </c>
      <c r="BI96" s="59">
        <f ca="1">AVERAGE(OFFSET($BH$3,0,0,'Données projet'!$E$11+1,1))-AVERAGE(OFFSET($H$3,0,0,'Données projet'!$E$11+1,1))</f>
        <v>300.63505444445104</v>
      </c>
      <c r="BJ96" s="59">
        <f t="shared" si="92"/>
        <v>266.32508105927997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12.155443480291853</v>
      </c>
      <c r="BQ96" s="21">
        <f>EXP(-LN(2)/25)*BQ95+(1-EXP(-LN(2)/25))/(LN(2)/25)*Calculateur!BL96*Calculateur!BN96*VLOOKUP('Données projet'!$B$11,Paramètres!$A$1:$I$89,3,0)*0.475*44/12</f>
        <v>12.849523983347135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25.004967463638987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212.26923076923075</v>
      </c>
      <c r="BW96" s="12">
        <f>VLOOKUP(A96,'Données projet'!$A$113:$I$133,9,0)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projet'!$A$114&gt;35,BY95+BX96-CG95,IF(A96&lt;'Données projet'!$A$114,$BV$205^A96,IF(A96='Données projet'!$A$114,'Données projet'!$B$114,BY95+BX96-CG95)))</f>
        <v>212.26923076923055</v>
      </c>
      <c r="BZ96" s="13">
        <f>BY96*VLOOKUP('Données projet'!$B$12,Paramètres!$A$1:$I$89,3,0)*VLOOKUP('Données projet'!$B$12,Paramètres!$A$1:$I$89,5,0)</f>
        <v>201.99539999999979</v>
      </c>
      <c r="CA96" s="13">
        <f t="shared" si="93"/>
        <v>50.182442554493718</v>
      </c>
      <c r="CB96" s="20">
        <f t="shared" si="64"/>
        <v>439.2097424490762</v>
      </c>
      <c r="CC96" s="59">
        <f t="shared" si="65"/>
        <v>732.54307578240946</v>
      </c>
      <c r="CD96" s="59">
        <f ca="1">AVERAGE(OFFSET($CC$3,0,0,'Données projet'!$E$12+1,1))-AVERAGE(OFFSET($H$3,0,0,'Données projet'!$E$12+1,1))</f>
        <v>361.26385625423757</v>
      </c>
      <c r="CE96" s="59">
        <f t="shared" si="94"/>
        <v>222.05197404028576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30.083333333333332</v>
      </c>
      <c r="CH96" s="16">
        <f>IF(ISNA(VLOOKUP(A96,'Données projet'!$A$113:$I$133,5,0)),0%,VLOOKUP(A96,'Données projet'!$A$113:$I$133,5,0)*VLOOKUP('Données projet'!$B$12,Paramètres!$A$1:$I$89,7,0))</f>
        <v>0.30099999999999999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25.67490702314516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25.67490702314516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247.00000000000017</v>
      </c>
      <c r="CU96" s="17">
        <f>CT96*VLOOKUP('Données projet'!$B$13,Paramètres!$A$1:$I$89,3,0)*VLOOKUP('Données projet'!$B$13,Paramètres!$A$1:$I$89,5,0)</f>
        <v>223.48560000000012</v>
      </c>
      <c r="CV96" s="13">
        <f t="shared" si="95"/>
        <v>54.87176918107798</v>
      </c>
      <c r="CW96" s="20">
        <f t="shared" si="67"/>
        <v>484.80575132371092</v>
      </c>
      <c r="CX96" s="59">
        <f t="shared" si="68"/>
        <v>778.13908465704424</v>
      </c>
      <c r="CY96" s="59">
        <f ca="1">AVERAGE(OFFSET($CX$3,0,0,'Données projet'!$E$13+1,1))-AVERAGE(OFFSET($H$3,0,0,'Données projet'!$E$13+1,1))</f>
        <v>302.6937347295995</v>
      </c>
      <c r="CZ96" s="59">
        <f t="shared" si="96"/>
        <v>423.44006663873375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0.17396868437952506</v>
      </c>
      <c r="DG96" s="21">
        <f>EXP(-LN(2)/25)*DG95+(1-EXP(-LN(2)/25))/(LN(2)/25)*Calculateur!DB96*Calculateur!DD96*VLOOKUP('Données projet'!$B$13,Paramètres!$A$1:$I$89,3,0)*0.475*44/12</f>
        <v>0.74779661707091449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0.92176530145043956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205.30679999999978</v>
      </c>
      <c r="DQ96" s="13">
        <f t="shared" si="97"/>
        <v>50.908658230590753</v>
      </c>
      <c r="DR96" s="20">
        <f t="shared" si="70"/>
        <v>446.24192308494509</v>
      </c>
      <c r="DS96" s="59">
        <f t="shared" si="71"/>
        <v>739.5752564182784</v>
      </c>
      <c r="DT96" s="59">
        <f ca="1">AVERAGE(OFFSET($DS$3,0,0,'Données projet'!$E$14+1,1))-AVERAGE(OFFSET($H$3,0,0,'Données projet'!$E$14+1,1))</f>
        <v>366.51581861366333</v>
      </c>
      <c r="DU96" s="59">
        <f t="shared" si="98"/>
        <v>225.01415116995503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0.30099999999999999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26.095807138278694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26.095807138278694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328.00000000000017</v>
      </c>
      <c r="EK96" s="17">
        <f>EJ96*VLOOKUP('Données projet'!$B$15,Paramètres!$A$1:$I$89,3,0)*VLOOKUP('Données projet'!$B$15,Paramètres!$A$1:$I$89,5,0)</f>
        <v>255.84000000000015</v>
      </c>
      <c r="EL96" s="13">
        <f t="shared" si="99"/>
        <v>61.834803371075886</v>
      </c>
      <c r="EM96" s="20">
        <f t="shared" si="73"/>
        <v>553.28361587129086</v>
      </c>
      <c r="EN96" s="59">
        <f t="shared" si="74"/>
        <v>846.61694920462423</v>
      </c>
      <c r="EO96" s="59">
        <f ca="1">AVERAGE(OFFSET($EN$3,0,0,'Données projet'!$E$15+1,1))-AVERAGE(OFFSET($H$3,0,0,'Données projet'!$E$15+1,1))</f>
        <v>288.80569134263209</v>
      </c>
      <c r="EP96" s="59">
        <f t="shared" si="100"/>
        <v>283.48738729114024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12.636995094337776</v>
      </c>
      <c r="EW96" s="21">
        <f>EXP(-LN(2)/25)*EW95+(1-EXP(-LN(2)/25))/(LN(2)/25)*Calculateur!ER96*Calculateur!ET96*VLOOKUP('Données projet'!$B$15,Paramètres!$A$1:$I$89,3,0)*0.475*44/12</f>
        <v>10.1554142353488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22.792409329686578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-1.0197709343628959E-13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323.17232038705157</v>
      </c>
      <c r="FK96" s="59">
        <f t="shared" si="102"/>
        <v>402.34685738619197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78.261925184832066</v>
      </c>
      <c r="FR96" s="21">
        <f>EXP(-LN(2)/25)*FR95+(1-EXP(-LN(2)/25))/(LN(2)/25)*Calculateur!FM96*Calculateur!FO96*VLOOKUP('Données projet'!$B$16,Paramètres!$A$1:$I$89,3,0)*0.475*44/12</f>
        <v>15.84541255124298</v>
      </c>
      <c r="FS96" s="21">
        <f>EXP(-LN(2)/2)*FS95+(1-EXP(-LN(2)/2))/(LN(2)/2)*FM96*FP96*VLOOKUP('Données projet'!$B$16,Paramètres!$A$1:$I$89,3,0)*0.475*44/12</f>
        <v>1.0899207648010136E-4</v>
      </c>
      <c r="FT96" s="22">
        <f t="shared" si="78"/>
        <v>94.107446728151515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328.00000000000017</v>
      </c>
      <c r="GA96" s="17">
        <f>FZ96*VLOOKUP('Données projet'!$B$17,Paramètres!$A$1:$I$89,3,0)*VLOOKUP('Données projet'!$B$17,Paramètres!$A$1:$I$89,5,0)</f>
        <v>266.07360000000017</v>
      </c>
      <c r="GB96" s="13">
        <f t="shared" si="103"/>
        <v>64.015279012301136</v>
      </c>
      <c r="GC96" s="20">
        <f t="shared" si="79"/>
        <v>574.90479761309132</v>
      </c>
      <c r="GD96" s="59">
        <f t="shared" si="80"/>
        <v>868.23813094642469</v>
      </c>
      <c r="GE96" s="59">
        <f ca="1">AVERAGE(OFFSET($GD$3,0,0,'Données projet'!$E$17+1,1))-AVERAGE(OFFSET($H$3,0,0,'Données projet'!$E$17+1,1))</f>
        <v>298.96480270023716</v>
      </c>
      <c r="GF96" s="59">
        <f t="shared" si="104"/>
        <v>293.11447542333889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16.198864409299961</v>
      </c>
      <c r="GM96" s="21">
        <f>EXP(-LN(2)/25)*GM95+(1-EXP(-LN(2)/25))/(LN(2)/25)*Calculateur!GH96*Calculateur!GJ96*VLOOKUP('Données projet'!$B$17,Paramètres!$A$1:$I$89,3,0)*0.475*44/12</f>
        <v>13.017824015172696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29.216688424472657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-1.4210854715202004E-13</v>
      </c>
      <c r="GV96" s="17">
        <f>GU96*VLOOKUP('Données projet'!$B$18,Paramètres!$A$1:$I$89,3,0)*VLOOKUP('Données projet'!$B$18,Paramètres!$A$1:$I$89,5,0)</f>
        <v>-8.128608897095547E-14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320.76883487964511</v>
      </c>
      <c r="HA96" s="59">
        <f t="shared" si="106"/>
        <v>290.51177680335746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127.99348830329562</v>
      </c>
      <c r="HH96" s="21">
        <f>EXP(-LN(2)/25)*HH95+(1-EXP(-LN(2)/25))/(LN(2)/25)*Calculateur!HC96*Calculateur!HE96*VLOOKUP('Données projet'!$B$18,Paramètres!$A$1:$I$89,3,0)*0.475*44/12</f>
        <v>30.687940516058703</v>
      </c>
      <c r="HI96" s="21">
        <f>EXP(-LN(2)/2)*HI95+(1-EXP(-LN(2)/2))/(LN(2)/2)*HC96*HF96*VLOOKUP('Données projet'!$B$18,Paramètres!$A$1:$I$89,3,0)*0.475*44/12</f>
        <v>11.250895252283561</v>
      </c>
      <c r="HJ96" s="22">
        <f t="shared" si="84"/>
        <v>169.93232407163788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286.31200000000047</v>
      </c>
      <c r="AK97" s="13">
        <f t="shared" si="89"/>
        <v>68.299180359837749</v>
      </c>
      <c r="AL97" s="20">
        <f t="shared" si="58"/>
        <v>617.6144724600515</v>
      </c>
      <c r="AM97" s="59">
        <f t="shared" si="59"/>
        <v>910.94780579338476</v>
      </c>
      <c r="AN97" s="59">
        <f ca="1">AVERAGE(OFFSET($AM$3,0,0,'Données projet'!$E$10+1,1))-AVERAGE(OFFSET($H$3,0,0,'Données projet'!$E$10+1,1))</f>
        <v>425.47148407510412</v>
      </c>
      <c r="AO97" s="59">
        <f t="shared" si="90"/>
        <v>308.54448799922471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42.92010124108031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42.92010124108031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216.20000000000007</v>
      </c>
      <c r="BE97" s="13">
        <f>BD97*VLOOKUP('Données projet'!$B$11,Paramètres!$A$1:$I$89,3,0)*VLOOKUP('Données projet'!$B$11,Paramètres!$A$1:$I$89,5,0)</f>
        <v>188.87232000000009</v>
      </c>
      <c r="BF97" s="13">
        <f t="shared" si="91"/>
        <v>47.290552503862891</v>
      </c>
      <c r="BG97" s="20">
        <f t="shared" si="61"/>
        <v>411.31700294422802</v>
      </c>
      <c r="BH97" s="59">
        <f t="shared" si="62"/>
        <v>704.65033627756134</v>
      </c>
      <c r="BI97" s="59">
        <f ca="1">AVERAGE(OFFSET($BH$3,0,0,'Données projet'!$E$11+1,1))-AVERAGE(OFFSET($H$3,0,0,'Données projet'!$E$11+1,1))</f>
        <v>300.63505444445104</v>
      </c>
      <c r="BJ97" s="59">
        <f t="shared" si="92"/>
        <v>266.32508105927997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11.917082647731771</v>
      </c>
      <c r="BQ97" s="21">
        <f>EXP(-LN(2)/25)*BQ96+(1-EXP(-LN(2)/25))/(LN(2)/25)*Calculateur!BL97*Calculateur!BN97*VLOOKUP('Données projet'!$B$11,Paramètres!$A$1:$I$89,3,0)*0.475*44/12</f>
        <v>12.498153074295409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24.41523572202718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5.2583333333333373</v>
      </c>
      <c r="BY97" s="12">
        <f>IF('Données projet'!$A$114&gt;35,BY96+BX97-CG96,IF(A97&lt;'Données projet'!$A$114,$BV$205^A97,IF(A97='Données projet'!$A$114,'Données projet'!$B$114,BY96+BX97-CG96)))</f>
        <v>187.44423076923053</v>
      </c>
      <c r="BZ97" s="13">
        <f>BY97*VLOOKUP('Données projet'!$B$12,Paramètres!$A$1:$I$89,3,0)*VLOOKUP('Données projet'!$B$12,Paramètres!$A$1:$I$89,5,0)</f>
        <v>178.37192999999979</v>
      </c>
      <c r="CA97" s="13">
        <f t="shared" si="93"/>
        <v>44.959779268450049</v>
      </c>
      <c r="CB97" s="20">
        <f t="shared" si="64"/>
        <v>388.96939364255013</v>
      </c>
      <c r="CC97" s="59">
        <f t="shared" si="65"/>
        <v>682.30272697588339</v>
      </c>
      <c r="CD97" s="59">
        <f ca="1">AVERAGE(OFFSET($CC$3,0,0,'Données projet'!$E$12+1,1))-AVERAGE(OFFSET($H$3,0,0,'Données projet'!$E$12+1,1))</f>
        <v>361.26385625423757</v>
      </c>
      <c r="CE97" s="59">
        <f t="shared" si="94"/>
        <v>222.05197404028576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25.171437756568256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25.171437756568256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247.00000000000017</v>
      </c>
      <c r="CU97" s="17">
        <f>CT97*VLOOKUP('Données projet'!$B$13,Paramètres!$A$1:$I$89,3,0)*VLOOKUP('Données projet'!$B$13,Paramètres!$A$1:$I$89,5,0)</f>
        <v>223.48560000000012</v>
      </c>
      <c r="CV97" s="13">
        <f t="shared" si="95"/>
        <v>54.87176918107798</v>
      </c>
      <c r="CW97" s="20">
        <f t="shared" si="67"/>
        <v>484.80575132371092</v>
      </c>
      <c r="CX97" s="59">
        <f t="shared" si="68"/>
        <v>778.13908465704424</v>
      </c>
      <c r="CY97" s="59">
        <f ca="1">AVERAGE(OFFSET($CX$3,0,0,'Données projet'!$E$13+1,1))-AVERAGE(OFFSET($H$3,0,0,'Données projet'!$E$13+1,1))</f>
        <v>302.6937347295995</v>
      </c>
      <c r="CZ97" s="59">
        <f t="shared" si="96"/>
        <v>423.44006663873375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0.17055726458926251</v>
      </c>
      <c r="DG97" s="21">
        <f>EXP(-LN(2)/25)*DG96+(1-EXP(-LN(2)/25))/(LN(2)/25)*Calculateur!DB97*Calculateur!DD97*VLOOKUP('Données projet'!$B$13,Paramètres!$A$1:$I$89,3,0)*0.475*44/12</f>
        <v>0.72734807925219536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0.89790534384145793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181.29605999999978</v>
      </c>
      <c r="DQ97" s="13">
        <f t="shared" si="97"/>
        <v>45.610415125067746</v>
      </c>
      <c r="DR97" s="20">
        <f t="shared" si="70"/>
        <v>395.19544417615924</v>
      </c>
      <c r="DS97" s="59">
        <f t="shared" si="71"/>
        <v>688.52877750949256</v>
      </c>
      <c r="DT97" s="59">
        <f ca="1">AVERAGE(OFFSET($DS$3,0,0,'Données projet'!$E$14+1,1))-AVERAGE(OFFSET($H$3,0,0,'Données projet'!$E$14+1,1))</f>
        <v>366.51581861366333</v>
      </c>
      <c r="DU97" s="59">
        <f t="shared" si="98"/>
        <v>225.01415116995503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25.584084277167744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25.584084277167744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328.00000000000017</v>
      </c>
      <c r="EK97" s="17">
        <f>EJ97*VLOOKUP('Données projet'!$B$15,Paramètres!$A$1:$I$89,3,0)*VLOOKUP('Données projet'!$B$15,Paramètres!$A$1:$I$89,5,0)</f>
        <v>255.84000000000015</v>
      </c>
      <c r="EL97" s="13">
        <f t="shared" si="99"/>
        <v>61.834803371075886</v>
      </c>
      <c r="EM97" s="20">
        <f t="shared" si="73"/>
        <v>553.28361587129086</v>
      </c>
      <c r="EN97" s="59">
        <f t="shared" si="74"/>
        <v>846.61694920462423</v>
      </c>
      <c r="EO97" s="59">
        <f ca="1">AVERAGE(OFFSET($EN$3,0,0,'Données projet'!$E$15+1,1))-AVERAGE(OFFSET($H$3,0,0,'Données projet'!$E$15+1,1))</f>
        <v>288.80569134263209</v>
      </c>
      <c r="EP97" s="59">
        <f t="shared" si="100"/>
        <v>283.48738729114024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12.389191328343736</v>
      </c>
      <c r="EW97" s="21">
        <f>EXP(-LN(2)/25)*EW96+(1-EXP(-LN(2)/25))/(LN(2)/25)*Calculateur!ER97*Calculateur!ET97*VLOOKUP('Données projet'!$B$15,Paramètres!$A$1:$I$89,3,0)*0.475*44/12</f>
        <v>9.8777138990331625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22.266905227376899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-1.0197709343628959E-13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323.17232038705157</v>
      </c>
      <c r="FK97" s="59">
        <f t="shared" si="102"/>
        <v>402.34685738619197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76.727256567018429</v>
      </c>
      <c r="FR97" s="21">
        <f>EXP(-LN(2)/25)*FR96+(1-EXP(-LN(2)/25))/(LN(2)/25)*Calculateur!FM97*Calculateur!FO97*VLOOKUP('Données projet'!$B$16,Paramètres!$A$1:$I$89,3,0)*0.475*44/12</f>
        <v>15.41211891175521</v>
      </c>
      <c r="FS97" s="21">
        <f>EXP(-LN(2)/2)*FS96+(1-EXP(-LN(2)/2))/(LN(2)/2)*FM97*FP97*VLOOKUP('Données projet'!$B$16,Paramètres!$A$1:$I$89,3,0)*0.475*44/12</f>
        <v>7.7069036374682485E-5</v>
      </c>
      <c r="FT97" s="22">
        <f t="shared" si="78"/>
        <v>92.139452547810023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328.00000000000017</v>
      </c>
      <c r="GA97" s="17">
        <f>FZ97*VLOOKUP('Données projet'!$B$17,Paramètres!$A$1:$I$89,3,0)*VLOOKUP('Données projet'!$B$17,Paramètres!$A$1:$I$89,5,0)</f>
        <v>266.07360000000017</v>
      </c>
      <c r="GB97" s="13">
        <f t="shared" si="103"/>
        <v>64.015279012301136</v>
      </c>
      <c r="GC97" s="20">
        <f t="shared" si="79"/>
        <v>574.90479761309132</v>
      </c>
      <c r="GD97" s="59">
        <f t="shared" si="80"/>
        <v>868.23813094642469</v>
      </c>
      <c r="GE97" s="59">
        <f ca="1">AVERAGE(OFFSET($GD$3,0,0,'Données projet'!$E$17+1,1))-AVERAGE(OFFSET($H$3,0,0,'Données projet'!$E$17+1,1))</f>
        <v>298.96480270023716</v>
      </c>
      <c r="GF97" s="59">
        <f t="shared" si="104"/>
        <v>293.11447542333889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15.881214558565278</v>
      </c>
      <c r="GM97" s="21">
        <f>EXP(-LN(2)/25)*GM96+(1-EXP(-LN(2)/25))/(LN(2)/25)*Calculateur!GH97*Calculateur!GJ97*VLOOKUP('Données projet'!$B$17,Paramètres!$A$1:$I$89,3,0)*0.475*44/12</f>
        <v>12.661850932900187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28.543065491465462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-1.4210854715202004E-13</v>
      </c>
      <c r="GV97" s="17">
        <f>GU97*VLOOKUP('Données projet'!$B$18,Paramètres!$A$1:$I$89,3,0)*VLOOKUP('Données projet'!$B$18,Paramètres!$A$1:$I$89,5,0)</f>
        <v>-8.128608897095547E-14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320.76883487964511</v>
      </c>
      <c r="HA97" s="59">
        <f t="shared" si="106"/>
        <v>290.51177680335746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125.48361406598725</v>
      </c>
      <c r="HH97" s="21">
        <f>EXP(-LN(2)/25)*HH96+(1-EXP(-LN(2)/25))/(LN(2)/25)*Calculateur!HC97*Calculateur!HE97*VLOOKUP('Données projet'!$B$18,Paramètres!$A$1:$I$89,3,0)*0.475*44/12</f>
        <v>29.848777168838424</v>
      </c>
      <c r="HI97" s="21">
        <f>EXP(-LN(2)/2)*HI96+(1-EXP(-LN(2)/2))/(LN(2)/2)*HC97*HF97*VLOOKUP('Données projet'!$B$18,Paramètres!$A$1:$I$89,3,0)*0.475*44/12</f>
        <v>7.9555843273092393</v>
      </c>
      <c r="HJ97" s="22">
        <f t="shared" si="84"/>
        <v>163.28797556213493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293.59070000000042</v>
      </c>
      <c r="AK98" s="13">
        <f t="shared" si="89"/>
        <v>69.831143895049522</v>
      </c>
      <c r="AL98" s="20">
        <f t="shared" si="58"/>
        <v>632.95971145054534</v>
      </c>
      <c r="AM98" s="59">
        <f t="shared" si="59"/>
        <v>926.29304478387871</v>
      </c>
      <c r="AN98" s="59">
        <f ca="1">AVERAGE(OFFSET($AM$3,0,0,'Données projet'!$E$10+1,1))-AVERAGE(OFFSET($H$3,0,0,'Données projet'!$E$10+1,1))</f>
        <v>425.47148407510412</v>
      </c>
      <c r="AO98" s="59">
        <f t="shared" si="90"/>
        <v>308.54448799922471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42.078464234419556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42.078464234419556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219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219.00000000000009</v>
      </c>
      <c r="BE98" s="13">
        <f>BD98*VLOOKUP('Données projet'!$B$11,Paramètres!$A$1:$I$89,3,0)*VLOOKUP('Données projet'!$B$11,Paramètres!$A$1:$I$89,5,0)</f>
        <v>191.31840000000008</v>
      </c>
      <c r="BF98" s="13">
        <f t="shared" si="91"/>
        <v>47.831314962098396</v>
      </c>
      <c r="BG98" s="20">
        <f t="shared" si="61"/>
        <v>416.51908689232147</v>
      </c>
      <c r="BH98" s="59">
        <f t="shared" si="62"/>
        <v>709.85242022565478</v>
      </c>
      <c r="BI98" s="59">
        <f ca="1">AVERAGE(OFFSET($BH$3,0,0,'Données projet'!$E$11+1,1))-AVERAGE(OFFSET($H$3,0,0,'Données projet'!$E$11+1,1))</f>
        <v>300.63505444445104</v>
      </c>
      <c r="BJ98" s="59">
        <f t="shared" si="92"/>
        <v>266.32508105927997</v>
      </c>
      <c r="BK98" s="15">
        <f>IF(ISNA(VLOOKUP(A98,'Données projet'!$A$87:$I$107,3,0)),0,VLOOKUP(A98,'Données projet'!$A$87:$I$107,3,0))</f>
        <v>16</v>
      </c>
      <c r="BL98" s="15" t="str">
        <f>IF(ISNA(VLOOKUP(A98,'Données projet'!$A$87:$I$107,4,0)),0,VLOOKUP(A98,'Données projet'!$A$87:$I$107,4,0))</f>
        <v>11</v>
      </c>
      <c r="BM98" s="16">
        <f>IF(ISNA(VLOOKUP(A98,'Données projet'!$A$87:$I$107,5,0)),0%,VLOOKUP(A98,'Données projet'!$A$87:$I$107,5,0)*VLOOKUP('Données projet'!$B$11,Paramètres!$A$1:$I$89,7,0))</f>
        <v>0.215</v>
      </c>
      <c r="BN98" s="16">
        <f>IF(ISNA(VLOOKUP(A98,'Données projet'!$A$87:$I$107,6,0)),0%,VLOOKUP(A98,'Données projet'!$A$87:$I$107,6,0)*VLOOKUP('Données projet'!$B$11,Paramètres!$A$1:$I$89,7,0))</f>
        <v>0.17200000000000001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13.967368479931807</v>
      </c>
      <c r="BQ98" s="21">
        <f>EXP(-LN(2)/25)*BQ97+(1-EXP(-LN(2)/25))/(LN(2)/25)*Calculateur!BL98*Calculateur!BN98*VLOOKUP('Données projet'!$B$11,Paramètres!$A$1:$I$89,3,0)*0.475*44/12</f>
        <v>13.976374168438802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27.943742648370609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5.2583333333333373</v>
      </c>
      <c r="BY98" s="12">
        <f>IF('Données projet'!$A$114&gt;35,BY97+BX98-CG97,IF(A98&lt;'Données projet'!$A$114,$BV$205^A98,IF(A98='Données projet'!$A$114,'Données projet'!$B$114,BY97+BX98-CG97)))</f>
        <v>192.70256410256385</v>
      </c>
      <c r="BZ98" s="13">
        <f>BY98*VLOOKUP('Données projet'!$B$12,Paramètres!$A$1:$I$89,3,0)*VLOOKUP('Données projet'!$B$12,Paramètres!$A$1:$I$89,5,0)</f>
        <v>183.37575999999976</v>
      </c>
      <c r="CA98" s="13">
        <f t="shared" si="93"/>
        <v>46.072416475172908</v>
      </c>
      <c r="CB98" s="20">
        <f t="shared" si="64"/>
        <v>399.62224069425901</v>
      </c>
      <c r="CC98" s="59">
        <f t="shared" si="65"/>
        <v>692.95557402759232</v>
      </c>
      <c r="CD98" s="59">
        <f ca="1">AVERAGE(OFFSET($CC$3,0,0,'Données projet'!$E$12+1,1))-AVERAGE(OFFSET($H$3,0,0,'Données projet'!$E$12+1,1))</f>
        <v>361.26385625423757</v>
      </c>
      <c r="CE98" s="59">
        <f t="shared" si="94"/>
        <v>222.05197404028576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24.677841215222994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24.677841215222994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247.00000000000017</v>
      </c>
      <c r="CU98" s="17">
        <f>CT98*VLOOKUP('Données projet'!$B$13,Paramètres!$A$1:$I$89,3,0)*VLOOKUP('Données projet'!$B$13,Paramètres!$A$1:$I$89,5,0)</f>
        <v>223.48560000000012</v>
      </c>
      <c r="CV98" s="13">
        <f t="shared" si="95"/>
        <v>54.87176918107798</v>
      </c>
      <c r="CW98" s="20">
        <f t="shared" si="67"/>
        <v>484.80575132371092</v>
      </c>
      <c r="CX98" s="59">
        <f t="shared" si="68"/>
        <v>778.13908465704424</v>
      </c>
      <c r="CY98" s="59">
        <f ca="1">AVERAGE(OFFSET($CX$3,0,0,'Données projet'!$E$13+1,1))-AVERAGE(OFFSET($H$3,0,0,'Données projet'!$E$13+1,1))</f>
        <v>302.6937347295995</v>
      </c>
      <c r="CZ98" s="59">
        <f t="shared" si="96"/>
        <v>423.44006663873375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0.1672127406603264</v>
      </c>
      <c r="DG98" s="21">
        <f>EXP(-LN(2)/25)*DG97+(1-EXP(-LN(2)/25))/(LN(2)/25)*Calculateur!DB98*Calculateur!DD98*VLOOKUP('Données projet'!$B$13,Paramètres!$A$1:$I$89,3,0)*0.475*44/12</f>
        <v>0.70745870777547093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0.87467144843579736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186.38191999999978</v>
      </c>
      <c r="DQ98" s="13">
        <f t="shared" si="97"/>
        <v>46.739153871297241</v>
      </c>
      <c r="DR98" s="20">
        <f t="shared" si="70"/>
        <v>406.01920365917562</v>
      </c>
      <c r="DS98" s="59">
        <f t="shared" si="71"/>
        <v>699.35253699250893</v>
      </c>
      <c r="DT98" s="59">
        <f ca="1">AVERAGE(OFFSET($DS$3,0,0,'Données projet'!$E$14+1,1))-AVERAGE(OFFSET($H$3,0,0,'Données projet'!$E$14+1,1))</f>
        <v>366.51581861366333</v>
      </c>
      <c r="DU98" s="59">
        <f t="shared" si="98"/>
        <v>225.01415116995503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25.082395989243054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25.082395989243054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328.00000000000017</v>
      </c>
      <c r="EK98" s="17">
        <f>EJ98*VLOOKUP('Données projet'!$B$15,Paramètres!$A$1:$I$89,3,0)*VLOOKUP('Données projet'!$B$15,Paramètres!$A$1:$I$89,5,0)</f>
        <v>255.84000000000015</v>
      </c>
      <c r="EL98" s="13">
        <f t="shared" si="99"/>
        <v>61.834803371075886</v>
      </c>
      <c r="EM98" s="20">
        <f t="shared" si="73"/>
        <v>553.28361587129086</v>
      </c>
      <c r="EN98" s="59">
        <f t="shared" si="74"/>
        <v>846.61694920462423</v>
      </c>
      <c r="EO98" s="59">
        <f ca="1">AVERAGE(OFFSET($EN$3,0,0,'Données projet'!$E$15+1,1))-AVERAGE(OFFSET($H$3,0,0,'Données projet'!$E$15+1,1))</f>
        <v>288.80569134263209</v>
      </c>
      <c r="EP98" s="59">
        <f t="shared" si="100"/>
        <v>283.48738729114024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12.146246843055469</v>
      </c>
      <c r="EW98" s="21">
        <f>EXP(-LN(2)/25)*EW97+(1-EXP(-LN(2)/25))/(LN(2)/25)*Calculateur!ER98*Calculateur!ET98*VLOOKUP('Données projet'!$B$15,Paramètres!$A$1:$I$89,3,0)*0.475*44/12</f>
        <v>9.6076072930177023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21.753854136073173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-1.0197709343628959E-13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323.17232038705157</v>
      </c>
      <c r="FK98" s="59">
        <f t="shared" si="102"/>
        <v>402.34685738619197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75.222681864744686</v>
      </c>
      <c r="FR98" s="21">
        <f>EXP(-LN(2)/25)*FR97+(1-EXP(-LN(2)/25))/(LN(2)/25)*Calculateur!FM98*Calculateur!FO98*VLOOKUP('Données projet'!$B$16,Paramètres!$A$1:$I$89,3,0)*0.475*44/12</f>
        <v>14.990673709625154</v>
      </c>
      <c r="FS98" s="21">
        <f>EXP(-LN(2)/2)*FS97+(1-EXP(-LN(2)/2))/(LN(2)/2)*FM98*FP98*VLOOKUP('Données projet'!$B$16,Paramètres!$A$1:$I$89,3,0)*0.475*44/12</f>
        <v>5.4496038240050681E-5</v>
      </c>
      <c r="FT98" s="22">
        <f t="shared" si="78"/>
        <v>90.213410070408088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328.00000000000017</v>
      </c>
      <c r="GA98" s="17">
        <f>FZ98*VLOOKUP('Données projet'!$B$17,Paramètres!$A$1:$I$89,3,0)*VLOOKUP('Données projet'!$B$17,Paramètres!$A$1:$I$89,5,0)</f>
        <v>266.07360000000017</v>
      </c>
      <c r="GB98" s="13">
        <f t="shared" si="103"/>
        <v>64.015279012301136</v>
      </c>
      <c r="GC98" s="20">
        <f t="shared" si="79"/>
        <v>574.90479761309132</v>
      </c>
      <c r="GD98" s="59">
        <f t="shared" si="80"/>
        <v>868.23813094642469</v>
      </c>
      <c r="GE98" s="59">
        <f ca="1">AVERAGE(OFFSET($GD$3,0,0,'Données projet'!$E$17+1,1))-AVERAGE(OFFSET($H$3,0,0,'Données projet'!$E$17+1,1))</f>
        <v>298.96480270023716</v>
      </c>
      <c r="GF98" s="59">
        <f t="shared" si="104"/>
        <v>293.11447542333889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15.569793627656223</v>
      </c>
      <c r="GM98" s="21">
        <f>EXP(-LN(2)/25)*GM97+(1-EXP(-LN(2)/25))/(LN(2)/25)*Calculateur!GH98*Calculateur!GJ98*VLOOKUP('Données projet'!$B$17,Paramètres!$A$1:$I$89,3,0)*0.475*44/12</f>
        <v>12.315611953282229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27.885405580938453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-1.4210854715202004E-13</v>
      </c>
      <c r="GV98" s="17">
        <f>GU98*VLOOKUP('Données projet'!$B$18,Paramètres!$A$1:$I$89,3,0)*VLOOKUP('Données projet'!$B$18,Paramètres!$A$1:$I$89,5,0)</f>
        <v>-8.128608897095547E-14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320.76883487964511</v>
      </c>
      <c r="HA98" s="59">
        <f t="shared" si="106"/>
        <v>290.51177680335746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123.02295693160038</v>
      </c>
      <c r="HH98" s="21">
        <f>EXP(-LN(2)/25)*HH97+(1-EXP(-LN(2)/25))/(LN(2)/25)*Calculateur!HC98*Calculateur!HE98*VLOOKUP('Données projet'!$B$18,Paramètres!$A$1:$I$89,3,0)*0.475*44/12</f>
        <v>29.032560787477568</v>
      </c>
      <c r="HI98" s="21">
        <f>EXP(-LN(2)/2)*HI97+(1-EXP(-LN(2)/2))/(LN(2)/2)*HC98*HF98*VLOOKUP('Données projet'!$B$18,Paramètres!$A$1:$I$89,3,0)*0.475*44/12</f>
        <v>5.6254476261417814</v>
      </c>
      <c r="HJ98" s="22">
        <f t="shared" si="84"/>
        <v>157.68096534521973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300.8694000000005</v>
      </c>
      <c r="AK99" s="13">
        <f t="shared" si="89"/>
        <v>71.35869240224595</v>
      </c>
      <c r="AL99" s="20">
        <f t="shared" si="58"/>
        <v>648.29726093391253</v>
      </c>
      <c r="AM99" s="59">
        <f t="shared" si="59"/>
        <v>941.6305942672459</v>
      </c>
      <c r="AN99" s="59">
        <f ca="1">AVERAGE(OFFSET($AM$3,0,0,'Données projet'!$E$10+1,1))-AVERAGE(OFFSET($H$3,0,0,'Données projet'!$E$10+1,1))</f>
        <v>425.47148407510412</v>
      </c>
      <c r="AO99" s="59">
        <f t="shared" si="90"/>
        <v>308.54448799922471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41.253331216111533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41.253331216111533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211.00000000000009</v>
      </c>
      <c r="BE99" s="13">
        <f>BD99*VLOOKUP('Données projet'!$B$11,Paramètres!$A$1:$I$89,3,0)*VLOOKUP('Données projet'!$B$11,Paramètres!$A$1:$I$89,5,0)</f>
        <v>184.32960000000008</v>
      </c>
      <c r="BF99" s="13">
        <f t="shared" si="91"/>
        <v>46.284105851003098</v>
      </c>
      <c r="BG99" s="20">
        <f t="shared" si="61"/>
        <v>401.65220435716384</v>
      </c>
      <c r="BH99" s="59">
        <f t="shared" si="62"/>
        <v>694.98553769049715</v>
      </c>
      <c r="BI99" s="59">
        <f ca="1">AVERAGE(OFFSET($BH$3,0,0,'Données projet'!$E$11+1,1))-AVERAGE(OFFSET($H$3,0,0,'Données projet'!$E$11+1,1))</f>
        <v>300.63505444445104</v>
      </c>
      <c r="BJ99" s="59">
        <f t="shared" si="92"/>
        <v>266.32508105927997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13.693476903293911</v>
      </c>
      <c r="BQ99" s="21">
        <f>EXP(-LN(2)/25)*BQ98+(1-EXP(-LN(2)/25))/(LN(2)/25)*Calculateur!BL99*Calculateur!BN99*VLOOKUP('Données projet'!$B$11,Paramètres!$A$1:$I$89,3,0)*0.475*44/12</f>
        <v>13.594189481817269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27.28766638511118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5.2583333333333373</v>
      </c>
      <c r="BY99" s="12">
        <f>IF('Données projet'!$A$114&gt;35,BY98+BX99-CG98,IF(A99&lt;'Données projet'!$A$114,$BV$205^A99,IF(A99='Données projet'!$A$114,'Données projet'!$B$114,BY98+BX99-CG98)))</f>
        <v>197.96089743589718</v>
      </c>
      <c r="BZ99" s="13">
        <f>BY99*VLOOKUP('Données projet'!$B$12,Paramètres!$A$1:$I$89,3,0)*VLOOKUP('Données projet'!$B$12,Paramètres!$A$1:$I$89,5,0)</f>
        <v>188.37958999999975</v>
      </c>
      <c r="CA99" s="13">
        <f t="shared" si="93"/>
        <v>47.181524820464901</v>
      </c>
      <c r="CB99" s="20">
        <f t="shared" si="64"/>
        <v>410.26894164564254</v>
      </c>
      <c r="CC99" s="59">
        <f t="shared" si="65"/>
        <v>703.60227497897586</v>
      </c>
      <c r="CD99" s="59">
        <f ca="1">AVERAGE(OFFSET($CC$3,0,0,'Données projet'!$E$12+1,1))-AVERAGE(OFFSET($H$3,0,0,'Données projet'!$E$12+1,1))</f>
        <v>361.26385625423757</v>
      </c>
      <c r="CE99" s="59">
        <f t="shared" si="94"/>
        <v>222.05197404028576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24.193923800989353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24.193923800989353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247.00000000000017</v>
      </c>
      <c r="CU99" s="17">
        <f>CT99*VLOOKUP('Données projet'!$B$13,Paramètres!$A$1:$I$89,3,0)*VLOOKUP('Données projet'!$B$13,Paramètres!$A$1:$I$89,5,0)</f>
        <v>223.48560000000012</v>
      </c>
      <c r="CV99" s="13">
        <f t="shared" si="95"/>
        <v>54.87176918107798</v>
      </c>
      <c r="CW99" s="20">
        <f t="shared" si="67"/>
        <v>484.80575132371092</v>
      </c>
      <c r="CX99" s="59">
        <f t="shared" si="68"/>
        <v>778.13908465704424</v>
      </c>
      <c r="CY99" s="59">
        <f ca="1">AVERAGE(OFFSET($CX$3,0,0,'Données projet'!$E$13+1,1))-AVERAGE(OFFSET($H$3,0,0,'Données projet'!$E$13+1,1))</f>
        <v>302.6937347295995</v>
      </c>
      <c r="CZ99" s="59">
        <f t="shared" si="96"/>
        <v>423.44006663873375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0.16393380080567857</v>
      </c>
      <c r="DG99" s="21">
        <f>EXP(-LN(2)/25)*DG98+(1-EXP(-LN(2)/25))/(LN(2)/25)*Calculateur!DB99*Calculateur!DD99*VLOOKUP('Données projet'!$B$13,Paramètres!$A$1:$I$89,3,0)*0.475*44/12</f>
        <v>0.68811321220771415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0.8520470130133927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191.46777999999978</v>
      </c>
      <c r="DQ99" s="13">
        <f t="shared" si="97"/>
        <v>47.864312688145425</v>
      </c>
      <c r="DR99" s="20">
        <f t="shared" si="70"/>
        <v>416.83672809851947</v>
      </c>
      <c r="DS99" s="59">
        <f t="shared" si="71"/>
        <v>710.17006143185279</v>
      </c>
      <c r="DT99" s="59">
        <f ca="1">AVERAGE(OFFSET($DS$3,0,0,'Données projet'!$E$14+1,1))-AVERAGE(OFFSET($H$3,0,0,'Données projet'!$E$14+1,1))</f>
        <v>366.51581861366333</v>
      </c>
      <c r="DU99" s="59">
        <f t="shared" si="98"/>
        <v>225.01415116995503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24.590545502644925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24.590545502644925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328.00000000000017</v>
      </c>
      <c r="EK99" s="17">
        <f>EJ99*VLOOKUP('Données projet'!$B$15,Paramètres!$A$1:$I$89,3,0)*VLOOKUP('Données projet'!$B$15,Paramètres!$A$1:$I$89,5,0)</f>
        <v>255.84000000000015</v>
      </c>
      <c r="EL99" s="13">
        <f t="shared" si="99"/>
        <v>61.834803371075886</v>
      </c>
      <c r="EM99" s="20">
        <f t="shared" si="73"/>
        <v>553.28361587129086</v>
      </c>
      <c r="EN99" s="59">
        <f t="shared" si="74"/>
        <v>846.61694920462423</v>
      </c>
      <c r="EO99" s="59">
        <f ca="1">AVERAGE(OFFSET($EN$3,0,0,'Données projet'!$E$15+1,1))-AVERAGE(OFFSET($H$3,0,0,'Données projet'!$E$15+1,1))</f>
        <v>288.80569134263209</v>
      </c>
      <c r="EP99" s="59">
        <f t="shared" si="100"/>
        <v>283.48738729114024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11.908066350942198</v>
      </c>
      <c r="EW99" s="21">
        <f>EXP(-LN(2)/25)*EW98+(1-EXP(-LN(2)/25))/(LN(2)/25)*Calculateur!ER99*Calculateur!ET99*VLOOKUP('Données projet'!$B$15,Paramètres!$A$1:$I$89,3,0)*0.475*44/12</f>
        <v>9.344886766348024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21.252953117290222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-1.0197709343628959E-13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323.17232038705157</v>
      </c>
      <c r="FK99" s="59">
        <f t="shared" si="102"/>
        <v>402.34685738619197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73.747610954682571</v>
      </c>
      <c r="FR99" s="21">
        <f>EXP(-LN(2)/25)*FR98+(1-EXP(-LN(2)/25))/(LN(2)/25)*Calculateur!FM99*Calculateur!FO99*VLOOKUP('Données projet'!$B$16,Paramètres!$A$1:$I$89,3,0)*0.475*44/12</f>
        <v>14.580752948710186</v>
      </c>
      <c r="FS99" s="21">
        <f>EXP(-LN(2)/2)*FS98+(1-EXP(-LN(2)/2))/(LN(2)/2)*FM99*FP99*VLOOKUP('Données projet'!$B$16,Paramètres!$A$1:$I$89,3,0)*0.475*44/12</f>
        <v>3.8534518187341243E-5</v>
      </c>
      <c r="FT99" s="22">
        <f t="shared" si="78"/>
        <v>88.328402437910938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328.00000000000017</v>
      </c>
      <c r="GA99" s="17">
        <f>FZ99*VLOOKUP('Données projet'!$B$17,Paramètres!$A$1:$I$89,3,0)*VLOOKUP('Données projet'!$B$17,Paramètres!$A$1:$I$89,5,0)</f>
        <v>266.07360000000017</v>
      </c>
      <c r="GB99" s="13">
        <f t="shared" si="103"/>
        <v>64.015279012301136</v>
      </c>
      <c r="GC99" s="20">
        <f t="shared" si="79"/>
        <v>574.90479761309132</v>
      </c>
      <c r="GD99" s="59">
        <f t="shared" si="80"/>
        <v>868.23813094642469</v>
      </c>
      <c r="GE99" s="59">
        <f ca="1">AVERAGE(OFFSET($GD$3,0,0,'Données projet'!$E$17+1,1))-AVERAGE(OFFSET($H$3,0,0,'Données projet'!$E$17+1,1))</f>
        <v>298.96480270023716</v>
      </c>
      <c r="GF99" s="59">
        <f t="shared" si="104"/>
        <v>293.11447542333889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15.264479471254282</v>
      </c>
      <c r="GM99" s="21">
        <f>EXP(-LN(2)/25)*GM98+(1-EXP(-LN(2)/25))/(LN(2)/25)*Calculateur!GH99*Calculateur!GJ99*VLOOKUP('Données projet'!$B$17,Paramètres!$A$1:$I$89,3,0)*0.475*44/12</f>
        <v>11.978840896769841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27.243320368024122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-1.4210854715202004E-13</v>
      </c>
      <c r="GV99" s="17">
        <f>GU99*VLOOKUP('Données projet'!$B$18,Paramètres!$A$1:$I$89,3,0)*VLOOKUP('Données projet'!$B$18,Paramètres!$A$1:$I$89,5,0)</f>
        <v>-8.128608897095547E-14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320.76883487964511</v>
      </c>
      <c r="HA99" s="59">
        <f t="shared" si="106"/>
        <v>290.51177680335746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120.61055178276617</v>
      </c>
      <c r="HH99" s="21">
        <f>EXP(-LN(2)/25)*HH98+(1-EXP(-LN(2)/25))/(LN(2)/25)*Calculateur!HC99*Calculateur!HE99*VLOOKUP('Données projet'!$B$18,Paramètres!$A$1:$I$89,3,0)*0.475*44/12</f>
        <v>28.238663885987975</v>
      </c>
      <c r="HI99" s="21">
        <f>EXP(-LN(2)/2)*HI98+(1-EXP(-LN(2)/2))/(LN(2)/2)*HC99*HF99*VLOOKUP('Données projet'!$B$18,Paramètres!$A$1:$I$89,3,0)*0.475*44/12</f>
        <v>3.9777921636546201</v>
      </c>
      <c r="HJ99" s="22">
        <f t="shared" si="84"/>
        <v>152.82700783240875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308.14810000000051</v>
      </c>
      <c r="AK100" s="13">
        <f t="shared" si="89"/>
        <v>72.881944979142219</v>
      </c>
      <c r="AL100" s="20">
        <f t="shared" si="58"/>
        <v>663.62732833867358</v>
      </c>
      <c r="AM100" s="59">
        <f t="shared" si="59"/>
        <v>956.96066167200684</v>
      </c>
      <c r="AN100" s="59">
        <f ca="1">AVERAGE(OFFSET($AM$3,0,0,'Données projet'!$E$10+1,1))-AVERAGE(OFFSET($H$3,0,0,'Données projet'!$E$10+1,1))</f>
        <v>425.47148407510412</v>
      </c>
      <c r="AO100" s="59">
        <f t="shared" si="90"/>
        <v>308.54448799922471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40.444378553011084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40.444378553011084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214.00000000000009</v>
      </c>
      <c r="BE100" s="13">
        <f>BD100*VLOOKUP('Données projet'!$B$11,Paramètres!$A$1:$I$89,3,0)*VLOOKUP('Données projet'!$B$11,Paramètres!$A$1:$I$89,5,0)</f>
        <v>186.95040000000009</v>
      </c>
      <c r="BF100" s="13">
        <f t="shared" si="91"/>
        <v>46.865095976617653</v>
      </c>
      <c r="BG100" s="20">
        <f t="shared" si="61"/>
        <v>407.22865549260922</v>
      </c>
      <c r="BH100" s="59">
        <f t="shared" si="62"/>
        <v>700.56198882594254</v>
      </c>
      <c r="BI100" s="59">
        <f ca="1">AVERAGE(OFFSET($BH$3,0,0,'Données projet'!$E$11+1,1))-AVERAGE(OFFSET($H$3,0,0,'Données projet'!$E$11+1,1))</f>
        <v>300.63505444445104</v>
      </c>
      <c r="BJ100" s="59">
        <f t="shared" si="92"/>
        <v>266.32508105927997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13.424956173416518</v>
      </c>
      <c r="BQ100" s="21">
        <f>EXP(-LN(2)/25)*BQ99+(1-EXP(-LN(2)/25))/(LN(2)/25)*Calculateur!BL100*Calculateur!BN100*VLOOKUP('Données projet'!$B$11,Paramètres!$A$1:$I$89,3,0)*0.475*44/12</f>
        <v>13.22245565554962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26.647411828966138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5.2583333333333373</v>
      </c>
      <c r="BY100" s="12">
        <f>IF('Données projet'!$A$114&gt;35,BY99+BX100-CG99,IF(A100&lt;'Données projet'!$A$114,$BV$205^A100,IF(A100='Données projet'!$A$114,'Données projet'!$B$114,BY99+BX100-CG99)))</f>
        <v>203.21923076923051</v>
      </c>
      <c r="BZ100" s="13">
        <f>BY100*VLOOKUP('Données projet'!$B$12,Paramètres!$A$1:$I$89,3,0)*VLOOKUP('Données projet'!$B$12,Paramètres!$A$1:$I$89,5,0)</f>
        <v>193.38341999999975</v>
      </c>
      <c r="CA100" s="13">
        <f t="shared" si="93"/>
        <v>48.287208813717676</v>
      </c>
      <c r="CB100" s="20">
        <f t="shared" si="64"/>
        <v>420.90967851722456</v>
      </c>
      <c r="CC100" s="59">
        <f t="shared" si="65"/>
        <v>714.24301185055788</v>
      </c>
      <c r="CD100" s="59">
        <f ca="1">AVERAGE(OFFSET($CC$3,0,0,'Données projet'!$E$12+1,1))-AVERAGE(OFFSET($H$3,0,0,'Données projet'!$E$12+1,1))</f>
        <v>361.26385625423757</v>
      </c>
      <c r="CE100" s="59">
        <f t="shared" si="94"/>
        <v>222.05197404028576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23.719495712088353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23.719495712088353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247.00000000000017</v>
      </c>
      <c r="CU100" s="17">
        <f>CT100*VLOOKUP('Données projet'!$B$13,Paramètres!$A$1:$I$89,3,0)*VLOOKUP('Données projet'!$B$13,Paramètres!$A$1:$I$89,5,0)</f>
        <v>223.48560000000012</v>
      </c>
      <c r="CV100" s="13">
        <f t="shared" si="95"/>
        <v>54.87176918107798</v>
      </c>
      <c r="CW100" s="20">
        <f t="shared" si="67"/>
        <v>484.80575132371092</v>
      </c>
      <c r="CX100" s="59">
        <f t="shared" si="68"/>
        <v>778.13908465704424</v>
      </c>
      <c r="CY100" s="59">
        <f ca="1">AVERAGE(OFFSET($CX$3,0,0,'Données projet'!$E$13+1,1))-AVERAGE(OFFSET($H$3,0,0,'Données projet'!$E$13+1,1))</f>
        <v>302.6937347295995</v>
      </c>
      <c r="CZ100" s="59">
        <f t="shared" si="96"/>
        <v>423.44006663873375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0.16071915896162453</v>
      </c>
      <c r="DG100" s="21">
        <f>EXP(-LN(2)/25)*DG99+(1-EXP(-LN(2)/25))/(LN(2)/25)*Calculateur!DB100*Calculateur!DD100*VLOOKUP('Données projet'!$B$13,Paramètres!$A$1:$I$89,3,0)*0.475*44/12</f>
        <v>0.6692967202335931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0.83001587919521769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196.55363999999975</v>
      </c>
      <c r="DQ100" s="13">
        <f t="shared" si="97"/>
        <v>48.985997597412556</v>
      </c>
      <c r="DR100" s="20">
        <f t="shared" si="70"/>
        <v>427.64820214882644</v>
      </c>
      <c r="DS100" s="59">
        <f t="shared" si="71"/>
        <v>720.98153548215976</v>
      </c>
      <c r="DT100" s="59">
        <f ca="1">AVERAGE(OFFSET($DS$3,0,0,'Données projet'!$E$14+1,1))-AVERAGE(OFFSET($H$3,0,0,'Données projet'!$E$14+1,1))</f>
        <v>366.51581861366333</v>
      </c>
      <c r="DU100" s="59">
        <f t="shared" si="98"/>
        <v>225.01415116995503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24.10833990408981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24.10833990408981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328.00000000000017</v>
      </c>
      <c r="EK100" s="17">
        <f>EJ100*VLOOKUP('Données projet'!$B$15,Paramètres!$A$1:$I$89,3,0)*VLOOKUP('Données projet'!$B$15,Paramètres!$A$1:$I$89,5,0)</f>
        <v>255.84000000000015</v>
      </c>
      <c r="EL100" s="13">
        <f t="shared" si="99"/>
        <v>61.834803371075886</v>
      </c>
      <c r="EM100" s="20">
        <f t="shared" si="73"/>
        <v>553.28361587129086</v>
      </c>
      <c r="EN100" s="59">
        <f t="shared" si="74"/>
        <v>846.61694920462423</v>
      </c>
      <c r="EO100" s="59">
        <f ca="1">AVERAGE(OFFSET($EN$3,0,0,'Données projet'!$E$15+1,1))-AVERAGE(OFFSET($H$3,0,0,'Données projet'!$E$15+1,1))</f>
        <v>288.80569134263209</v>
      </c>
      <c r="EP100" s="59">
        <f t="shared" si="100"/>
        <v>283.48738729114024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11.674556433003513</v>
      </c>
      <c r="EW100" s="21">
        <f>EXP(-LN(2)/25)*EW99+(1-EXP(-LN(2)/25))/(LN(2)/25)*Calculateur!ER100*Calculateur!ET100*VLOOKUP('Données projet'!$B$15,Paramètres!$A$1:$I$89,3,0)*0.475*44/12</f>
        <v>9.0893503462959995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20.763906779299511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-1.0197709343628959E-13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323.17232038705157</v>
      </c>
      <c r="FK100" s="59">
        <f t="shared" si="102"/>
        <v>402.34685738619197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72.301465285462371</v>
      </c>
      <c r="FR100" s="21">
        <f>EXP(-LN(2)/25)*FR99+(1-EXP(-LN(2)/25))/(LN(2)/25)*Calculateur!FM100*Calculateur!FO100*VLOOKUP('Données projet'!$B$16,Paramètres!$A$1:$I$89,3,0)*0.475*44/12</f>
        <v>14.182041492559234</v>
      </c>
      <c r="FS100" s="21">
        <f>EXP(-LN(2)/2)*FS99+(1-EXP(-LN(2)/2))/(LN(2)/2)*FM100*FP100*VLOOKUP('Données projet'!$B$16,Paramètres!$A$1:$I$89,3,0)*0.475*44/12</f>
        <v>2.724801912002534E-5</v>
      </c>
      <c r="FT100" s="22">
        <f t="shared" si="78"/>
        <v>86.483534026040729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328.00000000000017</v>
      </c>
      <c r="GA100" s="17">
        <f>FZ100*VLOOKUP('Données projet'!$B$17,Paramètres!$A$1:$I$89,3,0)*VLOOKUP('Données projet'!$B$17,Paramètres!$A$1:$I$89,5,0)</f>
        <v>266.07360000000017</v>
      </c>
      <c r="GB100" s="13">
        <f t="shared" si="103"/>
        <v>64.015279012301136</v>
      </c>
      <c r="GC100" s="20">
        <f t="shared" si="79"/>
        <v>574.90479761309132</v>
      </c>
      <c r="GD100" s="59">
        <f t="shared" si="80"/>
        <v>868.23813094642469</v>
      </c>
      <c r="GE100" s="59">
        <f ca="1">AVERAGE(OFFSET($GD$3,0,0,'Données projet'!$E$17+1,1))-AVERAGE(OFFSET($H$3,0,0,'Données projet'!$E$17+1,1))</f>
        <v>298.96480270023716</v>
      </c>
      <c r="GF100" s="59">
        <f t="shared" si="104"/>
        <v>293.11447542333889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14.965152339236136</v>
      </c>
      <c r="GM100" s="21">
        <f>EXP(-LN(2)/25)*GM99+(1-EXP(-LN(2)/25))/(LN(2)/25)*Calculateur!GH100*Calculateur!GJ100*VLOOKUP('Données projet'!$B$17,Paramètres!$A$1:$I$89,3,0)*0.475*44/12</f>
        <v>11.651278862507805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26.616431201743943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-1.4210854715202004E-13</v>
      </c>
      <c r="GV100" s="17">
        <f>GU100*VLOOKUP('Données projet'!$B$18,Paramètres!$A$1:$I$89,3,0)*VLOOKUP('Données projet'!$B$18,Paramètres!$A$1:$I$89,5,0)</f>
        <v>-8.128608897095547E-14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320.76883487964511</v>
      </c>
      <c r="HA100" s="59">
        <f t="shared" si="106"/>
        <v>290.51177680335746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118.24545242747875</v>
      </c>
      <c r="HH100" s="21">
        <f>EXP(-LN(2)/25)*HH99+(1-EXP(-LN(2)/25))/(LN(2)/25)*Calculateur!HC100*Calculateur!HE100*VLOOKUP('Données projet'!$B$18,Paramètres!$A$1:$I$89,3,0)*0.475*44/12</f>
        <v>27.466476137018841</v>
      </c>
      <c r="HI100" s="21">
        <f>EXP(-LN(2)/2)*HI99+(1-EXP(-LN(2)/2))/(LN(2)/2)*HC100*HF100*VLOOKUP('Données projet'!$B$18,Paramètres!$A$1:$I$89,3,0)*0.475*44/12</f>
        <v>2.8127238130708911</v>
      </c>
      <c r="HJ100" s="22">
        <f t="shared" si="84"/>
        <v>148.52465237756849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315.42680000000053</v>
      </c>
      <c r="AK101" s="13">
        <f t="shared" si="89"/>
        <v>74.401014776148614</v>
      </c>
      <c r="AL101" s="20">
        <f t="shared" si="58"/>
        <v>678.95011073512637</v>
      </c>
      <c r="AM101" s="59">
        <f t="shared" si="59"/>
        <v>972.28344406845963</v>
      </c>
      <c r="AN101" s="59">
        <f ca="1">AVERAGE(OFFSET($AM$3,0,0,'Données projet'!$E$10+1,1))-AVERAGE(OFFSET($H$3,0,0,'Données projet'!$E$10+1,1))</f>
        <v>425.47148407510412</v>
      </c>
      <c r="AO101" s="59">
        <f t="shared" si="90"/>
        <v>308.54448799922471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39.651288958221627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39.651288958221627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217.00000000000009</v>
      </c>
      <c r="BE101" s="13">
        <f>BD101*VLOOKUP('Données projet'!$B$11,Paramètres!$A$1:$I$89,3,0)*VLOOKUP('Données projet'!$B$11,Paramètres!$A$1:$I$89,5,0)</f>
        <v>189.57120000000009</v>
      </c>
      <c r="BF101" s="13">
        <f t="shared" si="91"/>
        <v>47.445138796932483</v>
      </c>
      <c r="BG101" s="20">
        <f t="shared" si="61"/>
        <v>412.80345673799087</v>
      </c>
      <c r="BH101" s="59">
        <f t="shared" si="62"/>
        <v>706.13679007132419</v>
      </c>
      <c r="BI101" s="59">
        <f ca="1">AVERAGE(OFFSET($BH$3,0,0,'Données projet'!$E$11+1,1))-AVERAGE(OFFSET($H$3,0,0,'Données projet'!$E$11+1,1))</f>
        <v>300.63505444445104</v>
      </c>
      <c r="BJ101" s="59">
        <f t="shared" si="92"/>
        <v>266.32508105927997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13.161700971270548</v>
      </c>
      <c r="BQ101" s="21">
        <f>EXP(-LN(2)/25)*BQ100+(1-EXP(-LN(2)/25))/(LN(2)/25)*Calculateur!BL101*Calculateur!BN101*VLOOKUP('Données projet'!$B$11,Paramètres!$A$1:$I$89,3,0)*0.475*44/12</f>
        <v>12.860886910309892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26.022587881580442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5.2583333333333373</v>
      </c>
      <c r="BY101" s="12">
        <f>IF('Données projet'!$A$114&gt;35,BY100+BX101-CG100,IF(A101&lt;'Données projet'!$A$114,$BV$205^A101,IF(A101='Données projet'!$A$114,'Données projet'!$B$114,BY100+BX101-CG100)))</f>
        <v>208.47756410256383</v>
      </c>
      <c r="BZ101" s="13">
        <f>BY101*VLOOKUP('Données projet'!$B$12,Paramètres!$A$1:$I$89,3,0)*VLOOKUP('Données projet'!$B$12,Paramètres!$A$1:$I$89,5,0)</f>
        <v>198.38724999999977</v>
      </c>
      <c r="CA101" s="13">
        <f t="shared" si="93"/>
        <v>49.389567247841455</v>
      </c>
      <c r="CB101" s="20">
        <f t="shared" si="64"/>
        <v>431.54462337332347</v>
      </c>
      <c r="CC101" s="59">
        <f t="shared" si="65"/>
        <v>724.87795670665673</v>
      </c>
      <c r="CD101" s="59">
        <f ca="1">AVERAGE(OFFSET($CC$3,0,0,'Données projet'!$E$12+1,1))-AVERAGE(OFFSET($H$3,0,0,'Données projet'!$E$12+1,1))</f>
        <v>361.26385625423757</v>
      </c>
      <c r="CE101" s="59">
        <f t="shared" si="94"/>
        <v>222.05197404028576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23.254370868638141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23.254370868638141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247.00000000000017</v>
      </c>
      <c r="CU101" s="17">
        <f>CT101*VLOOKUP('Données projet'!$B$13,Paramètres!$A$1:$I$89,3,0)*VLOOKUP('Données projet'!$B$13,Paramètres!$A$1:$I$89,5,0)</f>
        <v>223.48560000000012</v>
      </c>
      <c r="CV101" s="13">
        <f t="shared" si="95"/>
        <v>54.87176918107798</v>
      </c>
      <c r="CW101" s="20">
        <f t="shared" si="67"/>
        <v>484.80575132371092</v>
      </c>
      <c r="CX101" s="59">
        <f t="shared" si="68"/>
        <v>778.13908465704424</v>
      </c>
      <c r="CY101" s="59">
        <f ca="1">AVERAGE(OFFSET($CX$3,0,0,'Données projet'!$E$13+1,1))-AVERAGE(OFFSET($H$3,0,0,'Données projet'!$E$13+1,1))</f>
        <v>302.6937347295995</v>
      </c>
      <c r="CZ101" s="59">
        <f t="shared" si="96"/>
        <v>423.44006663873375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0.15756755428339447</v>
      </c>
      <c r="DG101" s="21">
        <f>EXP(-LN(2)/25)*DG100+(1-EXP(-LN(2)/25))/(LN(2)/25)*Calculateur!DB101*Calculateur!DD101*VLOOKUP('Données projet'!$B$13,Paramètres!$A$1:$I$89,3,0)*0.475*44/12</f>
        <v>0.65099476622202068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0.8085623205054151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201.63949999999974</v>
      </c>
      <c r="DQ101" s="13">
        <f t="shared" si="97"/>
        <v>50.104308821691369</v>
      </c>
      <c r="DR101" s="20">
        <f t="shared" si="70"/>
        <v>438.45380036444539</v>
      </c>
      <c r="DS101" s="59">
        <f t="shared" si="71"/>
        <v>731.7871336977787</v>
      </c>
      <c r="DT101" s="59">
        <f ca="1">AVERAGE(OFFSET($DS$3,0,0,'Données projet'!$E$14+1,1))-AVERAGE(OFFSET($H$3,0,0,'Données projet'!$E$14+1,1))</f>
        <v>366.51581861366333</v>
      </c>
      <c r="DU101" s="59">
        <f t="shared" si="98"/>
        <v>225.01415116995503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23.635590063205989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23.635590063205989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328.00000000000017</v>
      </c>
      <c r="EK101" s="17">
        <f>EJ101*VLOOKUP('Données projet'!$B$15,Paramètres!$A$1:$I$89,3,0)*VLOOKUP('Données projet'!$B$15,Paramètres!$A$1:$I$89,5,0)</f>
        <v>255.84000000000015</v>
      </c>
      <c r="EL101" s="13">
        <f t="shared" si="99"/>
        <v>61.834803371075886</v>
      </c>
      <c r="EM101" s="20">
        <f t="shared" si="73"/>
        <v>553.28361587129086</v>
      </c>
      <c r="EN101" s="59">
        <f t="shared" si="74"/>
        <v>846.61694920462423</v>
      </c>
      <c r="EO101" s="59">
        <f ca="1">AVERAGE(OFFSET($EN$3,0,0,'Données projet'!$E$15+1,1))-AVERAGE(OFFSET($H$3,0,0,'Données projet'!$E$15+1,1))</f>
        <v>288.80569134263209</v>
      </c>
      <c r="EP101" s="59">
        <f t="shared" si="100"/>
        <v>283.48738729114024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11.445625502128619</v>
      </c>
      <c r="EW101" s="21">
        <f>EXP(-LN(2)/25)*EW100+(1-EXP(-LN(2)/25))/(LN(2)/25)*Calculateur!ER101*Calculateur!ET101*VLOOKUP('Données projet'!$B$15,Paramètres!$A$1:$I$89,3,0)*0.475*44/12</f>
        <v>8.8408015830883748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20.286427085216992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-1.0197709343628959E-13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323.17232038705157</v>
      </c>
      <c r="FK101" s="59">
        <f t="shared" si="102"/>
        <v>402.34685738619197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70.88367765075381</v>
      </c>
      <c r="FR101" s="21">
        <f>EXP(-LN(2)/25)*FR100+(1-EXP(-LN(2)/25))/(LN(2)/25)*Calculateur!FM101*Calculateur!FO101*VLOOKUP('Données projet'!$B$16,Paramètres!$A$1:$I$89,3,0)*0.475*44/12</f>
        <v>13.794232822144053</v>
      </c>
      <c r="FS101" s="21">
        <f>EXP(-LN(2)/2)*FS100+(1-EXP(-LN(2)/2))/(LN(2)/2)*FM101*FP101*VLOOKUP('Données projet'!$B$16,Paramètres!$A$1:$I$89,3,0)*0.475*44/12</f>
        <v>1.9267259093670621E-5</v>
      </c>
      <c r="FT101" s="22">
        <f t="shared" si="78"/>
        <v>84.677929740156955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328.00000000000017</v>
      </c>
      <c r="GA101" s="17">
        <f>FZ101*VLOOKUP('Données projet'!$B$17,Paramètres!$A$1:$I$89,3,0)*VLOOKUP('Données projet'!$B$17,Paramètres!$A$1:$I$89,5,0)</f>
        <v>266.07360000000017</v>
      </c>
      <c r="GB101" s="13">
        <f t="shared" si="103"/>
        <v>64.015279012301136</v>
      </c>
      <c r="GC101" s="20">
        <f t="shared" si="79"/>
        <v>574.90479761309132</v>
      </c>
      <c r="GD101" s="59">
        <f t="shared" si="80"/>
        <v>868.23813094642469</v>
      </c>
      <c r="GE101" s="59">
        <f ca="1">AVERAGE(OFFSET($GD$3,0,0,'Données projet'!$E$17+1,1))-AVERAGE(OFFSET($H$3,0,0,'Données projet'!$E$17+1,1))</f>
        <v>298.96480270023716</v>
      </c>
      <c r="GF101" s="59">
        <f t="shared" si="104"/>
        <v>293.11447542333889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14.671694829705343</v>
      </c>
      <c r="GM101" s="21">
        <f>EXP(-LN(2)/25)*GM100+(1-EXP(-LN(2)/25))/(LN(2)/25)*Calculateur!GH101*Calculateur!GJ101*VLOOKUP('Données projet'!$B$17,Paramètres!$A$1:$I$89,3,0)*0.475*44/12</f>
        <v>11.332674029298403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26.004368859003748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-1.4210854715202004E-13</v>
      </c>
      <c r="GV101" s="17">
        <f>GU101*VLOOKUP('Données projet'!$B$18,Paramètres!$A$1:$I$89,3,0)*VLOOKUP('Données projet'!$B$18,Paramètres!$A$1:$I$89,5,0)</f>
        <v>-8.128608897095547E-14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320.76883487964511</v>
      </c>
      <c r="HA101" s="59">
        <f t="shared" si="106"/>
        <v>290.51177680335746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115.92673122798035</v>
      </c>
      <c r="HH101" s="21">
        <f>EXP(-LN(2)/25)*HH100+(1-EXP(-LN(2)/25))/(LN(2)/25)*Calculateur!HC101*Calculateur!HE101*VLOOKUP('Données projet'!$B$18,Paramètres!$A$1:$I$89,3,0)*0.475*44/12</f>
        <v>26.715403902652856</v>
      </c>
      <c r="HI101" s="21">
        <f>EXP(-LN(2)/2)*HI100+(1-EXP(-LN(2)/2))/(LN(2)/2)*HC101*HF101*VLOOKUP('Données projet'!$B$18,Paramètres!$A$1:$I$89,3,0)*0.475*44/12</f>
        <v>1.9888960818273103</v>
      </c>
      <c r="HJ101" s="22">
        <f t="shared" si="84"/>
        <v>144.63103121246053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322.70550000000054</v>
      </c>
      <c r="AK102" s="13">
        <f t="shared" si="89"/>
        <v>75.916009423638798</v>
      </c>
      <c r="AL102" s="20">
        <f t="shared" si="58"/>
        <v>694.26579557950515</v>
      </c>
      <c r="AM102" s="59">
        <f t="shared" si="59"/>
        <v>987.59912891283852</v>
      </c>
      <c r="AN102" s="59">
        <f ca="1">AVERAGE(OFFSET($AM$3,0,0,'Données projet'!$E$10+1,1))-AVERAGE(OFFSET($H$3,0,0,'Données projet'!$E$10+1,1))</f>
        <v>425.47148407510412</v>
      </c>
      <c r="AO102" s="59">
        <f t="shared" si="90"/>
        <v>308.54448799922471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55.075681673142725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55.075681673142725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220.00000000000009</v>
      </c>
      <c r="BE102" s="13">
        <f>BD102*VLOOKUP('Données projet'!$B$11,Paramètres!$A$1:$I$89,3,0)*VLOOKUP('Données projet'!$B$11,Paramètres!$A$1:$I$89,5,0)</f>
        <v>192.19200000000009</v>
      </c>
      <c r="BF102" s="13">
        <f t="shared" si="91"/>
        <v>48.024248921932482</v>
      </c>
      <c r="BG102" s="20">
        <f t="shared" si="61"/>
        <v>418.37663353903253</v>
      </c>
      <c r="BH102" s="59">
        <f t="shared" si="62"/>
        <v>711.70996687236584</v>
      </c>
      <c r="BI102" s="59">
        <f ca="1">AVERAGE(OFFSET($BH$3,0,0,'Données projet'!$E$11+1,1))-AVERAGE(OFFSET($H$3,0,0,'Données projet'!$E$11+1,1))</f>
        <v>300.63505444445104</v>
      </c>
      <c r="BJ102" s="59">
        <f t="shared" si="92"/>
        <v>266.32508105927997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12.903608043068841</v>
      </c>
      <c r="BQ102" s="21">
        <f>EXP(-LN(2)/25)*BQ101+(1-EXP(-LN(2)/25))/(LN(2)/25)*Calculateur!BL102*Calculateur!BN102*VLOOKUP('Données projet'!$B$11,Paramètres!$A$1:$I$89,3,0)*0.475*44/12</f>
        <v>12.509205281422819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25.412813324491658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5.2583333333333373</v>
      </c>
      <c r="BY102" s="12">
        <f>IF('Données projet'!$A$114&gt;35,BY101+BX102-CG101,IF(A102&lt;'Données projet'!$A$114,$BV$205^A102,IF(A102='Données projet'!$A$114,'Données projet'!$B$114,BY101+BX102-CG101)))</f>
        <v>213.73589743589716</v>
      </c>
      <c r="BZ102" s="13">
        <f>BY102*VLOOKUP('Données projet'!$B$12,Paramètres!$A$1:$I$89,3,0)*VLOOKUP('Données projet'!$B$12,Paramètres!$A$1:$I$89,5,0)</f>
        <v>203.39107999999976</v>
      </c>
      <c r="CA102" s="13">
        <f t="shared" si="93"/>
        <v>50.48869364813406</v>
      </c>
      <c r="CB102" s="20">
        <f t="shared" si="64"/>
        <v>442.17393910383311</v>
      </c>
      <c r="CC102" s="59">
        <f t="shared" si="65"/>
        <v>735.50727243716642</v>
      </c>
      <c r="CD102" s="59">
        <f ca="1">AVERAGE(OFFSET($CC$3,0,0,'Données projet'!$E$12+1,1))-AVERAGE(OFFSET($H$3,0,0,'Données projet'!$E$12+1,1))</f>
        <v>361.26385625423757</v>
      </c>
      <c r="CE102" s="59">
        <f t="shared" si="94"/>
        <v>222.05197404028576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22.798366839669846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22.798366839669846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247.00000000000017</v>
      </c>
      <c r="CU102" s="17">
        <f>CT102*VLOOKUP('Données projet'!$B$13,Paramètres!$A$1:$I$89,3,0)*VLOOKUP('Données projet'!$B$13,Paramètres!$A$1:$I$89,5,0)</f>
        <v>223.48560000000012</v>
      </c>
      <c r="CV102" s="13">
        <f t="shared" si="95"/>
        <v>54.87176918107798</v>
      </c>
      <c r="CW102" s="20">
        <f t="shared" si="67"/>
        <v>484.80575132371092</v>
      </c>
      <c r="CX102" s="59">
        <f t="shared" si="68"/>
        <v>778.13908465704424</v>
      </c>
      <c r="CY102" s="59">
        <f ca="1">AVERAGE(OFFSET($CX$3,0,0,'Données projet'!$E$13+1,1))-AVERAGE(OFFSET($H$3,0,0,'Données projet'!$E$13+1,1))</f>
        <v>302.6937347295995</v>
      </c>
      <c r="CZ102" s="59">
        <f t="shared" si="96"/>
        <v>423.44006663873375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0.15447775065061548</v>
      </c>
      <c r="DG102" s="21">
        <f>EXP(-LN(2)/25)*DG101+(1-EXP(-LN(2)/25))/(LN(2)/25)*Calculateur!DB102*Calculateur!DD102*VLOOKUP('Données projet'!$B$13,Paramètres!$A$1:$I$89,3,0)*0.475*44/12</f>
        <v>0.63319328010535258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0.787671030755968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206.72535999999974</v>
      </c>
      <c r="DQ102" s="13">
        <f t="shared" si="97"/>
        <v>51.219341239731868</v>
      </c>
      <c r="DR102" s="20">
        <f t="shared" si="70"/>
        <v>449.25368799253255</v>
      </c>
      <c r="DS102" s="59">
        <f t="shared" si="71"/>
        <v>742.58702132586586</v>
      </c>
      <c r="DT102" s="59">
        <f ca="1">AVERAGE(OFFSET($DS$3,0,0,'Données projet'!$E$14+1,1))-AVERAGE(OFFSET($H$3,0,0,'Données projet'!$E$14+1,1))</f>
        <v>366.51581861366333</v>
      </c>
      <c r="DU102" s="59">
        <f t="shared" si="98"/>
        <v>225.01415116995503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23.172110558352969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23.172110558352969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328.00000000000017</v>
      </c>
      <c r="EK102" s="17">
        <f>EJ102*VLOOKUP('Données projet'!$B$15,Paramètres!$A$1:$I$89,3,0)*VLOOKUP('Données projet'!$B$15,Paramètres!$A$1:$I$89,5,0)</f>
        <v>255.84000000000015</v>
      </c>
      <c r="EL102" s="13">
        <f t="shared" si="99"/>
        <v>61.834803371075886</v>
      </c>
      <c r="EM102" s="20">
        <f t="shared" si="73"/>
        <v>553.28361587129086</v>
      </c>
      <c r="EN102" s="59">
        <f t="shared" si="74"/>
        <v>846.61694920462423</v>
      </c>
      <c r="EO102" s="59">
        <f ca="1">AVERAGE(OFFSET($EN$3,0,0,'Données projet'!$E$15+1,1))-AVERAGE(OFFSET($H$3,0,0,'Données projet'!$E$15+1,1))</f>
        <v>288.80569134263209</v>
      </c>
      <c r="EP102" s="59">
        <f t="shared" si="100"/>
        <v>283.48738729114024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11.221183767174104</v>
      </c>
      <c r="EW102" s="21">
        <f>EXP(-LN(2)/25)*EW101+(1-EXP(-LN(2)/25))/(LN(2)/25)*Calculateur!ER102*Calculateur!ET102*VLOOKUP('Données projet'!$B$15,Paramètres!$A$1:$I$89,3,0)*0.475*44/12</f>
        <v>8.5990493988812737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19.820233166055377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-1.0197709343628959E-13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323.17232038705157</v>
      </c>
      <c r="FK102" s="59">
        <f t="shared" si="102"/>
        <v>402.34685738619197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69.493691966796817</v>
      </c>
      <c r="FR102" s="21">
        <f>EXP(-LN(2)/25)*FR101+(1-EXP(-LN(2)/25))/(LN(2)/25)*Calculateur!FM102*Calculateur!FO102*VLOOKUP('Données projet'!$B$16,Paramètres!$A$1:$I$89,3,0)*0.475*44/12</f>
        <v>13.417028800215347</v>
      </c>
      <c r="FS102" s="21">
        <f>EXP(-LN(2)/2)*FS101+(1-EXP(-LN(2)/2))/(LN(2)/2)*FM102*FP102*VLOOKUP('Données projet'!$B$16,Paramètres!$A$1:$I$89,3,0)*0.475*44/12</f>
        <v>1.362400956001267E-5</v>
      </c>
      <c r="FT102" s="22">
        <f t="shared" si="78"/>
        <v>82.91073439102172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328.00000000000017</v>
      </c>
      <c r="GA102" s="17">
        <f>FZ102*VLOOKUP('Données projet'!$B$17,Paramètres!$A$1:$I$89,3,0)*VLOOKUP('Données projet'!$B$17,Paramètres!$A$1:$I$89,5,0)</f>
        <v>266.07360000000017</v>
      </c>
      <c r="GB102" s="13">
        <f t="shared" si="103"/>
        <v>64.015279012301136</v>
      </c>
      <c r="GC102" s="20">
        <f t="shared" si="79"/>
        <v>574.90479761309132</v>
      </c>
      <c r="GD102" s="59">
        <f t="shared" si="80"/>
        <v>868.23813094642469</v>
      </c>
      <c r="GE102" s="59">
        <f ca="1">AVERAGE(OFFSET($GD$3,0,0,'Données projet'!$E$17+1,1))-AVERAGE(OFFSET($H$3,0,0,'Données projet'!$E$17+1,1))</f>
        <v>298.96480270023716</v>
      </c>
      <c r="GF102" s="59">
        <f t="shared" si="104"/>
        <v>293.11447542333889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14.383991842945042</v>
      </c>
      <c r="GM102" s="21">
        <f>EXP(-LN(2)/25)*GM101+(1-EXP(-LN(2)/25))/(LN(2)/25)*Calculateur!GH102*Calculateur!GJ102*VLOOKUP('Données projet'!$B$17,Paramètres!$A$1:$I$89,3,0)*0.475*44/12</f>
        <v>11.022781462007812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25.406773304952853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-1.4210854715202004E-13</v>
      </c>
      <c r="GV102" s="17">
        <f>GU102*VLOOKUP('Données projet'!$B$18,Paramètres!$A$1:$I$89,3,0)*VLOOKUP('Données projet'!$B$18,Paramètres!$A$1:$I$89,5,0)</f>
        <v>-8.128608897095547E-14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320.76883487964511</v>
      </c>
      <c r="HA102" s="59">
        <f t="shared" si="106"/>
        <v>290.51177680335746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113.65347873692384</v>
      </c>
      <c r="HH102" s="21">
        <f>EXP(-LN(2)/25)*HH101+(1-EXP(-LN(2)/25))/(LN(2)/25)*Calculateur!HC102*Calculateur!HE102*VLOOKUP('Données projet'!$B$18,Paramètres!$A$1:$I$89,3,0)*0.475*44/12</f>
        <v>25.984869778032781</v>
      </c>
      <c r="HI102" s="21">
        <f>EXP(-LN(2)/2)*HI101+(1-EXP(-LN(2)/2))/(LN(2)/2)*HC102*HF102*VLOOKUP('Données projet'!$B$18,Paramètres!$A$1:$I$89,3,0)*0.475*44/12</f>
        <v>1.4063619065354458</v>
      </c>
      <c r="HJ102" s="22">
        <f t="shared" si="84"/>
        <v>141.04471042149206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281.10550000000052</v>
      </c>
      <c r="AK103" s="13">
        <f t="shared" si="89"/>
        <v>67.200579205657675</v>
      </c>
      <c r="AL103" s="20">
        <f t="shared" si="58"/>
        <v>606.63308794985471</v>
      </c>
      <c r="AM103" s="59">
        <f t="shared" si="59"/>
        <v>899.96642128318808</v>
      </c>
      <c r="AN103" s="59">
        <f ca="1">AVERAGE(OFFSET($AM$3,0,0,'Données projet'!$E$10+1,1))-AVERAGE(OFFSET($H$3,0,0,'Données projet'!$E$10+1,1))</f>
        <v>425.47148407510412</v>
      </c>
      <c r="AO103" s="59">
        <f t="shared" si="90"/>
        <v>308.54448799922471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53.995681148381202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53.995681148381202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223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223.00000000000009</v>
      </c>
      <c r="BE103" s="13">
        <f>BD103*VLOOKUP('Données projet'!$B$11,Paramètres!$A$1:$I$89,3,0)*VLOOKUP('Données projet'!$B$11,Paramètres!$A$1:$I$89,5,0)</f>
        <v>194.81280000000012</v>
      </c>
      <c r="BF103" s="13">
        <f t="shared" si="91"/>
        <v>48.602440540253902</v>
      </c>
      <c r="BG103" s="20">
        <f t="shared" si="61"/>
        <v>423.9482106076091</v>
      </c>
      <c r="BH103" s="59">
        <f t="shared" si="62"/>
        <v>717.28154394094236</v>
      </c>
      <c r="BI103" s="59">
        <f ca="1">AVERAGE(OFFSET($BH$3,0,0,'Données projet'!$E$11+1,1))-AVERAGE(OFFSET($H$3,0,0,'Données projet'!$E$11+1,1))</f>
        <v>300.63505444445104</v>
      </c>
      <c r="BJ103" s="59">
        <f t="shared" si="92"/>
        <v>266.32508105927997</v>
      </c>
      <c r="BK103" s="15">
        <f>IF(ISNA(VLOOKUP(A103,'Données projet'!$A$87:$I$107,3,0)),0,VLOOKUP(A103,'Données projet'!$A$87:$I$107,3,0))</f>
        <v>17</v>
      </c>
      <c r="BL103" s="15" t="str">
        <f>IF(ISNA(VLOOKUP(A103,'Données projet'!$A$87:$I$107,4,0)),0,VLOOKUP(A103,'Données projet'!$A$87:$I$107,4,0))</f>
        <v>11</v>
      </c>
      <c r="BM103" s="16">
        <f>IF(ISNA(VLOOKUP(A103,'Données projet'!$A$87:$I$107,5,0)),0%,VLOOKUP(A103,'Données projet'!$A$87:$I$107,5,0)*VLOOKUP('Données projet'!$B$11,Paramètres!$A$1:$I$89,7,0))</f>
        <v>0.215</v>
      </c>
      <c r="BN103" s="16">
        <f>IF(ISNA(VLOOKUP(A103,'Données projet'!$A$87:$I$107,6,0)),0%,VLOOKUP(A103,'Données projet'!$A$87:$I$107,6,0)*VLOOKUP('Données projet'!$B$11,Paramètres!$A$1:$I$89,7,0))</f>
        <v>0.17200000000000001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14.934548713987393</v>
      </c>
      <c r="BQ103" s="21">
        <f>EXP(-LN(2)/25)*BQ102+(1-EXP(-LN(2)/25))/(LN(2)/25)*Calculateur!BL103*Calculateur!BN103*VLOOKUP('Données projet'!$B$11,Paramètres!$A$1:$I$89,3,0)*0.475*44/12</f>
        <v>13.987124152381103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28.921672866368496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5.2583333333333373</v>
      </c>
      <c r="BY103" s="12">
        <f>IF('Données projet'!$A$114&gt;35,BY102+BX103-CG102,IF(A103&lt;'Données projet'!$A$114,$BV$205^A103,IF(A103='Données projet'!$A$114,'Données projet'!$B$114,BY102+BX103-CG102)))</f>
        <v>218.99423076923048</v>
      </c>
      <c r="BZ103" s="13">
        <f>BY103*VLOOKUP('Données projet'!$B$12,Paramètres!$A$1:$I$89,3,0)*VLOOKUP('Données projet'!$B$12,Paramètres!$A$1:$I$89,5,0)</f>
        <v>208.39490999999975</v>
      </c>
      <c r="CA103" s="13">
        <f t="shared" si="93"/>
        <v>51.58467667573327</v>
      </c>
      <c r="CB103" s="20">
        <f t="shared" si="64"/>
        <v>452.79778012690167</v>
      </c>
      <c r="CC103" s="59">
        <f t="shared" si="65"/>
        <v>746.13111346023493</v>
      </c>
      <c r="CD103" s="59">
        <f ca="1">AVERAGE(OFFSET($CC$3,0,0,'Données projet'!$E$12+1,1))-AVERAGE(OFFSET($H$3,0,0,'Données projet'!$E$12+1,1))</f>
        <v>361.26385625423757</v>
      </c>
      <c r="CE103" s="59">
        <f t="shared" si="94"/>
        <v>222.05197404028576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22.351304771574625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22.351304771574625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247.00000000000017</v>
      </c>
      <c r="CU103" s="17">
        <f>CT103*VLOOKUP('Données projet'!$B$13,Paramètres!$A$1:$I$89,3,0)*VLOOKUP('Données projet'!$B$13,Paramètres!$A$1:$I$89,5,0)</f>
        <v>223.48560000000012</v>
      </c>
      <c r="CV103" s="13">
        <f t="shared" si="95"/>
        <v>54.87176918107798</v>
      </c>
      <c r="CW103" s="20">
        <f t="shared" si="67"/>
        <v>484.80575132371092</v>
      </c>
      <c r="CX103" s="59">
        <f t="shared" si="68"/>
        <v>778.13908465704424</v>
      </c>
      <c r="CY103" s="59">
        <f ca="1">AVERAGE(OFFSET($CX$3,0,0,'Données projet'!$E$13+1,1))-AVERAGE(OFFSET($H$3,0,0,'Données projet'!$E$13+1,1))</f>
        <v>302.6937347295995</v>
      </c>
      <c r="CZ103" s="59">
        <f t="shared" si="96"/>
        <v>423.44006663873375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0.15144853618248114</v>
      </c>
      <c r="DG103" s="21">
        <f>EXP(-LN(2)/25)*DG102+(1-EXP(-LN(2)/25))/(LN(2)/25)*Calculateur!DB103*Calculateur!DD103*VLOOKUP('Données projet'!$B$13,Paramètres!$A$1:$I$89,3,0)*0.475*44/12</f>
        <v>0.6158785765626843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0.76732711274516541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211.81121999999974</v>
      </c>
      <c r="DQ103" s="13">
        <f t="shared" si="97"/>
        <v>52.331184795732305</v>
      </c>
      <c r="DR103" s="20">
        <f t="shared" si="70"/>
        <v>460.04802168589998</v>
      </c>
      <c r="DS103" s="59">
        <f t="shared" si="71"/>
        <v>753.3813550192333</v>
      </c>
      <c r="DT103" s="59">
        <f ca="1">AVERAGE(OFFSET($DS$3,0,0,'Données projet'!$E$14+1,1))-AVERAGE(OFFSET($H$3,0,0,'Données projet'!$E$14+1,1))</f>
        <v>366.51581861366333</v>
      </c>
      <c r="DU103" s="59">
        <f t="shared" si="98"/>
        <v>225.01415116995503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22.717719603895532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22.717719603895532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328.00000000000017</v>
      </c>
      <c r="EK103" s="17">
        <f>EJ103*VLOOKUP('Données projet'!$B$15,Paramètres!$A$1:$I$89,3,0)*VLOOKUP('Données projet'!$B$15,Paramètres!$A$1:$I$89,5,0)</f>
        <v>255.84000000000015</v>
      </c>
      <c r="EL103" s="13">
        <f t="shared" si="99"/>
        <v>61.834803371075886</v>
      </c>
      <c r="EM103" s="20">
        <f t="shared" si="73"/>
        <v>553.28361587129086</v>
      </c>
      <c r="EN103" s="59">
        <f t="shared" si="74"/>
        <v>846.61694920462423</v>
      </c>
      <c r="EO103" s="59">
        <f ca="1">AVERAGE(OFFSET($EN$3,0,0,'Données projet'!$E$15+1,1))-AVERAGE(OFFSET($H$3,0,0,'Données projet'!$E$15+1,1))</f>
        <v>288.80569134263209</v>
      </c>
      <c r="EP103" s="59">
        <f t="shared" si="100"/>
        <v>283.48738729114024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11.001143197746105</v>
      </c>
      <c r="EW103" s="21">
        <f>EXP(-LN(2)/25)*EW102+(1-EXP(-LN(2)/25))/(LN(2)/25)*Calculateur!ER103*Calculateur!ET103*VLOOKUP('Données projet'!$B$15,Paramètres!$A$1:$I$89,3,0)*0.475*44/12</f>
        <v>8.3639079408645109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19.365051138610617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-1.0197709343628959E-13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323.17232038705157</v>
      </c>
      <c r="FK103" s="59">
        <f t="shared" si="102"/>
        <v>402.34685738619197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68.130963054294668</v>
      </c>
      <c r="FR103" s="21">
        <f>EXP(-LN(2)/25)*FR102+(1-EXP(-LN(2)/25))/(LN(2)/25)*Calculateur!FM103*Calculateur!FO103*VLOOKUP('Données projet'!$B$16,Paramètres!$A$1:$I$89,3,0)*0.475*44/12</f>
        <v>13.050139442102578</v>
      </c>
      <c r="FS103" s="21">
        <f>EXP(-LN(2)/2)*FS102+(1-EXP(-LN(2)/2))/(LN(2)/2)*FM103*FP103*VLOOKUP('Données projet'!$B$16,Paramètres!$A$1:$I$89,3,0)*0.475*44/12</f>
        <v>9.6336295468353106E-6</v>
      </c>
      <c r="FT103" s="22">
        <f t="shared" si="78"/>
        <v>81.18111213002679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328.00000000000017</v>
      </c>
      <c r="GA103" s="17">
        <f>FZ103*VLOOKUP('Données projet'!$B$17,Paramètres!$A$1:$I$89,3,0)*VLOOKUP('Données projet'!$B$17,Paramètres!$A$1:$I$89,5,0)</f>
        <v>266.07360000000017</v>
      </c>
      <c r="GB103" s="13">
        <f t="shared" si="103"/>
        <v>64.015279012301136</v>
      </c>
      <c r="GC103" s="20">
        <f t="shared" si="79"/>
        <v>574.90479761309132</v>
      </c>
      <c r="GD103" s="59">
        <f t="shared" si="80"/>
        <v>868.23813094642469</v>
      </c>
      <c r="GE103" s="59">
        <f ca="1">AVERAGE(OFFSET($GD$3,0,0,'Données projet'!$E$17+1,1))-AVERAGE(OFFSET($H$3,0,0,'Données projet'!$E$17+1,1))</f>
        <v>298.96480270023716</v>
      </c>
      <c r="GF103" s="59">
        <f t="shared" si="104"/>
        <v>293.11447542333889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14.101930536273615</v>
      </c>
      <c r="GM103" s="21">
        <f>EXP(-LN(2)/25)*GM102+(1-EXP(-LN(2)/25))/(LN(2)/25)*Calculateur!GH103*Calculateur!GJ103*VLOOKUP('Données projet'!$B$17,Paramètres!$A$1:$I$89,3,0)*0.475*44/12</f>
        <v>10.721362923266325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24.82329345953994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-1.4210854715202004E-13</v>
      </c>
      <c r="GV103" s="17">
        <f>GU103*VLOOKUP('Données projet'!$B$18,Paramètres!$A$1:$I$89,3,0)*VLOOKUP('Données projet'!$B$18,Paramètres!$A$1:$I$89,5,0)</f>
        <v>-8.128608897095547E-14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320.76883487964511</v>
      </c>
      <c r="HA103" s="59">
        <f t="shared" si="106"/>
        <v>290.51177680335746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111.42480334066984</v>
      </c>
      <c r="HH103" s="21">
        <f>EXP(-LN(2)/25)*HH102+(1-EXP(-LN(2)/25))/(LN(2)/25)*Calculateur!HC103*Calculateur!HE103*VLOOKUP('Données projet'!$B$18,Paramètres!$A$1:$I$89,3,0)*0.475*44/12</f>
        <v>25.274312147467562</v>
      </c>
      <c r="HI103" s="21">
        <f>EXP(-LN(2)/2)*HI102+(1-EXP(-LN(2)/2))/(LN(2)/2)*HC103*HF103*VLOOKUP('Données projet'!$B$18,Paramètres!$A$1:$I$89,3,0)*0.475*44/12</f>
        <v>0.99444804091365535</v>
      </c>
      <c r="HJ103" s="22">
        <f t="shared" si="84"/>
        <v>137.69356352905106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288.19700000000051</v>
      </c>
      <c r="AK104" s="13">
        <f t="shared" si="89"/>
        <v>68.696350845178046</v>
      </c>
      <c r="AL104" s="20">
        <f t="shared" si="58"/>
        <v>621.5892527220193</v>
      </c>
      <c r="AM104" s="59">
        <f t="shared" si="59"/>
        <v>914.92258605535267</v>
      </c>
      <c r="AN104" s="59">
        <f ca="1">AVERAGE(OFFSET($AM$3,0,0,'Données projet'!$E$10+1,1))-AVERAGE(OFFSET($H$3,0,0,'Données projet'!$E$10+1,1))</f>
        <v>425.47148407510412</v>
      </c>
      <c r="AO104" s="59">
        <f t="shared" si="90"/>
        <v>308.54448799922471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52.936858775174976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52.936858775174976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212.00000000000009</v>
      </c>
      <c r="BE104" s="13">
        <f>BD104*VLOOKUP('Données projet'!$B$11,Paramètres!$A$1:$I$89,3,0)*VLOOKUP('Données projet'!$B$11,Paramètres!$A$1:$I$89,5,0)</f>
        <v>185.20320000000009</v>
      </c>
      <c r="BF104" s="13">
        <f t="shared" si="91"/>
        <v>46.477875402099386</v>
      </c>
      <c r="BG104" s="20">
        <f t="shared" si="61"/>
        <v>403.5112063253232</v>
      </c>
      <c r="BH104" s="59">
        <f t="shared" si="62"/>
        <v>696.84453965865646</v>
      </c>
      <c r="BI104" s="59">
        <f ca="1">AVERAGE(OFFSET($BH$3,0,0,'Données projet'!$E$11+1,1))-AVERAGE(OFFSET($H$3,0,0,'Données projet'!$E$11+1,1))</f>
        <v>300.63505444445104</v>
      </c>
      <c r="BJ104" s="59">
        <f t="shared" si="92"/>
        <v>266.32508105927997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14.641691322881359</v>
      </c>
      <c r="BQ104" s="21">
        <f>EXP(-LN(2)/25)*BQ103+(1-EXP(-LN(2)/25))/(LN(2)/25)*Calculateur!BL104*Calculateur!BN104*VLOOKUP('Données projet'!$B$11,Paramètres!$A$1:$I$89,3,0)*0.475*44/12</f>
        <v>13.604645506883351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28.246336829764708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5.2583333333333373</v>
      </c>
      <c r="BY104" s="12">
        <f>IF('Données projet'!$A$114&gt;35,BY103+BX104-CG103,IF(A104&lt;'Données projet'!$A$114,$BV$205^A104,IF(A104='Données projet'!$A$114,'Données projet'!$B$114,BY103+BX104-CG103)))</f>
        <v>224.25256410256381</v>
      </c>
      <c r="BZ104" s="13">
        <f>BY104*VLOOKUP('Données projet'!$B$12,Paramètres!$A$1:$I$89,3,0)*VLOOKUP('Données projet'!$B$12,Paramètres!$A$1:$I$89,5,0)</f>
        <v>213.39873999999969</v>
      </c>
      <c r="CA104" s="13">
        <f t="shared" si="93"/>
        <v>52.677600491228638</v>
      </c>
      <c r="CB104" s="20">
        <f t="shared" si="64"/>
        <v>463.41629302222265</v>
      </c>
      <c r="CC104" s="59">
        <f t="shared" si="65"/>
        <v>756.74962635555596</v>
      </c>
      <c r="CD104" s="59">
        <f ca="1">AVERAGE(OFFSET($CC$3,0,0,'Données projet'!$E$12+1,1))-AVERAGE(OFFSET($H$3,0,0,'Données projet'!$E$12+1,1))</f>
        <v>361.26385625423757</v>
      </c>
      <c r="CE104" s="59">
        <f t="shared" si="94"/>
        <v>222.05197404028576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21.913009317953815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21.913009317953815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247.00000000000017</v>
      </c>
      <c r="CU104" s="17">
        <f>CT104*VLOOKUP('Données projet'!$B$13,Paramètres!$A$1:$I$89,3,0)*VLOOKUP('Données projet'!$B$13,Paramètres!$A$1:$I$89,5,0)</f>
        <v>223.48560000000012</v>
      </c>
      <c r="CV104" s="13">
        <f t="shared" si="95"/>
        <v>54.87176918107798</v>
      </c>
      <c r="CW104" s="20">
        <f t="shared" si="67"/>
        <v>484.80575132371092</v>
      </c>
      <c r="CX104" s="59">
        <f t="shared" si="68"/>
        <v>778.13908465704424</v>
      </c>
      <c r="CY104" s="59">
        <f ca="1">AVERAGE(OFFSET($CX$3,0,0,'Données projet'!$E$13+1,1))-AVERAGE(OFFSET($H$3,0,0,'Données projet'!$E$13+1,1))</f>
        <v>302.6937347295995</v>
      </c>
      <c r="CZ104" s="59">
        <f t="shared" si="96"/>
        <v>423.44006663873375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0.14847872276242852</v>
      </c>
      <c r="DG104" s="21">
        <f>EXP(-LN(2)/25)*DG103+(1-EXP(-LN(2)/25))/(LN(2)/25)*Calculateur!DB104*Calculateur!DD104*VLOOKUP('Données projet'!$B$13,Paramètres!$A$1:$I$89,3,0)*0.475*44/12</f>
        <v>0.59903734449893098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0.74751606726135944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216.89707999999973</v>
      </c>
      <c r="DQ104" s="13">
        <f t="shared" si="97"/>
        <v>53.439924868212991</v>
      </c>
      <c r="DR104" s="20">
        <f t="shared" si="70"/>
        <v>470.83695014547044</v>
      </c>
      <c r="DS104" s="59">
        <f t="shared" si="71"/>
        <v>764.17028347880375</v>
      </c>
      <c r="DT104" s="59">
        <f ca="1">AVERAGE(OFFSET($DS$3,0,0,'Données projet'!$E$14+1,1))-AVERAGE(OFFSET($H$3,0,0,'Données projet'!$E$14+1,1))</f>
        <v>366.51581861366333</v>
      </c>
      <c r="DU104" s="59">
        <f t="shared" si="98"/>
        <v>225.01415116995503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22.272238978903889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22.272238978903889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328.00000000000017</v>
      </c>
      <c r="EK104" s="17">
        <f>EJ104*VLOOKUP('Données projet'!$B$15,Paramètres!$A$1:$I$89,3,0)*VLOOKUP('Données projet'!$B$15,Paramètres!$A$1:$I$89,5,0)</f>
        <v>255.84000000000015</v>
      </c>
      <c r="EL104" s="13">
        <f t="shared" si="99"/>
        <v>61.834803371075886</v>
      </c>
      <c r="EM104" s="20">
        <f t="shared" si="73"/>
        <v>553.28361587129086</v>
      </c>
      <c r="EN104" s="59">
        <f t="shared" si="74"/>
        <v>846.61694920462423</v>
      </c>
      <c r="EO104" s="59">
        <f ca="1">AVERAGE(OFFSET($EN$3,0,0,'Données projet'!$E$15+1,1))-AVERAGE(OFFSET($H$3,0,0,'Données projet'!$E$15+1,1))</f>
        <v>288.80569134263209</v>
      </c>
      <c r="EP104" s="59">
        <f t="shared" si="100"/>
        <v>283.48738729114024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10.785417489673094</v>
      </c>
      <c r="EW104" s="21">
        <f>EXP(-LN(2)/25)*EW103+(1-EXP(-LN(2)/25))/(LN(2)/25)*Calculateur!ER104*Calculateur!ET104*VLOOKUP('Données projet'!$B$15,Paramètres!$A$1:$I$89,3,0)*0.475*44/12</f>
        <v>8.1351964383827688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18.920613928055865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-1.0197709343628959E-13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323.17232038705157</v>
      </c>
      <c r="FK104" s="59">
        <f t="shared" si="102"/>
        <v>402.34685738619197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66.794956424584115</v>
      </c>
      <c r="FR104" s="21">
        <f>EXP(-LN(2)/25)*FR103+(1-EXP(-LN(2)/25))/(LN(2)/25)*Calculateur!FM104*Calculateur!FO104*VLOOKUP('Données projet'!$B$16,Paramètres!$A$1:$I$89,3,0)*0.475*44/12</f>
        <v>12.693282692781276</v>
      </c>
      <c r="FS104" s="21">
        <f>EXP(-LN(2)/2)*FS103+(1-EXP(-LN(2)/2))/(LN(2)/2)*FM104*FP104*VLOOKUP('Données projet'!$B$16,Paramètres!$A$1:$I$89,3,0)*0.475*44/12</f>
        <v>6.8120047800063351E-6</v>
      </c>
      <c r="FT104" s="22">
        <f t="shared" si="78"/>
        <v>79.48824592937018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328.00000000000017</v>
      </c>
      <c r="GA104" s="17">
        <f>FZ104*VLOOKUP('Données projet'!$B$17,Paramètres!$A$1:$I$89,3,0)*VLOOKUP('Données projet'!$B$17,Paramètres!$A$1:$I$89,5,0)</f>
        <v>266.07360000000017</v>
      </c>
      <c r="GB104" s="13">
        <f t="shared" si="103"/>
        <v>64.015279012301136</v>
      </c>
      <c r="GC104" s="20">
        <f t="shared" si="79"/>
        <v>574.90479761309132</v>
      </c>
      <c r="GD104" s="59">
        <f t="shared" si="80"/>
        <v>868.23813094642469</v>
      </c>
      <c r="GE104" s="59">
        <f ca="1">AVERAGE(OFFSET($GD$3,0,0,'Données projet'!$E$17+1,1))-AVERAGE(OFFSET($H$3,0,0,'Données projet'!$E$17+1,1))</f>
        <v>298.96480270023716</v>
      </c>
      <c r="GF104" s="59">
        <f t="shared" si="104"/>
        <v>293.11447542333889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13.825400279785606</v>
      </c>
      <c r="GM104" s="21">
        <f>EXP(-LN(2)/25)*GM103+(1-EXP(-LN(2)/25))/(LN(2)/25)*Calculateur!GH104*Calculateur!GJ104*VLOOKUP('Données projet'!$B$17,Paramètres!$A$1:$I$89,3,0)*0.475*44/12</f>
        <v>10.428186690317634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24.253586970103242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-1.4210854715202004E-13</v>
      </c>
      <c r="GV104" s="17">
        <f>GU104*VLOOKUP('Données projet'!$B$18,Paramètres!$A$1:$I$89,3,0)*VLOOKUP('Données projet'!$B$18,Paramètres!$A$1:$I$89,5,0)</f>
        <v>-8.128608897095547E-14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320.76883487964511</v>
      </c>
      <c r="HA104" s="59">
        <f t="shared" si="106"/>
        <v>290.51177680335746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109.23983090957861</v>
      </c>
      <c r="HH104" s="21">
        <f>EXP(-LN(2)/25)*HH103+(1-EXP(-LN(2)/25))/(LN(2)/25)*Calculateur!HC104*Calculateur!HE104*VLOOKUP('Données projet'!$B$18,Paramètres!$A$1:$I$89,3,0)*0.475*44/12</f>
        <v>24.58318475267675</v>
      </c>
      <c r="HI104" s="21">
        <f>EXP(-LN(2)/2)*HI103+(1-EXP(-LN(2)/2))/(LN(2)/2)*HC104*HF104*VLOOKUP('Données projet'!$B$18,Paramètres!$A$1:$I$89,3,0)*0.475*44/12</f>
        <v>0.70318095326772301</v>
      </c>
      <c r="HJ104" s="22">
        <f t="shared" si="84"/>
        <v>134.52619661552308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295.28850000000051</v>
      </c>
      <c r="AK105" s="13">
        <f t="shared" si="89"/>
        <v>70.187843985612119</v>
      </c>
      <c r="AL105" s="20">
        <f t="shared" si="58"/>
        <v>636.53796577494199</v>
      </c>
      <c r="AM105" s="59">
        <f t="shared" si="59"/>
        <v>929.87129910827525</v>
      </c>
      <c r="AN105" s="59">
        <f ca="1">AVERAGE(OFFSET($AM$3,0,0,'Données projet'!$E$10+1,1))-AVERAGE(OFFSET($H$3,0,0,'Données projet'!$E$10+1,1))</f>
        <v>425.47148407510412</v>
      </c>
      <c r="AO105" s="59">
        <f t="shared" si="90"/>
        <v>308.54448799922471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51.89879926288944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51.89879926288944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212.00000000000009</v>
      </c>
      <c r="BE105" s="13">
        <f>BD105*VLOOKUP('Données projet'!$B$11,Paramètres!$A$1:$I$89,3,0)*VLOOKUP('Données projet'!$B$11,Paramètres!$A$1:$I$89,5,0)</f>
        <v>185.20320000000009</v>
      </c>
      <c r="BF105" s="13">
        <f t="shared" si="91"/>
        <v>46.477875402099386</v>
      </c>
      <c r="BG105" s="20">
        <f t="shared" si="61"/>
        <v>403.5112063253232</v>
      </c>
      <c r="BH105" s="59">
        <f t="shared" si="62"/>
        <v>696.84453965865646</v>
      </c>
      <c r="BI105" s="59">
        <f ca="1">AVERAGE(OFFSET($BH$3,0,0,'Données projet'!$E$11+1,1))-AVERAGE(OFFSET($H$3,0,0,'Données projet'!$E$11+1,1))</f>
        <v>300.63505444445104</v>
      </c>
      <c r="BJ105" s="59">
        <f t="shared" si="92"/>
        <v>266.32508105927997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14.354576686589544</v>
      </c>
      <c r="BQ105" s="21">
        <f>EXP(-LN(2)/25)*BQ104+(1-EXP(-LN(2)/25))/(LN(2)/25)*Calculateur!BL105*Calculateur!BN105*VLOOKUP('Données projet'!$B$11,Paramètres!$A$1:$I$89,3,0)*0.475*44/12</f>
        <v>13.232625760060412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27.587202446649954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5.2583333333333373</v>
      </c>
      <c r="BY105" s="12">
        <f>IF('Données projet'!$A$114&gt;35,BY104+BX105-CG104,IF(A105&lt;'Données projet'!$A$114,$BV$205^A105,IF(A105='Données projet'!$A$114,'Données projet'!$B$114,BY104+BX105-CG104)))</f>
        <v>229.51089743589714</v>
      </c>
      <c r="BZ105" s="13">
        <f>BY105*VLOOKUP('Données projet'!$B$12,Paramètres!$A$1:$I$89,3,0)*VLOOKUP('Données projet'!$B$12,Paramètres!$A$1:$I$89,5,0)</f>
        <v>218.40256999999971</v>
      </c>
      <c r="CA105" s="13">
        <f t="shared" si="93"/>
        <v>53.767545083207914</v>
      </c>
      <c r="CB105" s="20">
        <f t="shared" si="64"/>
        <v>474.02961710325332</v>
      </c>
      <c r="CC105" s="59">
        <f t="shared" si="65"/>
        <v>767.36295043658663</v>
      </c>
      <c r="CD105" s="59">
        <f ca="1">AVERAGE(OFFSET($CC$3,0,0,'Données projet'!$E$12+1,1))-AVERAGE(OFFSET($H$3,0,0,'Données projet'!$E$12+1,1))</f>
        <v>361.26385625423757</v>
      </c>
      <c r="CE105" s="59">
        <f t="shared" si="94"/>
        <v>222.05197404028576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21.483308570844681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21.483308570844681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247.00000000000017</v>
      </c>
      <c r="CU105" s="17">
        <f>CT105*VLOOKUP('Données projet'!$B$13,Paramètres!$A$1:$I$89,3,0)*VLOOKUP('Données projet'!$B$13,Paramètres!$A$1:$I$89,5,0)</f>
        <v>223.48560000000012</v>
      </c>
      <c r="CV105" s="13">
        <f t="shared" si="95"/>
        <v>54.87176918107798</v>
      </c>
      <c r="CW105" s="20">
        <f t="shared" si="67"/>
        <v>484.80575132371092</v>
      </c>
      <c r="CX105" s="59">
        <f t="shared" si="68"/>
        <v>778.13908465704424</v>
      </c>
      <c r="CY105" s="59">
        <f ca="1">AVERAGE(OFFSET($CX$3,0,0,'Données projet'!$E$13+1,1))-AVERAGE(OFFSET($H$3,0,0,'Données projet'!$E$13+1,1))</f>
        <v>302.6937347295995</v>
      </c>
      <c r="CZ105" s="59">
        <f t="shared" si="96"/>
        <v>423.44006663873375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0.14556714557213582</v>
      </c>
      <c r="DG105" s="21">
        <f>EXP(-LN(2)/25)*DG104+(1-EXP(-LN(2)/25))/(LN(2)/25)*Calculateur!DB105*Calculateur!DD105*VLOOKUP('Données projet'!$B$13,Paramètres!$A$1:$I$89,3,0)*0.475*44/12</f>
        <v>0.58265663681160285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0.72822378238373864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221.9829399999997</v>
      </c>
      <c r="DQ105" s="13">
        <f t="shared" si="97"/>
        <v>54.545642603317233</v>
      </c>
      <c r="DR105" s="20">
        <f t="shared" si="70"/>
        <v>481.62061470077691</v>
      </c>
      <c r="DS105" s="59">
        <f t="shared" si="71"/>
        <v>774.95394803411023</v>
      </c>
      <c r="DT105" s="59">
        <f ca="1">AVERAGE(OFFSET($DS$3,0,0,'Données projet'!$E$14+1,1))-AVERAGE(OFFSET($H$3,0,0,'Données projet'!$E$14+1,1))</f>
        <v>366.51581861366333</v>
      </c>
      <c r="DU105" s="59">
        <f t="shared" si="98"/>
        <v>225.01415116995503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21.83549395725198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21.83549395725198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328.00000000000017</v>
      </c>
      <c r="EK105" s="17">
        <f>EJ105*VLOOKUP('Données projet'!$B$15,Paramètres!$A$1:$I$89,3,0)*VLOOKUP('Données projet'!$B$15,Paramètres!$A$1:$I$89,5,0)</f>
        <v>255.84000000000015</v>
      </c>
      <c r="EL105" s="13">
        <f t="shared" si="99"/>
        <v>61.834803371075886</v>
      </c>
      <c r="EM105" s="20">
        <f t="shared" si="73"/>
        <v>553.28361587129086</v>
      </c>
      <c r="EN105" s="59">
        <f t="shared" si="74"/>
        <v>846.61694920462423</v>
      </c>
      <c r="EO105" s="59">
        <f ca="1">AVERAGE(OFFSET($EN$3,0,0,'Données projet'!$E$15+1,1))-AVERAGE(OFFSET($H$3,0,0,'Données projet'!$E$15+1,1))</f>
        <v>288.80569134263209</v>
      </c>
      <c r="EP105" s="59">
        <f t="shared" si="100"/>
        <v>283.48738729114024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10.573922031155705</v>
      </c>
      <c r="EW105" s="21">
        <f>EXP(-LN(2)/25)*EW104+(1-EXP(-LN(2)/25))/(LN(2)/25)*Calculateur!ER105*Calculateur!ET105*VLOOKUP('Données projet'!$B$15,Paramètres!$A$1:$I$89,3,0)*0.475*44/12</f>
        <v>7.9127390639638042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18.486661095119509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-1.0197709343628959E-13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323.17232038705157</v>
      </c>
      <c r="FK105" s="59">
        <f t="shared" si="102"/>
        <v>402.34685738619197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65.485148069998615</v>
      </c>
      <c r="FR105" s="21">
        <f>EXP(-LN(2)/25)*FR104+(1-EXP(-LN(2)/25))/(LN(2)/25)*Calculateur!FM105*Calculateur!FO105*VLOOKUP('Données projet'!$B$16,Paramètres!$A$1:$I$89,3,0)*0.475*44/12</f>
        <v>12.346184210036446</v>
      </c>
      <c r="FS105" s="21">
        <f>EXP(-LN(2)/2)*FS104+(1-EXP(-LN(2)/2))/(LN(2)/2)*FM105*FP105*VLOOKUP('Données projet'!$B$16,Paramètres!$A$1:$I$89,3,0)*0.475*44/12</f>
        <v>4.8168147734176553E-6</v>
      </c>
      <c r="FT105" s="22">
        <f t="shared" si="78"/>
        <v>77.831337096849836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328.00000000000017</v>
      </c>
      <c r="GA105" s="17">
        <f>FZ105*VLOOKUP('Données projet'!$B$17,Paramètres!$A$1:$I$89,3,0)*VLOOKUP('Données projet'!$B$17,Paramètres!$A$1:$I$89,5,0)</f>
        <v>266.07360000000017</v>
      </c>
      <c r="GB105" s="13">
        <f t="shared" si="103"/>
        <v>64.015279012301136</v>
      </c>
      <c r="GC105" s="20">
        <f t="shared" si="79"/>
        <v>574.90479761309132</v>
      </c>
      <c r="GD105" s="59">
        <f t="shared" si="80"/>
        <v>868.23813094642469</v>
      </c>
      <c r="GE105" s="59">
        <f ca="1">AVERAGE(OFFSET($GD$3,0,0,'Données projet'!$E$17+1,1))-AVERAGE(OFFSET($H$3,0,0,'Données projet'!$E$17+1,1))</f>
        <v>298.96480270023716</v>
      </c>
      <c r="GF105" s="59">
        <f t="shared" si="104"/>
        <v>293.11447542333889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13.554292612960525</v>
      </c>
      <c r="GM105" s="21">
        <f>EXP(-LN(2)/25)*GM104+(1-EXP(-LN(2)/25))/(LN(2)/25)*Calculateur!GH105*Calculateur!GJ105*VLOOKUP('Données projet'!$B$17,Paramètres!$A$1:$I$89,3,0)*0.475*44/12</f>
        <v>10.143027376876395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23.69731998983692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-1.4210854715202004E-13</v>
      </c>
      <c r="GV105" s="17">
        <f>GU105*VLOOKUP('Données projet'!$B$18,Paramètres!$A$1:$I$89,3,0)*VLOOKUP('Données projet'!$B$18,Paramètres!$A$1:$I$89,5,0)</f>
        <v>-8.128608897095547E-14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320.76883487964511</v>
      </c>
      <c r="HA105" s="59">
        <f t="shared" si="106"/>
        <v>290.51177680335746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107.0977044551595</v>
      </c>
      <c r="HH105" s="21">
        <f>EXP(-LN(2)/25)*HH104+(1-EXP(-LN(2)/25))/(LN(2)/25)*Calculateur!HC105*Calculateur!HE105*VLOOKUP('Données projet'!$B$18,Paramètres!$A$1:$I$89,3,0)*0.475*44/12</f>
        <v>23.910956272841304</v>
      </c>
      <c r="HI105" s="21">
        <f>EXP(-LN(2)/2)*HI104+(1-EXP(-LN(2)/2))/(LN(2)/2)*HC105*HF105*VLOOKUP('Données projet'!$B$18,Paramètres!$A$1:$I$89,3,0)*0.475*44/12</f>
        <v>0.49722402045682773</v>
      </c>
      <c r="HJ105" s="22">
        <f t="shared" si="84"/>
        <v>131.50588474845762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302.38000000000045</v>
      </c>
      <c r="AK106" s="13">
        <f t="shared" si="89"/>
        <v>71.67517319946117</v>
      </c>
      <c r="AL106" s="20">
        <f t="shared" si="58"/>
        <v>651.47942665572896</v>
      </c>
      <c r="AM106" s="59">
        <f t="shared" si="59"/>
        <v>944.81275998906222</v>
      </c>
      <c r="AN106" s="59">
        <f ca="1">AVERAGE(OFFSET($AM$3,0,0,'Données projet'!$E$10+1,1))-AVERAGE(OFFSET($H$3,0,0,'Données projet'!$E$10+1,1))</f>
        <v>425.47148407510412</v>
      </c>
      <c r="AO106" s="59">
        <f t="shared" si="90"/>
        <v>308.54448799922471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50.881095464486044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50.881095464486044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212.00000000000009</v>
      </c>
      <c r="BE106" s="13">
        <f>BD106*VLOOKUP('Données projet'!$B$11,Paramètres!$A$1:$I$89,3,0)*VLOOKUP('Données projet'!$B$11,Paramètres!$A$1:$I$89,5,0)</f>
        <v>185.20320000000009</v>
      </c>
      <c r="BF106" s="13">
        <f t="shared" si="91"/>
        <v>46.477875402099386</v>
      </c>
      <c r="BG106" s="20">
        <f t="shared" si="61"/>
        <v>403.5112063253232</v>
      </c>
      <c r="BH106" s="59">
        <f t="shared" si="62"/>
        <v>696.84453965865646</v>
      </c>
      <c r="BI106" s="59">
        <f ca="1">AVERAGE(OFFSET($BH$3,0,0,'Données projet'!$E$11+1,1))-AVERAGE(OFFSET($H$3,0,0,'Données projet'!$E$11+1,1))</f>
        <v>300.63505444445104</v>
      </c>
      <c r="BJ106" s="59">
        <f t="shared" si="92"/>
        <v>266.32508105927997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14.073092193192775</v>
      </c>
      <c r="BQ106" s="21">
        <f>EXP(-LN(2)/25)*BQ105+(1-EXP(-LN(2)/25))/(LN(2)/25)*Calculateur!BL106*Calculateur!BN106*VLOOKUP('Données projet'!$B$11,Paramètres!$A$1:$I$89,3,0)*0.475*44/12</f>
        <v>12.870778912778015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26.943871105970789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234.76923076923077</v>
      </c>
      <c r="BW106" s="12">
        <f>VLOOKUP(A106,'Données projet'!$A$113:$I$133,9,0)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projet'!$A$114&gt;35,BY105+BX106-CG105,IF(A106&lt;'Données projet'!$A$114,$BV$205^A106,IF(A106='Données projet'!$A$114,'Données projet'!$B$114,BY105+BX106-CG105)))</f>
        <v>234.76923076923046</v>
      </c>
      <c r="BZ106" s="13">
        <f>BY106*VLOOKUP('Données projet'!$B$12,Paramètres!$A$1:$I$89,3,0)*VLOOKUP('Données projet'!$B$12,Paramètres!$A$1:$I$89,5,0)</f>
        <v>223.40639999999971</v>
      </c>
      <c r="CA106" s="13">
        <f t="shared" si="93"/>
        <v>54.854586565845779</v>
      </c>
      <c r="CB106" s="20">
        <f t="shared" si="64"/>
        <v>484.63788493551419</v>
      </c>
      <c r="CC106" s="59">
        <f t="shared" si="65"/>
        <v>777.97121826884745</v>
      </c>
      <c r="CD106" s="59">
        <f ca="1">AVERAGE(OFFSET($CC$3,0,0,'Données projet'!$E$12+1,1))-AVERAGE(OFFSET($H$3,0,0,'Données projet'!$E$12+1,1))</f>
        <v>361.26385625423757</v>
      </c>
      <c r="CE106" s="59">
        <f t="shared" si="94"/>
        <v>222.05197404028576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39.512820512820511</v>
      </c>
      <c r="CH106" s="16">
        <f>IF(ISNA(VLOOKUP(A106,'Données projet'!$A$113:$I$133,5,0)),0%,VLOOKUP(A106,'Données projet'!$A$113:$I$133,5,0)*VLOOKUP('Données projet'!$B$12,Paramètres!$A$1:$I$89,7,0))</f>
        <v>0.30099999999999999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33.573438659330591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33.573438659330591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247.00000000000017</v>
      </c>
      <c r="CU106" s="17">
        <f>CT106*VLOOKUP('Données projet'!$B$13,Paramètres!$A$1:$I$89,3,0)*VLOOKUP('Données projet'!$B$13,Paramètres!$A$1:$I$89,5,0)</f>
        <v>223.48560000000012</v>
      </c>
      <c r="CV106" s="13">
        <f t="shared" si="95"/>
        <v>54.87176918107798</v>
      </c>
      <c r="CW106" s="20">
        <f t="shared" si="67"/>
        <v>484.80575132371092</v>
      </c>
      <c r="CX106" s="59">
        <f t="shared" si="68"/>
        <v>778.13908465704424</v>
      </c>
      <c r="CY106" s="59">
        <f ca="1">AVERAGE(OFFSET($CX$3,0,0,'Données projet'!$E$13+1,1))-AVERAGE(OFFSET($H$3,0,0,'Données projet'!$E$13+1,1))</f>
        <v>302.6937347295995</v>
      </c>
      <c r="CZ106" s="59">
        <f t="shared" si="96"/>
        <v>423.44006663873375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0.14271266263465804</v>
      </c>
      <c r="DG106" s="21">
        <f>EXP(-LN(2)/25)*DG105+(1-EXP(-LN(2)/25))/(LN(2)/25)*Calculateur!DB106*Calculateur!DD106*VLOOKUP('Données projet'!$B$13,Paramètres!$A$1:$I$89,3,0)*0.475*44/12</f>
        <v>0.56672386043740874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0.70943652307206673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227.0687999999997</v>
      </c>
      <c r="DQ106" s="13">
        <f t="shared" si="97"/>
        <v>55.648415216706702</v>
      </c>
      <c r="DR106" s="20">
        <f t="shared" si="70"/>
        <v>492.39914983576364</v>
      </c>
      <c r="DS106" s="59">
        <f t="shared" si="71"/>
        <v>785.73248316909689</v>
      </c>
      <c r="DT106" s="59">
        <f ca="1">AVERAGE(OFFSET($DS$3,0,0,'Données projet'!$E$14+1,1))-AVERAGE(OFFSET($H$3,0,0,'Données projet'!$E$14+1,1))</f>
        <v>366.51581861366333</v>
      </c>
      <c r="DU106" s="59">
        <f t="shared" si="98"/>
        <v>225.01415116995503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34.123822899647493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34.123822899647493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328.00000000000017</v>
      </c>
      <c r="EK106" s="17">
        <f>EJ106*VLOOKUP('Données projet'!$B$15,Paramètres!$A$1:$I$89,3,0)*VLOOKUP('Données projet'!$B$15,Paramètres!$A$1:$I$89,5,0)</f>
        <v>255.84000000000015</v>
      </c>
      <c r="EL106" s="13">
        <f t="shared" si="99"/>
        <v>61.834803371075886</v>
      </c>
      <c r="EM106" s="20">
        <f t="shared" si="73"/>
        <v>553.28361587129086</v>
      </c>
      <c r="EN106" s="59">
        <f t="shared" si="74"/>
        <v>846.61694920462423</v>
      </c>
      <c r="EO106" s="59">
        <f ca="1">AVERAGE(OFFSET($EN$3,0,0,'Données projet'!$E$15+1,1))-AVERAGE(OFFSET($H$3,0,0,'Données projet'!$E$15+1,1))</f>
        <v>288.80569134263209</v>
      </c>
      <c r="EP106" s="59">
        <f t="shared" si="100"/>
        <v>283.48738729114024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10.36657386958035</v>
      </c>
      <c r="EW106" s="21">
        <f>EXP(-LN(2)/25)*EW105+(1-EXP(-LN(2)/25))/(LN(2)/25)*Calculateur!ER106*Calculateur!ET106*VLOOKUP('Données projet'!$B$15,Paramètres!$A$1:$I$89,3,0)*0.475*44/12</f>
        <v>7.6963647981468517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18.062938667727202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-1.0197709343628959E-13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323.17232038705157</v>
      </c>
      <c r="FK106" s="59">
        <f t="shared" si="102"/>
        <v>402.34685738619197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64.201024258342315</v>
      </c>
      <c r="FR106" s="21">
        <f>EXP(-LN(2)/25)*FR105+(1-EXP(-LN(2)/25))/(LN(2)/25)*Calculateur!FM106*Calculateur!FO106*VLOOKUP('Données projet'!$B$16,Paramètres!$A$1:$I$89,3,0)*0.475*44/12</f>
        <v>12.00857715355539</v>
      </c>
      <c r="FS106" s="21">
        <f>EXP(-LN(2)/2)*FS105+(1-EXP(-LN(2)/2))/(LN(2)/2)*FM106*FP106*VLOOKUP('Données projet'!$B$16,Paramètres!$A$1:$I$89,3,0)*0.475*44/12</f>
        <v>3.4060023900031676E-6</v>
      </c>
      <c r="FT106" s="22">
        <f t="shared" si="78"/>
        <v>76.2096048179001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328.00000000000017</v>
      </c>
      <c r="GA106" s="17">
        <f>FZ106*VLOOKUP('Données projet'!$B$17,Paramètres!$A$1:$I$89,3,0)*VLOOKUP('Données projet'!$B$17,Paramètres!$A$1:$I$89,5,0)</f>
        <v>266.07360000000017</v>
      </c>
      <c r="GB106" s="13">
        <f t="shared" si="103"/>
        <v>64.015279012301136</v>
      </c>
      <c r="GC106" s="20">
        <f t="shared" si="79"/>
        <v>574.90479761309132</v>
      </c>
      <c r="GD106" s="59">
        <f t="shared" si="80"/>
        <v>868.23813094642469</v>
      </c>
      <c r="GE106" s="59">
        <f ca="1">AVERAGE(OFFSET($GD$3,0,0,'Données projet'!$E$17+1,1))-AVERAGE(OFFSET($H$3,0,0,'Données projet'!$E$17+1,1))</f>
        <v>298.96480270023716</v>
      </c>
      <c r="GF106" s="59">
        <f t="shared" si="104"/>
        <v>293.11447542333889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13.288501202122536</v>
      </c>
      <c r="GM106" s="21">
        <f>EXP(-LN(2)/25)*GM105+(1-EXP(-LN(2)/25))/(LN(2)/25)*Calculateur!GH106*Calculateur!GJ106*VLOOKUP('Données projet'!$B$17,Paramètres!$A$1:$I$89,3,0)*0.475*44/12</f>
        <v>9.8656657598570821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23.15416696197962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-1.4210854715202004E-13</v>
      </c>
      <c r="GV106" s="17">
        <f>GU106*VLOOKUP('Données projet'!$B$18,Paramètres!$A$1:$I$89,3,0)*VLOOKUP('Données projet'!$B$18,Paramètres!$A$1:$I$89,5,0)</f>
        <v>-8.128608897095547E-14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320.76883487964511</v>
      </c>
      <c r="HA106" s="59">
        <f t="shared" si="106"/>
        <v>290.51177680335746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104.99758379394342</v>
      </c>
      <c r="HH106" s="21">
        <f>EXP(-LN(2)/25)*HH105+(1-EXP(-LN(2)/25))/(LN(2)/25)*Calculateur!HC106*Calculateur!HE106*VLOOKUP('Données projet'!$B$18,Paramètres!$A$1:$I$89,3,0)*0.475*44/12</f>
        <v>23.257109916137917</v>
      </c>
      <c r="HI106" s="21">
        <f>EXP(-LN(2)/2)*HI105+(1-EXP(-LN(2)/2))/(LN(2)/2)*HC106*HF106*VLOOKUP('Données projet'!$B$18,Paramètres!$A$1:$I$89,3,0)*0.475*44/12</f>
        <v>0.35159047663386156</v>
      </c>
      <c r="HJ106" s="22">
        <f t="shared" si="84"/>
        <v>128.60628418671521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309.47150000000045</v>
      </c>
      <c r="AK107" s="13">
        <f t="shared" si="89"/>
        <v>73.15844737867603</v>
      </c>
      <c r="AL107" s="20">
        <f t="shared" si="58"/>
        <v>666.41382501786154</v>
      </c>
      <c r="AM107" s="59">
        <f t="shared" si="59"/>
        <v>959.74715835119491</v>
      </c>
      <c r="AN107" s="59">
        <f ca="1">AVERAGE(OFFSET($AM$3,0,0,'Données projet'!$E$10+1,1))-AVERAGE(OFFSET($H$3,0,0,'Données projet'!$E$10+1,1))</f>
        <v>425.47148407510412</v>
      </c>
      <c r="AO107" s="59">
        <f t="shared" si="90"/>
        <v>308.54448799922471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49.883348216831315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49.883348216831315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212.00000000000009</v>
      </c>
      <c r="BE107" s="13">
        <f>BD107*VLOOKUP('Données projet'!$B$11,Paramètres!$A$1:$I$89,3,0)*VLOOKUP('Données projet'!$B$11,Paramètres!$A$1:$I$89,5,0)</f>
        <v>185.20320000000009</v>
      </c>
      <c r="BF107" s="13">
        <f t="shared" si="91"/>
        <v>46.477875402099386</v>
      </c>
      <c r="BG107" s="20">
        <f t="shared" si="61"/>
        <v>403.5112063253232</v>
      </c>
      <c r="BH107" s="59">
        <f t="shared" si="62"/>
        <v>696.84453965865646</v>
      </c>
      <c r="BI107" s="59">
        <f ca="1">AVERAGE(OFFSET($BH$3,0,0,'Données projet'!$E$11+1,1))-AVERAGE(OFFSET($H$3,0,0,'Données projet'!$E$11+1,1))</f>
        <v>300.63505444445104</v>
      </c>
      <c r="BJ107" s="59">
        <f t="shared" si="92"/>
        <v>266.32508105927997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13.797127439022928</v>
      </c>
      <c r="BQ107" s="21">
        <f>EXP(-LN(2)/25)*BQ106+(1-EXP(-LN(2)/25))/(LN(2)/25)*Calculateur!BL107*Calculateur!BN107*VLOOKUP('Données projet'!$B$11,Paramètres!$A$1:$I$89,3,0)*0.475*44/12</f>
        <v>12.518826786563253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26.315954225586182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5.0961538461538449</v>
      </c>
      <c r="BY107" s="12">
        <f>IF('Données projet'!$A$114&gt;35,BY106+BX107-CG106,IF(A107&lt;'Données projet'!$A$114,$BV$205^A107,IF(A107='Données projet'!$A$114,'Données projet'!$B$114,BY106+BX107-CG106)))</f>
        <v>200.3525641025638</v>
      </c>
      <c r="BZ107" s="13">
        <f>BY107*VLOOKUP('Données projet'!$B$12,Paramètres!$A$1:$I$89,3,0)*VLOOKUP('Données projet'!$B$12,Paramètres!$A$1:$I$89,5,0)</f>
        <v>190.65549999999971</v>
      </c>
      <c r="CA107" s="13">
        <f t="shared" si="93"/>
        <v>47.684845532752689</v>
      </c>
      <c r="CB107" s="20">
        <f t="shared" si="64"/>
        <v>415.10943513621038</v>
      </c>
      <c r="CC107" s="59">
        <f t="shared" si="65"/>
        <v>708.44276846954369</v>
      </c>
      <c r="CD107" s="59">
        <f ca="1">AVERAGE(OFFSET($CC$3,0,0,'Données projet'!$E$12+1,1))-AVERAGE(OFFSET($H$3,0,0,'Données projet'!$E$12+1,1))</f>
        <v>361.26385625423757</v>
      </c>
      <c r="CE107" s="59">
        <f t="shared" si="94"/>
        <v>222.05197404028576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32.915084004996686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32.915084004996686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247.00000000000017</v>
      </c>
      <c r="CU107" s="17">
        <f>CT107*VLOOKUP('Données projet'!$B$13,Paramètres!$A$1:$I$89,3,0)*VLOOKUP('Données projet'!$B$13,Paramètres!$A$1:$I$89,5,0)</f>
        <v>223.48560000000012</v>
      </c>
      <c r="CV107" s="13">
        <f t="shared" si="95"/>
        <v>54.87176918107798</v>
      </c>
      <c r="CW107" s="20">
        <f t="shared" si="67"/>
        <v>484.80575132371092</v>
      </c>
      <c r="CX107" s="59">
        <f t="shared" si="68"/>
        <v>778.13908465704424</v>
      </c>
      <c r="CY107" s="59">
        <f ca="1">AVERAGE(OFFSET($CX$3,0,0,'Données projet'!$E$13+1,1))-AVERAGE(OFFSET($H$3,0,0,'Données projet'!$E$13+1,1))</f>
        <v>302.6937347295995</v>
      </c>
      <c r="CZ107" s="59">
        <f t="shared" si="96"/>
        <v>423.44006663873375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0.13991415436652152</v>
      </c>
      <c r="DG107" s="21">
        <f>EXP(-LN(2)/25)*DG106+(1-EXP(-LN(2)/25))/(LN(2)/25)*Calculateur!DB107*Calculateur!DD107*VLOOKUP('Données projet'!$B$13,Paramètres!$A$1:$I$89,3,0)*0.475*44/12</f>
        <v>0.55122676667103521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0.69114092103755675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193.78099999999972</v>
      </c>
      <c r="DQ107" s="13">
        <f t="shared" si="97"/>
        <v>48.374917210721456</v>
      </c>
      <c r="DR107" s="20">
        <f t="shared" si="70"/>
        <v>421.75488914200605</v>
      </c>
      <c r="DS107" s="59">
        <f t="shared" si="71"/>
        <v>715.08822247533931</v>
      </c>
      <c r="DT107" s="59">
        <f ca="1">AVERAGE(OFFSET($DS$3,0,0,'Données projet'!$E$14+1,1))-AVERAGE(OFFSET($H$3,0,0,'Données projet'!$E$14+1,1))</f>
        <v>366.51581861366333</v>
      </c>
      <c r="DU107" s="59">
        <f t="shared" si="98"/>
        <v>225.01415116995503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33.454675546062212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33.454675546062212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328.00000000000017</v>
      </c>
      <c r="EK107" s="17">
        <f>EJ107*VLOOKUP('Données projet'!$B$15,Paramètres!$A$1:$I$89,3,0)*VLOOKUP('Données projet'!$B$15,Paramètres!$A$1:$I$89,5,0)</f>
        <v>255.84000000000015</v>
      </c>
      <c r="EL107" s="13">
        <f t="shared" si="99"/>
        <v>61.834803371075886</v>
      </c>
      <c r="EM107" s="20">
        <f t="shared" si="73"/>
        <v>553.28361587129086</v>
      </c>
      <c r="EN107" s="59">
        <f t="shared" si="74"/>
        <v>846.61694920462423</v>
      </c>
      <c r="EO107" s="59">
        <f ca="1">AVERAGE(OFFSET($EN$3,0,0,'Données projet'!$E$15+1,1))-AVERAGE(OFFSET($H$3,0,0,'Données projet'!$E$15+1,1))</f>
        <v>288.80569134263209</v>
      </c>
      <c r="EP107" s="59">
        <f t="shared" si="100"/>
        <v>283.48738729114024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10.163291678983597</v>
      </c>
      <c r="EW107" s="21">
        <f>EXP(-LN(2)/25)*EW106+(1-EXP(-LN(2)/25))/(LN(2)/25)*Calculateur!ER107*Calculateur!ET107*VLOOKUP('Données projet'!$B$15,Paramètres!$A$1:$I$89,3,0)*0.475*44/12</f>
        <v>7.4859072980072918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17.649198976990888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-1.0197709343628959E-13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323.17232038705157</v>
      </c>
      <c r="FK107" s="59">
        <f t="shared" si="102"/>
        <v>402.34685738619197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62.942081331394412</v>
      </c>
      <c r="FR107" s="21">
        <f>EXP(-LN(2)/25)*FR106+(1-EXP(-LN(2)/25))/(LN(2)/25)*Calculateur!FM107*Calculateur!FO107*VLOOKUP('Données projet'!$B$16,Paramètres!$A$1:$I$89,3,0)*0.475*44/12</f>
        <v>11.680201979787791</v>
      </c>
      <c r="FS107" s="21">
        <f>EXP(-LN(2)/2)*FS106+(1-EXP(-LN(2)/2))/(LN(2)/2)*FM107*FP107*VLOOKUP('Données projet'!$B$16,Paramètres!$A$1:$I$89,3,0)*0.475*44/12</f>
        <v>2.4084073867088277E-6</v>
      </c>
      <c r="FT107" s="22">
        <f t="shared" si="78"/>
        <v>74.622285719589584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328.00000000000017</v>
      </c>
      <c r="GA107" s="17">
        <f>FZ107*VLOOKUP('Données projet'!$B$17,Paramètres!$A$1:$I$89,3,0)*VLOOKUP('Données projet'!$B$17,Paramètres!$A$1:$I$89,5,0)</f>
        <v>266.07360000000017</v>
      </c>
      <c r="GB107" s="13">
        <f t="shared" si="103"/>
        <v>64.015279012301136</v>
      </c>
      <c r="GC107" s="20">
        <f t="shared" si="79"/>
        <v>574.90479761309132</v>
      </c>
      <c r="GD107" s="59">
        <f t="shared" si="80"/>
        <v>868.23813094642469</v>
      </c>
      <c r="GE107" s="59">
        <f ca="1">AVERAGE(OFFSET($GD$3,0,0,'Données projet'!$E$17+1,1))-AVERAGE(OFFSET($H$3,0,0,'Données projet'!$E$17+1,1))</f>
        <v>298.96480270023716</v>
      </c>
      <c r="GF107" s="59">
        <f t="shared" si="104"/>
        <v>293.11447542333889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13.027921798734326</v>
      </c>
      <c r="GM107" s="21">
        <f>EXP(-LN(2)/25)*GM106+(1-EXP(-LN(2)/25))/(LN(2)/25)*Calculateur!GH107*Calculateur!GJ107*VLOOKUP('Données projet'!$B$17,Paramètres!$A$1:$I$89,3,0)*0.475*44/12</f>
        <v>9.5958886108409764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22.623810409575302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-1.4210854715202004E-13</v>
      </c>
      <c r="GV107" s="17">
        <f>GU107*VLOOKUP('Données projet'!$B$18,Paramètres!$A$1:$I$89,3,0)*VLOOKUP('Données projet'!$B$18,Paramètres!$A$1:$I$89,5,0)</f>
        <v>-8.128608897095547E-14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320.76883487964511</v>
      </c>
      <c r="HA107" s="59">
        <f t="shared" si="106"/>
        <v>290.51177680335746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102.93864521794666</v>
      </c>
      <c r="HH107" s="21">
        <f>EXP(-LN(2)/25)*HH106+(1-EXP(-LN(2)/25))/(LN(2)/25)*Calculateur!HC107*Calculateur!HE107*VLOOKUP('Données projet'!$B$18,Paramètres!$A$1:$I$89,3,0)*0.475*44/12</f>
        <v>22.621143022442869</v>
      </c>
      <c r="HI107" s="21">
        <f>EXP(-LN(2)/2)*HI106+(1-EXP(-LN(2)/2))/(LN(2)/2)*HC107*HF107*VLOOKUP('Données projet'!$B$18,Paramètres!$A$1:$I$89,3,0)*0.475*44/12</f>
        <v>0.24861201022841392</v>
      </c>
      <c r="HJ107" s="22">
        <f t="shared" si="84"/>
        <v>125.80840025061794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316.56300000000044</v>
      </c>
      <c r="AK108" s="13">
        <f t="shared" si="89"/>
        <v>74.637770139918928</v>
      </c>
      <c r="AL108" s="20">
        <f t="shared" si="58"/>
        <v>681.34134132702627</v>
      </c>
      <c r="AM108" s="59">
        <f t="shared" si="59"/>
        <v>974.67467466035964</v>
      </c>
      <c r="AN108" s="59">
        <f ca="1">AVERAGE(OFFSET($AM$3,0,0,'Données projet'!$E$10+1,1))-AVERAGE(OFFSET($H$3,0,0,'Données projet'!$E$10+1,1))</f>
        <v>425.47148407510412</v>
      </c>
      <c r="AO108" s="59">
        <f t="shared" si="90"/>
        <v>308.54448799922471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48.905166184137364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48.905166184137364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212.00000000000009</v>
      </c>
      <c r="BE108" s="13">
        <f>BD108*VLOOKUP('Données projet'!$B$11,Paramètres!$A$1:$I$89,3,0)*VLOOKUP('Données projet'!$B$11,Paramètres!$A$1:$I$89,5,0)</f>
        <v>185.20320000000009</v>
      </c>
      <c r="BF108" s="13">
        <f t="shared" si="91"/>
        <v>46.477875402099386</v>
      </c>
      <c r="BG108" s="20">
        <f t="shared" si="61"/>
        <v>403.5112063253232</v>
      </c>
      <c r="BH108" s="59">
        <f t="shared" si="62"/>
        <v>696.84453965865646</v>
      </c>
      <c r="BI108" s="59">
        <f ca="1">AVERAGE(OFFSET($BH$3,0,0,'Données projet'!$E$11+1,1))-AVERAGE(OFFSET($H$3,0,0,'Données projet'!$E$11+1,1))</f>
        <v>300.63505444445104</v>
      </c>
      <c r="BJ108" s="59">
        <f t="shared" si="92"/>
        <v>266.32508105927997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13.526574185360472</v>
      </c>
      <c r="BQ108" s="21">
        <f>EXP(-LN(2)/25)*BQ107+(1-EXP(-LN(2)/25))/(LN(2)/25)*Calculateur!BL108*Calculateur!BN108*VLOOKUP('Données projet'!$B$11,Paramètres!$A$1:$I$89,3,0)*0.475*44/12</f>
        <v>12.176498809748193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25.703072995108663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5.0961538461538449</v>
      </c>
      <c r="BY108" s="12">
        <f>IF('Données projet'!$A$114&gt;35,BY107+BX108-CG107,IF(A108&lt;'Données projet'!$A$114,$BV$205^A108,IF(A108='Données projet'!$A$114,'Données projet'!$B$114,BY107+BX108-CG107)))</f>
        <v>205.44871794871764</v>
      </c>
      <c r="BZ108" s="13">
        <f>BY108*VLOOKUP('Données projet'!$B$12,Paramètres!$A$1:$I$89,3,0)*VLOOKUP('Données projet'!$B$12,Paramètres!$A$1:$I$89,5,0)</f>
        <v>195.50499999999971</v>
      </c>
      <c r="CA108" s="13">
        <f t="shared" si="93"/>
        <v>48.754999666014264</v>
      </c>
      <c r="CB108" s="20">
        <f t="shared" si="64"/>
        <v>425.41949941830768</v>
      </c>
      <c r="CC108" s="59">
        <f t="shared" si="65"/>
        <v>718.75283275164099</v>
      </c>
      <c r="CD108" s="59">
        <f ca="1">AVERAGE(OFFSET($CC$3,0,0,'Données projet'!$E$12+1,1))-AVERAGE(OFFSET($H$3,0,0,'Données projet'!$E$12+1,1))</f>
        <v>361.26385625423757</v>
      </c>
      <c r="CE108" s="59">
        <f t="shared" si="94"/>
        <v>222.05197404028576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32.269639283877581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32.269639283877581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247.00000000000017</v>
      </c>
      <c r="CU108" s="17">
        <f>CT108*VLOOKUP('Données projet'!$B$13,Paramètres!$A$1:$I$89,3,0)*VLOOKUP('Données projet'!$B$13,Paramètres!$A$1:$I$89,5,0)</f>
        <v>223.48560000000012</v>
      </c>
      <c r="CV108" s="13">
        <f t="shared" si="95"/>
        <v>54.87176918107798</v>
      </c>
      <c r="CW108" s="20">
        <f t="shared" si="67"/>
        <v>484.80575132371092</v>
      </c>
      <c r="CX108" s="59">
        <f t="shared" si="68"/>
        <v>778.13908465704424</v>
      </c>
      <c r="CY108" s="59">
        <f ca="1">AVERAGE(OFFSET($CX$3,0,0,'Données projet'!$E$13+1,1))-AVERAGE(OFFSET($H$3,0,0,'Données projet'!$E$13+1,1))</f>
        <v>302.6937347295995</v>
      </c>
      <c r="CZ108" s="59">
        <f t="shared" si="96"/>
        <v>423.44006663873375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0.13717052313860165</v>
      </c>
      <c r="DG108" s="21">
        <f>EXP(-LN(2)/25)*DG107+(1-EXP(-LN(2)/25))/(LN(2)/25)*Calculateur!DB108*Calculateur!DD108*VLOOKUP('Données projet'!$B$13,Paramètres!$A$1:$I$89,3,0)*0.475*44/12</f>
        <v>0.53615344174865998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0.67332396488726165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198.70999999999972</v>
      </c>
      <c r="DQ108" s="13">
        <f t="shared" si="97"/>
        <v>49.460558089303781</v>
      </c>
      <c r="DR108" s="20">
        <f t="shared" si="70"/>
        <v>432.23038867220362</v>
      </c>
      <c r="DS108" s="59">
        <f t="shared" si="71"/>
        <v>725.56372200553687</v>
      </c>
      <c r="DT108" s="59">
        <f ca="1">AVERAGE(OFFSET($DS$3,0,0,'Données projet'!$E$14+1,1))-AVERAGE(OFFSET($H$3,0,0,'Données projet'!$E$14+1,1))</f>
        <v>366.51581861366333</v>
      </c>
      <c r="DU108" s="59">
        <f t="shared" si="98"/>
        <v>225.01415116995503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32.798649763941157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32.798649763941157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328.00000000000017</v>
      </c>
      <c r="EK108" s="17">
        <f>EJ108*VLOOKUP('Données projet'!$B$15,Paramètres!$A$1:$I$89,3,0)*VLOOKUP('Données projet'!$B$15,Paramètres!$A$1:$I$89,5,0)</f>
        <v>255.84000000000015</v>
      </c>
      <c r="EL108" s="13">
        <f t="shared" si="99"/>
        <v>61.834803371075886</v>
      </c>
      <c r="EM108" s="20">
        <f t="shared" si="73"/>
        <v>553.28361587129086</v>
      </c>
      <c r="EN108" s="59">
        <f t="shared" si="74"/>
        <v>846.61694920462423</v>
      </c>
      <c r="EO108" s="59">
        <f ca="1">AVERAGE(OFFSET($EN$3,0,0,'Données projet'!$E$15+1,1))-AVERAGE(OFFSET($H$3,0,0,'Données projet'!$E$15+1,1))</f>
        <v>288.80569134263209</v>
      </c>
      <c r="EP108" s="59">
        <f t="shared" si="100"/>
        <v>283.48738729114024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9.9639957281545541</v>
      </c>
      <c r="EW108" s="21">
        <f>EXP(-LN(2)/25)*EW107+(1-EXP(-LN(2)/25))/(LN(2)/25)*Calculateur!ER108*Calculateur!ET108*VLOOKUP('Données projet'!$B$15,Paramètres!$A$1:$I$89,3,0)*0.475*44/12</f>
        <v>7.2812047692765267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17.245200497431082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-1.0197709343628959E-13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323.17232038705157</v>
      </c>
      <c r="FK108" s="59">
        <f t="shared" si="102"/>
        <v>402.34685738619197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61.707825507364596</v>
      </c>
      <c r="FR108" s="21">
        <f>EXP(-LN(2)/25)*FR107+(1-EXP(-LN(2)/25))/(LN(2)/25)*Calculateur!FM108*Calculateur!FO108*VLOOKUP('Données projet'!$B$16,Paramètres!$A$1:$I$89,3,0)*0.475*44/12</f>
        <v>11.360806242415366</v>
      </c>
      <c r="FS108" s="21">
        <f>EXP(-LN(2)/2)*FS107+(1-EXP(-LN(2)/2))/(LN(2)/2)*FM108*FP108*VLOOKUP('Données projet'!$B$16,Paramètres!$A$1:$I$89,3,0)*0.475*44/12</f>
        <v>1.7030011950015838E-6</v>
      </c>
      <c r="FT108" s="22">
        <f t="shared" si="78"/>
        <v>73.068633452781157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328.00000000000017</v>
      </c>
      <c r="GA108" s="17">
        <f>FZ108*VLOOKUP('Données projet'!$B$17,Paramètres!$A$1:$I$89,3,0)*VLOOKUP('Données projet'!$B$17,Paramètres!$A$1:$I$89,5,0)</f>
        <v>266.07360000000017</v>
      </c>
      <c r="GB108" s="13">
        <f t="shared" si="103"/>
        <v>64.015279012301136</v>
      </c>
      <c r="GC108" s="20">
        <f t="shared" si="79"/>
        <v>574.90479761309132</v>
      </c>
      <c r="GD108" s="59">
        <f t="shared" si="80"/>
        <v>868.23813094642469</v>
      </c>
      <c r="GE108" s="59">
        <f ca="1">AVERAGE(OFFSET($GD$3,0,0,'Données projet'!$E$17+1,1))-AVERAGE(OFFSET($H$3,0,0,'Données projet'!$E$17+1,1))</f>
        <v>298.96480270023716</v>
      </c>
      <c r="GF108" s="59">
        <f t="shared" si="104"/>
        <v>293.11447542333889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12.772452198508816</v>
      </c>
      <c r="GM108" s="21">
        <f>EXP(-LN(2)/25)*GM107+(1-EXP(-LN(2)/25))/(LN(2)/25)*Calculateur!GH108*Calculateur!GJ108*VLOOKUP('Données projet'!$B$17,Paramètres!$A$1:$I$89,3,0)*0.475*44/12</f>
        <v>9.3334885321516801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22.105940730660496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-1.4210854715202004E-13</v>
      </c>
      <c r="GV108" s="17">
        <f>GU108*VLOOKUP('Données projet'!$B$18,Paramètres!$A$1:$I$89,3,0)*VLOOKUP('Données projet'!$B$18,Paramètres!$A$1:$I$89,5,0)</f>
        <v>-8.128608897095547E-14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320.76883487964511</v>
      </c>
      <c r="HA108" s="59">
        <f t="shared" si="106"/>
        <v>290.51177680335746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100.92008117159666</v>
      </c>
      <c r="HH108" s="21">
        <f>EXP(-LN(2)/25)*HH107+(1-EXP(-LN(2)/25))/(LN(2)/25)*Calculateur!HC108*Calculateur!HE108*VLOOKUP('Données projet'!$B$18,Paramètres!$A$1:$I$89,3,0)*0.475*44/12</f>
        <v>22.00256667689996</v>
      </c>
      <c r="HI108" s="21">
        <f>EXP(-LN(2)/2)*HI107+(1-EXP(-LN(2)/2))/(LN(2)/2)*HC108*HF108*VLOOKUP('Données projet'!$B$18,Paramètres!$A$1:$I$89,3,0)*0.475*44/12</f>
        <v>0.17579523831693081</v>
      </c>
      <c r="HJ108" s="22">
        <f t="shared" si="84"/>
        <v>123.09844308681356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323.65450000000038</v>
      </c>
      <c r="AK109" s="13">
        <f t="shared" si="89"/>
        <v>76.113240192485776</v>
      </c>
      <c r="AL109" s="20">
        <f t="shared" si="58"/>
        <v>696.26214750191332</v>
      </c>
      <c r="AM109" s="59">
        <f t="shared" si="59"/>
        <v>989.59548083524669</v>
      </c>
      <c r="AN109" s="59">
        <f ca="1">AVERAGE(OFFSET($AM$3,0,0,'Données projet'!$E$10+1,1))-AVERAGE(OFFSET($H$3,0,0,'Données projet'!$E$10+1,1))</f>
        <v>425.47148407510412</v>
      </c>
      <c r="AO109" s="59">
        <f t="shared" si="90"/>
        <v>308.54448799922471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47.946165704472413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47.946165704472413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212.00000000000009</v>
      </c>
      <c r="BE109" s="13">
        <f>BD109*VLOOKUP('Données projet'!$B$11,Paramètres!$A$1:$I$89,3,0)*VLOOKUP('Données projet'!$B$11,Paramètres!$A$1:$I$89,5,0)</f>
        <v>185.20320000000009</v>
      </c>
      <c r="BF109" s="13">
        <f t="shared" si="91"/>
        <v>46.477875402099386</v>
      </c>
      <c r="BG109" s="20">
        <f t="shared" si="61"/>
        <v>403.5112063253232</v>
      </c>
      <c r="BH109" s="59">
        <f t="shared" si="62"/>
        <v>696.84453965865646</v>
      </c>
      <c r="BI109" s="59">
        <f ca="1">AVERAGE(OFFSET($BH$3,0,0,'Données projet'!$E$11+1,1))-AVERAGE(OFFSET($H$3,0,0,'Données projet'!$E$11+1,1))</f>
        <v>300.63505444445104</v>
      </c>
      <c r="BJ109" s="59">
        <f t="shared" si="92"/>
        <v>266.32508105927997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13.261326315981147</v>
      </c>
      <c r="BQ109" s="21">
        <f>EXP(-LN(2)/25)*BQ108+(1-EXP(-LN(2)/25))/(LN(2)/25)*Calculateur!BL109*Calculateur!BN109*VLOOKUP('Données projet'!$B$11,Paramètres!$A$1:$I$89,3,0)*0.475*44/12</f>
        <v>11.843531809461386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25.104858125442533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5.0961538461538449</v>
      </c>
      <c r="BY109" s="12">
        <f>IF('Données projet'!$A$114&gt;35,BY108+BX109-CG108,IF(A109&lt;'Données projet'!$A$114,$BV$205^A109,IF(A109='Données projet'!$A$114,'Données projet'!$B$114,BY108+BX109-CG108)))</f>
        <v>210.54487179487148</v>
      </c>
      <c r="BZ109" s="13">
        <f>BY109*VLOOKUP('Données projet'!$B$12,Paramètres!$A$1:$I$89,3,0)*VLOOKUP('Données projet'!$B$12,Paramètres!$A$1:$I$89,5,0)</f>
        <v>200.35449999999972</v>
      </c>
      <c r="CA109" s="13">
        <f t="shared" si="93"/>
        <v>49.822068064043179</v>
      </c>
      <c r="CB109" s="20">
        <f t="shared" si="64"/>
        <v>435.724189378208</v>
      </c>
      <c r="CC109" s="59">
        <f t="shared" si="65"/>
        <v>729.05752271154131</v>
      </c>
      <c r="CD109" s="59">
        <f ca="1">AVERAGE(OFFSET($CC$3,0,0,'Données projet'!$E$12+1,1))-AVERAGE(OFFSET($H$3,0,0,'Données projet'!$E$12+1,1))</f>
        <v>361.26385625423757</v>
      </c>
      <c r="CE109" s="59">
        <f t="shared" si="94"/>
        <v>222.05197404028576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31.636851340057216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31.636851340057216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247.00000000000017</v>
      </c>
      <c r="CU109" s="17">
        <f>CT109*VLOOKUP('Données projet'!$B$13,Paramètres!$A$1:$I$89,3,0)*VLOOKUP('Données projet'!$B$13,Paramètres!$A$1:$I$89,5,0)</f>
        <v>223.48560000000012</v>
      </c>
      <c r="CV109" s="13">
        <f t="shared" si="95"/>
        <v>54.87176918107798</v>
      </c>
      <c r="CW109" s="20">
        <f t="shared" si="67"/>
        <v>484.80575132371092</v>
      </c>
      <c r="CX109" s="59">
        <f t="shared" si="68"/>
        <v>778.13908465704424</v>
      </c>
      <c r="CY109" s="59">
        <f ca="1">AVERAGE(OFFSET($CX$3,0,0,'Données projet'!$E$13+1,1))-AVERAGE(OFFSET($H$3,0,0,'Données projet'!$E$13+1,1))</f>
        <v>302.6937347295995</v>
      </c>
      <c r="CZ109" s="59">
        <f t="shared" si="96"/>
        <v>423.44006663873375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0.13448069284561148</v>
      </c>
      <c r="DG109" s="21">
        <f>EXP(-LN(2)/25)*DG108+(1-EXP(-LN(2)/25))/(LN(2)/25)*Calculateur!DB109*Calculateur!DD109*VLOOKUP('Données projet'!$B$13,Paramètres!$A$1:$I$89,3,0)*0.475*44/12</f>
        <v>0.52149229768895877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0.65597299053457025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203.63899999999973</v>
      </c>
      <c r="DQ109" s="13">
        <f t="shared" si="97"/>
        <v>50.543068577407823</v>
      </c>
      <c r="DR109" s="20">
        <f t="shared" si="70"/>
        <v>442.70043610565153</v>
      </c>
      <c r="DS109" s="59">
        <f t="shared" si="71"/>
        <v>736.03376943898479</v>
      </c>
      <c r="DT109" s="59">
        <f ca="1">AVERAGE(OFFSET($DS$3,0,0,'Données projet'!$E$14+1,1))-AVERAGE(OFFSET($H$3,0,0,'Données projet'!$E$14+1,1))</f>
        <v>366.51581861366333</v>
      </c>
      <c r="DU109" s="59">
        <f t="shared" si="98"/>
        <v>225.01415116995503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32.155488247271279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32.155488247271279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328.00000000000017</v>
      </c>
      <c r="EK109" s="17">
        <f>EJ109*VLOOKUP('Données projet'!$B$15,Paramètres!$A$1:$I$89,3,0)*VLOOKUP('Données projet'!$B$15,Paramètres!$A$1:$I$89,5,0)</f>
        <v>255.84000000000015</v>
      </c>
      <c r="EL109" s="13">
        <f t="shared" si="99"/>
        <v>61.834803371075886</v>
      </c>
      <c r="EM109" s="20">
        <f t="shared" si="73"/>
        <v>553.28361587129086</v>
      </c>
      <c r="EN109" s="59">
        <f t="shared" si="74"/>
        <v>846.61694920462423</v>
      </c>
      <c r="EO109" s="59">
        <f ca="1">AVERAGE(OFFSET($EN$3,0,0,'Données projet'!$E$15+1,1))-AVERAGE(OFFSET($H$3,0,0,'Données projet'!$E$15+1,1))</f>
        <v>288.80569134263209</v>
      </c>
      <c r="EP109" s="59">
        <f t="shared" si="100"/>
        <v>283.48738729114024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9.7686078493627413</v>
      </c>
      <c r="EW109" s="21">
        <f>EXP(-LN(2)/25)*EW108+(1-EXP(-LN(2)/25))/(LN(2)/25)*Calculateur!ER109*Calculateur!ET109*VLOOKUP('Données projet'!$B$15,Paramètres!$A$1:$I$89,3,0)*0.475*44/12</f>
        <v>7.0820998419587431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16.850707691321485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-1.0197709343628959E-13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323.17232038705157</v>
      </c>
      <c r="FK109" s="59">
        <f t="shared" si="102"/>
        <v>402.34685738619197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60.497772687222287</v>
      </c>
      <c r="FR109" s="21">
        <f>EXP(-LN(2)/25)*FR108+(1-EXP(-LN(2)/25))/(LN(2)/25)*Calculateur!FM109*Calculateur!FO109*VLOOKUP('Données projet'!$B$16,Paramètres!$A$1:$I$89,3,0)*0.475*44/12</f>
        <v>11.050144398277682</v>
      </c>
      <c r="FS109" s="21">
        <f>EXP(-LN(2)/2)*FS108+(1-EXP(-LN(2)/2))/(LN(2)/2)*FM109*FP109*VLOOKUP('Données projet'!$B$16,Paramètres!$A$1:$I$89,3,0)*0.475*44/12</f>
        <v>1.2042036933544138E-6</v>
      </c>
      <c r="FT109" s="22">
        <f t="shared" si="78"/>
        <v>71.547918289703674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328.00000000000017</v>
      </c>
      <c r="GA109" s="17">
        <f>FZ109*VLOOKUP('Données projet'!$B$17,Paramètres!$A$1:$I$89,3,0)*VLOOKUP('Données projet'!$B$17,Paramètres!$A$1:$I$89,5,0)</f>
        <v>266.07360000000017</v>
      </c>
      <c r="GB109" s="13">
        <f t="shared" si="103"/>
        <v>64.015279012301136</v>
      </c>
      <c r="GC109" s="20">
        <f t="shared" si="79"/>
        <v>574.90479761309132</v>
      </c>
      <c r="GD109" s="59">
        <f t="shared" si="80"/>
        <v>868.23813094642469</v>
      </c>
      <c r="GE109" s="59">
        <f ca="1">AVERAGE(OFFSET($GD$3,0,0,'Données projet'!$E$17+1,1))-AVERAGE(OFFSET($H$3,0,0,'Données projet'!$E$17+1,1))</f>
        <v>298.96480270023716</v>
      </c>
      <c r="GF109" s="59">
        <f t="shared" si="104"/>
        <v>293.11447542333889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12.521992201322659</v>
      </c>
      <c r="GM109" s="21">
        <f>EXP(-LN(2)/25)*GM108+(1-EXP(-LN(2)/25))/(LN(2)/25)*Calculateur!GH109*Calculateur!GJ109*VLOOKUP('Données projet'!$B$17,Paramètres!$A$1:$I$89,3,0)*0.475*44/12</f>
        <v>9.0782637974131628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21.600255998735822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-1.4210854715202004E-13</v>
      </c>
      <c r="GV109" s="17">
        <f>GU109*VLOOKUP('Données projet'!$B$18,Paramètres!$A$1:$I$89,3,0)*VLOOKUP('Données projet'!$B$18,Paramètres!$A$1:$I$89,5,0)</f>
        <v>-8.128608897095547E-14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320.76883487964511</v>
      </c>
      <c r="HA109" s="59">
        <f t="shared" si="106"/>
        <v>290.51177680335746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98.941099934993105</v>
      </c>
      <c r="HH109" s="21">
        <f>EXP(-LN(2)/25)*HH108+(1-EXP(-LN(2)/25))/(LN(2)/25)*Calculateur!HC109*Calculateur!HE109*VLOOKUP('Données projet'!$B$18,Paramètres!$A$1:$I$89,3,0)*0.475*44/12</f>
        <v>21.400905334055437</v>
      </c>
      <c r="HI109" s="21">
        <f>EXP(-LN(2)/2)*HI108+(1-EXP(-LN(2)/2))/(LN(2)/2)*HC109*HF109*VLOOKUP('Données projet'!$B$18,Paramètres!$A$1:$I$89,3,0)*0.475*44/12</f>
        <v>0.12430600511420697</v>
      </c>
      <c r="HJ109" s="22">
        <f t="shared" si="84"/>
        <v>120.46631127416275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330.74600000000038</v>
      </c>
      <c r="AK110" s="13">
        <f t="shared" si="89"/>
        <v>77.584951673074755</v>
      </c>
      <c r="AL110" s="20">
        <f t="shared" si="58"/>
        <v>711.17640749727252</v>
      </c>
      <c r="AM110" s="59">
        <f t="shared" si="59"/>
        <v>1004.5097408306058</v>
      </c>
      <c r="AN110" s="59">
        <f ca="1">AVERAGE(OFFSET($AM$3,0,0,'Données projet'!$E$10+1,1))-AVERAGE(OFFSET($H$3,0,0,'Données projet'!$E$10+1,1))</f>
        <v>425.47148407510412</v>
      </c>
      <c r="AO110" s="59">
        <f t="shared" si="90"/>
        <v>308.54448799922471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47.005970639281159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47.005970639281159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212.00000000000009</v>
      </c>
      <c r="BE110" s="13">
        <f>BD110*VLOOKUP('Données projet'!$B$11,Paramètres!$A$1:$I$89,3,0)*VLOOKUP('Données projet'!$B$11,Paramètres!$A$1:$I$89,5,0)</f>
        <v>185.20320000000009</v>
      </c>
      <c r="BF110" s="13">
        <f t="shared" si="91"/>
        <v>46.477875402099386</v>
      </c>
      <c r="BG110" s="20">
        <f t="shared" si="61"/>
        <v>403.5112063253232</v>
      </c>
      <c r="BH110" s="59">
        <f t="shared" si="62"/>
        <v>696.84453965865646</v>
      </c>
      <c r="BI110" s="59">
        <f ca="1">AVERAGE(OFFSET($BH$3,0,0,'Données projet'!$E$11+1,1))-AVERAGE(OFFSET($H$3,0,0,'Données projet'!$E$11+1,1))</f>
        <v>300.63505444445104</v>
      </c>
      <c r="BJ110" s="59">
        <f t="shared" si="92"/>
        <v>266.32508105927997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13.001279795535126</v>
      </c>
      <c r="BQ110" s="21">
        <f>EXP(-LN(2)/25)*BQ109+(1-EXP(-LN(2)/25))/(LN(2)/25)*Calculateur!BL110*Calculateur!BN110*VLOOKUP('Données projet'!$B$11,Paramètres!$A$1:$I$89,3,0)*0.475*44/12</f>
        <v>11.519669809307395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24.520949604842521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5.0961538461538449</v>
      </c>
      <c r="BY110" s="12">
        <f>IF('Données projet'!$A$114&gt;35,BY109+BX110-CG109,IF(A110&lt;'Données projet'!$A$114,$BV$205^A110,IF(A110='Données projet'!$A$114,'Données projet'!$B$114,BY109+BX110-CG109)))</f>
        <v>215.64102564102532</v>
      </c>
      <c r="BZ110" s="13">
        <f>BY110*VLOOKUP('Données projet'!$B$12,Paramètres!$A$1:$I$89,3,0)*VLOOKUP('Données projet'!$B$12,Paramètres!$A$1:$I$89,5,0)</f>
        <v>205.2039999999997</v>
      </c>
      <c r="CA110" s="13">
        <f t="shared" si="93"/>
        <v>50.886134008708559</v>
      </c>
      <c r="CB110" s="20">
        <f t="shared" si="64"/>
        <v>446.02365006516692</v>
      </c>
      <c r="CC110" s="59">
        <f t="shared" si="65"/>
        <v>739.35698339850023</v>
      </c>
      <c r="CD110" s="59">
        <f ca="1">AVERAGE(OFFSET($CC$3,0,0,'Données projet'!$E$12+1,1))-AVERAGE(OFFSET($H$3,0,0,'Données projet'!$E$12+1,1))</f>
        <v>361.26385625423757</v>
      </c>
      <c r="CE110" s="59">
        <f t="shared" si="94"/>
        <v>222.05197404028576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31.016471981852632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31.016471981852632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247.00000000000017</v>
      </c>
      <c r="CU110" s="17">
        <f>CT110*VLOOKUP('Données projet'!$B$13,Paramètres!$A$1:$I$89,3,0)*VLOOKUP('Données projet'!$B$13,Paramètres!$A$1:$I$89,5,0)</f>
        <v>223.48560000000012</v>
      </c>
      <c r="CV110" s="13">
        <f t="shared" si="95"/>
        <v>54.87176918107798</v>
      </c>
      <c r="CW110" s="20">
        <f t="shared" si="67"/>
        <v>484.80575132371092</v>
      </c>
      <c r="CX110" s="59">
        <f t="shared" si="68"/>
        <v>778.13908465704424</v>
      </c>
      <c r="CY110" s="59">
        <f ca="1">AVERAGE(OFFSET($CX$3,0,0,'Données projet'!$E$13+1,1))-AVERAGE(OFFSET($H$3,0,0,'Données projet'!$E$13+1,1))</f>
        <v>302.6937347295995</v>
      </c>
      <c r="CZ110" s="59">
        <f t="shared" si="96"/>
        <v>423.44006663873375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0.13184360848403237</v>
      </c>
      <c r="DG110" s="21">
        <f>EXP(-LN(2)/25)*DG109+(1-EXP(-LN(2)/25))/(LN(2)/25)*Calculateur!DB110*Calculateur!DD110*VLOOKUP('Données projet'!$B$13,Paramètres!$A$1:$I$89,3,0)*0.475*44/12</f>
        <v>0.50723206338456617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0.63907567186859859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208.5679999999997</v>
      </c>
      <c r="DQ110" s="13">
        <f t="shared" si="97"/>
        <v>51.622533162117087</v>
      </c>
      <c r="DR110" s="20">
        <f t="shared" si="70"/>
        <v>453.16517859068671</v>
      </c>
      <c r="DS110" s="59">
        <f t="shared" si="71"/>
        <v>746.49851192402002</v>
      </c>
      <c r="DT110" s="59">
        <f ca="1">AVERAGE(OFFSET($DS$3,0,0,'Données projet'!$E$14+1,1))-AVERAGE(OFFSET($H$3,0,0,'Données projet'!$E$14+1,1))</f>
        <v>366.51581861366333</v>
      </c>
      <c r="DU110" s="59">
        <f t="shared" si="98"/>
        <v>225.01415116995503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31.524938735653507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31.524938735653507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328.00000000000017</v>
      </c>
      <c r="EK110" s="17">
        <f>EJ110*VLOOKUP('Données projet'!$B$15,Paramètres!$A$1:$I$89,3,0)*VLOOKUP('Données projet'!$B$15,Paramètres!$A$1:$I$89,5,0)</f>
        <v>255.84000000000015</v>
      </c>
      <c r="EL110" s="13">
        <f t="shared" si="99"/>
        <v>61.834803371075886</v>
      </c>
      <c r="EM110" s="20">
        <f t="shared" si="73"/>
        <v>553.28361587129086</v>
      </c>
      <c r="EN110" s="59">
        <f t="shared" si="74"/>
        <v>846.61694920462423</v>
      </c>
      <c r="EO110" s="59">
        <f ca="1">AVERAGE(OFFSET($EN$3,0,0,'Données projet'!$E$15+1,1))-AVERAGE(OFFSET($H$3,0,0,'Données projet'!$E$15+1,1))</f>
        <v>288.80569134263209</v>
      </c>
      <c r="EP110" s="59">
        <f t="shared" si="100"/>
        <v>283.48738729114024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9.5770514076991962</v>
      </c>
      <c r="EW110" s="21">
        <f>EXP(-LN(2)/25)*EW109+(1-EXP(-LN(2)/25))/(LN(2)/25)*Calculateur!ER110*Calculateur!ET110*VLOOKUP('Données projet'!$B$15,Paramètres!$A$1:$I$89,3,0)*0.475*44/12</f>
        <v>6.8884394493489367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16.465490857048131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-1.0197709343628959E-13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323.17232038705157</v>
      </c>
      <c r="FK110" s="59">
        <f t="shared" si="102"/>
        <v>402.34685738619197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59.311448264823625</v>
      </c>
      <c r="FR110" s="21">
        <f>EXP(-LN(2)/25)*FR109+(1-EXP(-LN(2)/25))/(LN(2)/25)*Calculateur!FM110*Calculateur!FO110*VLOOKUP('Données projet'!$B$16,Paramètres!$A$1:$I$89,3,0)*0.475*44/12</f>
        <v>10.74797761860494</v>
      </c>
      <c r="FS110" s="21">
        <f>EXP(-LN(2)/2)*FS109+(1-EXP(-LN(2)/2))/(LN(2)/2)*FM110*FP110*VLOOKUP('Données projet'!$B$16,Paramètres!$A$1:$I$89,3,0)*0.475*44/12</f>
        <v>8.5150059750079189E-7</v>
      </c>
      <c r="FT110" s="22">
        <f t="shared" si="78"/>
        <v>70.059426734929161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328.00000000000017</v>
      </c>
      <c r="GA110" s="17">
        <f>FZ110*VLOOKUP('Données projet'!$B$17,Paramètres!$A$1:$I$89,3,0)*VLOOKUP('Données projet'!$B$17,Paramètres!$A$1:$I$89,5,0)</f>
        <v>266.07360000000017</v>
      </c>
      <c r="GB110" s="13">
        <f t="shared" si="103"/>
        <v>64.015279012301136</v>
      </c>
      <c r="GC110" s="20">
        <f t="shared" si="79"/>
        <v>574.90479761309132</v>
      </c>
      <c r="GD110" s="59">
        <f t="shared" si="80"/>
        <v>868.23813094642469</v>
      </c>
      <c r="GE110" s="59">
        <f ca="1">AVERAGE(OFFSET($GD$3,0,0,'Données projet'!$E$17+1,1))-AVERAGE(OFFSET($H$3,0,0,'Données projet'!$E$17+1,1))</f>
        <v>298.96480270023716</v>
      </c>
      <c r="GF110" s="59">
        <f t="shared" si="104"/>
        <v>293.11447542333889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12.276443571915808</v>
      </c>
      <c r="GM110" s="21">
        <f>EXP(-LN(2)/25)*GM109+(1-EXP(-LN(2)/25))/(LN(2)/25)*Calculateur!GH110*Calculateur!GJ110*VLOOKUP('Données projet'!$B$17,Paramètres!$A$1:$I$89,3,0)*0.475*44/12</f>
        <v>8.8300181964677549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21.106461768383561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-1.4210854715202004E-13</v>
      </c>
      <c r="GV110" s="17">
        <f>GU110*VLOOKUP('Données projet'!$B$18,Paramètres!$A$1:$I$89,3,0)*VLOOKUP('Données projet'!$B$18,Paramètres!$A$1:$I$89,5,0)</f>
        <v>-8.128608897095547E-14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320.76883487964511</v>
      </c>
      <c r="HA110" s="59">
        <f t="shared" si="106"/>
        <v>290.51177680335746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97.000925313379966</v>
      </c>
      <c r="HH110" s="21">
        <f>EXP(-LN(2)/25)*HH109+(1-EXP(-LN(2)/25))/(LN(2)/25)*Calculateur!HC110*Calculateur!HE110*VLOOKUP('Données projet'!$B$18,Paramètres!$A$1:$I$89,3,0)*0.475*44/12</f>
        <v>20.815696452270991</v>
      </c>
      <c r="HI110" s="21">
        <f>EXP(-LN(2)/2)*HI109+(1-EXP(-LN(2)/2))/(LN(2)/2)*HC110*HF110*VLOOKUP('Données projet'!$B$18,Paramètres!$A$1:$I$89,3,0)*0.475*44/12</f>
        <v>8.7897619158465418E-2</v>
      </c>
      <c r="HJ110" s="22">
        <f t="shared" si="84"/>
        <v>117.90451938480942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337.83750000000038</v>
      </c>
      <c r="AK111" s="13">
        <f t="shared" si="89"/>
        <v>79.052994451033314</v>
      </c>
      <c r="AL111" s="20">
        <f t="shared" si="58"/>
        <v>726.08427783555044</v>
      </c>
      <c r="AM111" s="59">
        <f t="shared" si="59"/>
        <v>1019.4176111688837</v>
      </c>
      <c r="AN111" s="59">
        <f ca="1">AVERAGE(OFFSET($AM$3,0,0,'Données projet'!$E$10+1,1))-AVERAGE(OFFSET($H$3,0,0,'Données projet'!$E$10+1,1))</f>
        <v>425.47148407510412</v>
      </c>
      <c r="AO111" s="59">
        <f t="shared" si="90"/>
        <v>308.54448799922471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46.084212225855936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46.084212225855936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212.00000000000009</v>
      </c>
      <c r="BE111" s="13">
        <f>BD111*VLOOKUP('Données projet'!$B$11,Paramètres!$A$1:$I$89,3,0)*VLOOKUP('Données projet'!$B$11,Paramètres!$A$1:$I$89,5,0)</f>
        <v>185.20320000000009</v>
      </c>
      <c r="BF111" s="13">
        <f t="shared" si="91"/>
        <v>46.477875402099386</v>
      </c>
      <c r="BG111" s="20">
        <f t="shared" si="61"/>
        <v>403.5112063253232</v>
      </c>
      <c r="BH111" s="59">
        <f t="shared" si="62"/>
        <v>696.84453965865646</v>
      </c>
      <c r="BI111" s="59">
        <f ca="1">AVERAGE(OFFSET($BH$3,0,0,'Données projet'!$E$11+1,1))-AVERAGE(OFFSET($H$3,0,0,'Données projet'!$E$11+1,1))</f>
        <v>300.63505444445104</v>
      </c>
      <c r="BJ111" s="59">
        <f t="shared" si="92"/>
        <v>266.32508105927997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12.746332628742335</v>
      </c>
      <c r="BQ111" s="21">
        <f>EXP(-LN(2)/25)*BQ110+(1-EXP(-LN(2)/25))/(LN(2)/25)*Calculateur!BL111*Calculateur!BN111*VLOOKUP('Données projet'!$B$11,Paramètres!$A$1:$I$89,3,0)*0.475*44/12</f>
        <v>11.204663832578778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23.950996461321111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5.0961538461538449</v>
      </c>
      <c r="BY111" s="12">
        <f>IF('Données projet'!$A$114&gt;35,BY110+BX111-CG110,IF(A111&lt;'Données projet'!$A$114,$BV$205^A111,IF(A111='Données projet'!$A$114,'Données projet'!$B$114,BY110+BX111-CG110)))</f>
        <v>220.73717948717916</v>
      </c>
      <c r="BZ111" s="13">
        <f>BY111*VLOOKUP('Données projet'!$B$12,Paramètres!$A$1:$I$89,3,0)*VLOOKUP('Données projet'!$B$12,Paramètres!$A$1:$I$89,5,0)</f>
        <v>210.0534999999997</v>
      </c>
      <c r="CA111" s="13">
        <f t="shared" si="93"/>
        <v>51.947276621012158</v>
      </c>
      <c r="CB111" s="20">
        <f t="shared" si="64"/>
        <v>456.3180192815957</v>
      </c>
      <c r="CC111" s="59">
        <f t="shared" si="65"/>
        <v>749.65135261492901</v>
      </c>
      <c r="CD111" s="59">
        <f ca="1">AVERAGE(OFFSET($CC$3,0,0,'Données projet'!$E$12+1,1))-AVERAGE(OFFSET($H$3,0,0,'Données projet'!$E$12+1,1))</f>
        <v>361.26385625423757</v>
      </c>
      <c r="CE111" s="59">
        <f t="shared" si="94"/>
        <v>222.05197404028576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30.408257884468394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30.408257884468394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247.00000000000017</v>
      </c>
      <c r="CU111" s="17">
        <f>CT111*VLOOKUP('Données projet'!$B$13,Paramètres!$A$1:$I$89,3,0)*VLOOKUP('Données projet'!$B$13,Paramètres!$A$1:$I$89,5,0)</f>
        <v>223.48560000000012</v>
      </c>
      <c r="CV111" s="13">
        <f t="shared" si="95"/>
        <v>54.87176918107798</v>
      </c>
      <c r="CW111" s="20">
        <f t="shared" si="67"/>
        <v>484.80575132371092</v>
      </c>
      <c r="CX111" s="59">
        <f t="shared" si="68"/>
        <v>778.13908465704424</v>
      </c>
      <c r="CY111" s="59">
        <f ca="1">AVERAGE(OFFSET($CX$3,0,0,'Données projet'!$E$13+1,1))-AVERAGE(OFFSET($H$3,0,0,'Données projet'!$E$13+1,1))</f>
        <v>302.6937347295995</v>
      </c>
      <c r="CZ111" s="59">
        <f t="shared" si="96"/>
        <v>423.44006663873375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0.12925823573832118</v>
      </c>
      <c r="DG111" s="21">
        <f>EXP(-LN(2)/25)*DG110+(1-EXP(-LN(2)/25))/(LN(2)/25)*Calculateur!DB111*Calculateur!DD111*VLOOKUP('Données projet'!$B$13,Paramètres!$A$1:$I$89,3,0)*0.475*44/12</f>
        <v>0.49336177593714031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0.62262001167546144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213.4969999999997</v>
      </c>
      <c r="DQ111" s="13">
        <f t="shared" si="97"/>
        <v>52.699032109433475</v>
      </c>
      <c r="DR111" s="20">
        <f t="shared" si="70"/>
        <v>463.6247559239294</v>
      </c>
      <c r="DS111" s="59">
        <f t="shared" si="71"/>
        <v>756.95808925726271</v>
      </c>
      <c r="DT111" s="59">
        <f ca="1">AVERAGE(OFFSET($DS$3,0,0,'Données projet'!$E$14+1,1))-AVERAGE(OFFSET($H$3,0,0,'Données projet'!$E$14+1,1))</f>
        <v>366.51581861366333</v>
      </c>
      <c r="DU111" s="59">
        <f t="shared" si="98"/>
        <v>225.01415116995503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30.906753915361332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30.906753915361332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328.00000000000017</v>
      </c>
      <c r="EK111" s="17">
        <f>EJ111*VLOOKUP('Données projet'!$B$15,Paramètres!$A$1:$I$89,3,0)*VLOOKUP('Données projet'!$B$15,Paramètres!$A$1:$I$89,5,0)</f>
        <v>255.84000000000015</v>
      </c>
      <c r="EL111" s="13">
        <f t="shared" si="99"/>
        <v>61.834803371075886</v>
      </c>
      <c r="EM111" s="20">
        <f t="shared" si="73"/>
        <v>553.28361587129086</v>
      </c>
      <c r="EN111" s="59">
        <f t="shared" si="74"/>
        <v>846.61694920462423</v>
      </c>
      <c r="EO111" s="59">
        <f ca="1">AVERAGE(OFFSET($EN$3,0,0,'Données projet'!$E$15+1,1))-AVERAGE(OFFSET($H$3,0,0,'Données projet'!$E$15+1,1))</f>
        <v>288.80569134263209</v>
      </c>
      <c r="EP111" s="59">
        <f t="shared" si="100"/>
        <v>283.48738729114024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9.3892512710187805</v>
      </c>
      <c r="EW111" s="21">
        <f>EXP(-LN(2)/25)*EW110+(1-EXP(-LN(2)/25))/(LN(2)/25)*Calculateur!ER111*Calculateur!ET111*VLOOKUP('Données projet'!$B$15,Paramètres!$A$1:$I$89,3,0)*0.475*44/12</f>
        <v>6.7000747103592033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16.089325981377982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-1.0197709343628959E-13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323.17232038705157</v>
      </c>
      <c r="FK111" s="59">
        <f t="shared" si="102"/>
        <v>402.34685738619197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58.148386940761753</v>
      </c>
      <c r="FR111" s="21">
        <f>EXP(-LN(2)/25)*FR110+(1-EXP(-LN(2)/25))/(LN(2)/25)*Calculateur!FM111*Calculateur!FO111*VLOOKUP('Données projet'!$B$16,Paramètres!$A$1:$I$89,3,0)*0.475*44/12</f>
        <v>10.45407360541261</v>
      </c>
      <c r="FS111" s="21">
        <f>EXP(-LN(2)/2)*FS110+(1-EXP(-LN(2)/2))/(LN(2)/2)*FM111*FP111*VLOOKUP('Données projet'!$B$16,Paramètres!$A$1:$I$89,3,0)*0.475*44/12</f>
        <v>6.0210184667720692E-7</v>
      </c>
      <c r="FT111" s="22">
        <f t="shared" si="78"/>
        <v>68.60246114827622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328.00000000000017</v>
      </c>
      <c r="GA111" s="17">
        <f>FZ111*VLOOKUP('Données projet'!$B$17,Paramètres!$A$1:$I$89,3,0)*VLOOKUP('Données projet'!$B$17,Paramètres!$A$1:$I$89,5,0)</f>
        <v>266.07360000000017</v>
      </c>
      <c r="GB111" s="13">
        <f t="shared" si="103"/>
        <v>64.015279012301136</v>
      </c>
      <c r="GC111" s="20">
        <f t="shared" si="79"/>
        <v>574.90479761309132</v>
      </c>
      <c r="GD111" s="59">
        <f t="shared" si="80"/>
        <v>868.23813094642469</v>
      </c>
      <c r="GE111" s="59">
        <f ca="1">AVERAGE(OFFSET($GD$3,0,0,'Données projet'!$E$17+1,1))-AVERAGE(OFFSET($H$3,0,0,'Données projet'!$E$17+1,1))</f>
        <v>298.96480270023716</v>
      </c>
      <c r="GF111" s="59">
        <f t="shared" si="104"/>
        <v>293.11447542333889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12.03571000136175</v>
      </c>
      <c r="GM111" s="21">
        <f>EXP(-LN(2)/25)*GM110+(1-EXP(-LN(2)/25))/(LN(2)/25)*Calculateur!GH111*Calculateur!GJ111*VLOOKUP('Données projet'!$B$17,Paramètres!$A$1:$I$89,3,0)*0.475*44/12</f>
        <v>8.5885608845348678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20.624270885896618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-1.4210854715202004E-13</v>
      </c>
      <c r="GV111" s="17">
        <f>GU111*VLOOKUP('Données projet'!$B$18,Paramètres!$A$1:$I$89,3,0)*VLOOKUP('Données projet'!$B$18,Paramètres!$A$1:$I$89,5,0)</f>
        <v>-8.128608897095547E-14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320.76883487964511</v>
      </c>
      <c r="HA111" s="59">
        <f t="shared" si="106"/>
        <v>290.51177680335746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95.098796332706996</v>
      </c>
      <c r="HH111" s="21">
        <f>EXP(-LN(2)/25)*HH110+(1-EXP(-LN(2)/25))/(LN(2)/25)*Calculateur!HC111*Calculateur!HE111*VLOOKUP('Données projet'!$B$18,Paramètres!$A$1:$I$89,3,0)*0.475*44/12</f>
        <v>20.246490138133741</v>
      </c>
      <c r="HI111" s="21">
        <f>EXP(-LN(2)/2)*HI110+(1-EXP(-LN(2)/2))/(LN(2)/2)*HC111*HF111*VLOOKUP('Données projet'!$B$18,Paramètres!$A$1:$I$89,3,0)*0.475*44/12</f>
        <v>6.2153002557103501E-2</v>
      </c>
      <c r="HJ111" s="22">
        <f t="shared" si="84"/>
        <v>115.40743947339784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344.92900000000037</v>
      </c>
      <c r="AK112" s="13">
        <f t="shared" si="89"/>
        <v>80.51745440725162</v>
      </c>
      <c r="AL112" s="20">
        <f t="shared" si="58"/>
        <v>740.98590809263044</v>
      </c>
      <c r="AM112" s="59">
        <f t="shared" si="59"/>
        <v>1034.3192414259638</v>
      </c>
      <c r="AN112" s="59">
        <f ca="1">AVERAGE(OFFSET($AM$3,0,0,'Données projet'!$E$10+1,1))-AVERAGE(OFFSET($H$3,0,0,'Données projet'!$E$10+1,1))</f>
        <v>425.47148407510412</v>
      </c>
      <c r="AO112" s="59">
        <f t="shared" si="90"/>
        <v>308.54448799922471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67.429795661161677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67.429795661161677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212.00000000000009</v>
      </c>
      <c r="BE112" s="13">
        <f>BD112*VLOOKUP('Données projet'!$B$11,Paramètres!$A$1:$I$89,3,0)*VLOOKUP('Données projet'!$B$11,Paramètres!$A$1:$I$89,5,0)</f>
        <v>185.20320000000009</v>
      </c>
      <c r="BF112" s="13">
        <f t="shared" si="91"/>
        <v>46.477875402099386</v>
      </c>
      <c r="BG112" s="20">
        <f t="shared" si="61"/>
        <v>403.5112063253232</v>
      </c>
      <c r="BH112" s="59">
        <f t="shared" si="62"/>
        <v>696.84453965865646</v>
      </c>
      <c r="BI112" s="59">
        <f ca="1">AVERAGE(OFFSET($BH$3,0,0,'Données projet'!$E$11+1,1))-AVERAGE(OFFSET($H$3,0,0,'Données projet'!$E$11+1,1))</f>
        <v>300.63505444445104</v>
      </c>
      <c r="BJ112" s="59">
        <f t="shared" si="92"/>
        <v>266.32508105927997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12.496384820387934</v>
      </c>
      <c r="BQ112" s="21">
        <f>EXP(-LN(2)/25)*BQ111+(1-EXP(-LN(2)/25))/(LN(2)/25)*Calculateur!BL112*Calculateur!BN112*VLOOKUP('Données projet'!$B$11,Paramètres!$A$1:$I$89,3,0)*0.475*44/12</f>
        <v>10.898271710849249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23.394656531237182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5.0961538461538449</v>
      </c>
      <c r="BY112" s="12">
        <f>IF('Données projet'!$A$114&gt;35,BY111+BX112-CG111,IF(A112&lt;'Données projet'!$A$114,$BV$205^A112,IF(A112='Données projet'!$A$114,'Données projet'!$B$114,BY111+BX112-CG111)))</f>
        <v>225.833333333333</v>
      </c>
      <c r="BZ112" s="13">
        <f>BY112*VLOOKUP('Données projet'!$B$12,Paramètres!$A$1:$I$89,3,0)*VLOOKUP('Données projet'!$B$12,Paramètres!$A$1:$I$89,5,0)</f>
        <v>214.90299999999968</v>
      </c>
      <c r="CA112" s="13">
        <f t="shared" si="93"/>
        <v>53.005571160160272</v>
      </c>
      <c r="CB112" s="20">
        <f t="shared" si="64"/>
        <v>466.60742810394527</v>
      </c>
      <c r="CC112" s="59">
        <f t="shared" si="65"/>
        <v>759.94076143727852</v>
      </c>
      <c r="CD112" s="59">
        <f ca="1">AVERAGE(OFFSET($CC$3,0,0,'Données projet'!$E$12+1,1))-AVERAGE(OFFSET($H$3,0,0,'Données projet'!$E$12+1,1))</f>
        <v>361.26385625423757</v>
      </c>
      <c r="CE112" s="59">
        <f t="shared" si="94"/>
        <v>222.05197404028576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29.811970494559894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29.811970494559894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247.00000000000017</v>
      </c>
      <c r="CU112" s="17">
        <f>CT112*VLOOKUP('Données projet'!$B$13,Paramètres!$A$1:$I$89,3,0)*VLOOKUP('Données projet'!$B$13,Paramètres!$A$1:$I$89,5,0)</f>
        <v>223.48560000000012</v>
      </c>
      <c r="CV112" s="13">
        <f t="shared" si="95"/>
        <v>54.87176918107798</v>
      </c>
      <c r="CW112" s="20">
        <f t="shared" si="67"/>
        <v>484.80575132371092</v>
      </c>
      <c r="CX112" s="59">
        <f t="shared" si="68"/>
        <v>778.13908465704424</v>
      </c>
      <c r="CY112" s="59">
        <f ca="1">AVERAGE(OFFSET($CX$3,0,0,'Données projet'!$E$13+1,1))-AVERAGE(OFFSET($H$3,0,0,'Données projet'!$E$13+1,1))</f>
        <v>302.6937347295995</v>
      </c>
      <c r="CZ112" s="59">
        <f t="shared" si="96"/>
        <v>423.44006663873375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0.12672356057523174</v>
      </c>
      <c r="DG112" s="21">
        <f>EXP(-LN(2)/25)*DG111+(1-EXP(-LN(2)/25))/(LN(2)/25)*Calculateur!DB112*Calculateur!DD112*VLOOKUP('Données projet'!$B$13,Paramètres!$A$1:$I$89,3,0)*0.475*44/12</f>
        <v>0.47987077222937102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0.60659433280460273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218.42599999999968</v>
      </c>
      <c r="DQ112" s="13">
        <f t="shared" si="97"/>
        <v>53.772641767677783</v>
      </c>
      <c r="DR112" s="20">
        <f t="shared" si="70"/>
        <v>474.07930107870487</v>
      </c>
      <c r="DS112" s="59">
        <f t="shared" si="71"/>
        <v>767.41263441203819</v>
      </c>
      <c r="DT112" s="59">
        <f ca="1">AVERAGE(OFFSET($DS$3,0,0,'Données projet'!$E$14+1,1))-AVERAGE(OFFSET($H$3,0,0,'Données projet'!$E$14+1,1))</f>
        <v>366.51581861366333</v>
      </c>
      <c r="DU112" s="59">
        <f t="shared" si="98"/>
        <v>225.01415116995503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30.300691322339578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30.300691322339578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328.00000000000017</v>
      </c>
      <c r="EK112" s="17">
        <f>EJ112*VLOOKUP('Données projet'!$B$15,Paramètres!$A$1:$I$89,3,0)*VLOOKUP('Données projet'!$B$15,Paramètres!$A$1:$I$89,5,0)</f>
        <v>255.84000000000015</v>
      </c>
      <c r="EL112" s="13">
        <f t="shared" si="99"/>
        <v>61.834803371075886</v>
      </c>
      <c r="EM112" s="20">
        <f t="shared" si="73"/>
        <v>553.28361587129086</v>
      </c>
      <c r="EN112" s="59">
        <f t="shared" si="74"/>
        <v>846.61694920462423</v>
      </c>
      <c r="EO112" s="59">
        <f ca="1">AVERAGE(OFFSET($EN$3,0,0,'Données projet'!$E$15+1,1))-AVERAGE(OFFSET($H$3,0,0,'Données projet'!$E$15+1,1))</f>
        <v>288.80569134263209</v>
      </c>
      <c r="EP112" s="59">
        <f t="shared" si="100"/>
        <v>283.48738729114024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9.2051337804718951</v>
      </c>
      <c r="EW112" s="21">
        <f>EXP(-LN(2)/25)*EW111+(1-EXP(-LN(2)/25))/(LN(2)/25)*Calculateur!ER112*Calculateur!ET112*VLOOKUP('Données projet'!$B$15,Paramètres!$A$1:$I$89,3,0)*0.475*44/12</f>
        <v>6.5168608150628149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15.72199459553471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-1.0197709343628959E-13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323.17232038705157</v>
      </c>
      <c r="FK112" s="59">
        <f t="shared" si="102"/>
        <v>402.34685738619197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57.008132539867375</v>
      </c>
      <c r="FR112" s="21">
        <f>EXP(-LN(2)/25)*FR111+(1-EXP(-LN(2)/25))/(LN(2)/25)*Calculateur!FM112*Calculateur!FO112*VLOOKUP('Données projet'!$B$16,Paramètres!$A$1:$I$89,3,0)*0.475*44/12</f>
        <v>10.168206412916764</v>
      </c>
      <c r="FS112" s="21">
        <f>EXP(-LN(2)/2)*FS111+(1-EXP(-LN(2)/2))/(LN(2)/2)*FM112*FP112*VLOOKUP('Données projet'!$B$16,Paramètres!$A$1:$I$89,3,0)*0.475*44/12</f>
        <v>4.2575029875039594E-7</v>
      </c>
      <c r="FT112" s="22">
        <f t="shared" si="78"/>
        <v>67.176339378534436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328.00000000000017</v>
      </c>
      <c r="GA112" s="17">
        <f>FZ112*VLOOKUP('Données projet'!$B$17,Paramètres!$A$1:$I$89,3,0)*VLOOKUP('Données projet'!$B$17,Paramètres!$A$1:$I$89,5,0)</f>
        <v>266.07360000000017</v>
      </c>
      <c r="GB112" s="13">
        <f t="shared" si="103"/>
        <v>64.015279012301136</v>
      </c>
      <c r="GC112" s="20">
        <f t="shared" si="79"/>
        <v>574.90479761309132</v>
      </c>
      <c r="GD112" s="59">
        <f t="shared" si="80"/>
        <v>868.23813094642469</v>
      </c>
      <c r="GE112" s="59">
        <f ca="1">AVERAGE(OFFSET($GD$3,0,0,'Données projet'!$E$17+1,1))-AVERAGE(OFFSET($H$3,0,0,'Données projet'!$E$17+1,1))</f>
        <v>298.96480270023716</v>
      </c>
      <c r="GF112" s="59">
        <f t="shared" si="104"/>
        <v>293.11447542333889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11.799697069293277</v>
      </c>
      <c r="GM112" s="21">
        <f>EXP(-LN(2)/25)*GM111+(1-EXP(-LN(2)/25))/(LN(2)/25)*Calculateur!GH112*Calculateur!GJ112*VLOOKUP('Données projet'!$B$17,Paramètres!$A$1:$I$89,3,0)*0.475*44/12</f>
        <v>8.3537062354944744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20.153403304787751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-1.4210854715202004E-13</v>
      </c>
      <c r="GV112" s="17">
        <f>GU112*VLOOKUP('Données projet'!$B$18,Paramètres!$A$1:$I$89,3,0)*VLOOKUP('Données projet'!$B$18,Paramètres!$A$1:$I$89,5,0)</f>
        <v>-8.128608897095547E-14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320.76883487964511</v>
      </c>
      <c r="HA112" s="59">
        <f t="shared" si="106"/>
        <v>290.51177680335746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93.233966941160901</v>
      </c>
      <c r="HH112" s="21">
        <f>EXP(-LN(2)/25)*HH111+(1-EXP(-LN(2)/25))/(LN(2)/25)*Calculateur!HC112*Calculateur!HE112*VLOOKUP('Données projet'!$B$18,Paramètres!$A$1:$I$89,3,0)*0.475*44/12</f>
        <v>19.692848800589832</v>
      </c>
      <c r="HI112" s="21">
        <f>EXP(-LN(2)/2)*HI111+(1-EXP(-LN(2)/2))/(LN(2)/2)*HC112*HF112*VLOOKUP('Données projet'!$B$18,Paramètres!$A$1:$I$89,3,0)*0.475*44/12</f>
        <v>4.3948809579232716E-2</v>
      </c>
      <c r="HJ112" s="22">
        <f t="shared" si="84"/>
        <v>112.97076455132996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299.86450000000036</v>
      </c>
      <c r="AK113" s="13">
        <f t="shared" si="89"/>
        <v>71.148056724241755</v>
      </c>
      <c r="AL113" s="20">
        <f t="shared" si="58"/>
        <v>646.18020296138832</v>
      </c>
      <c r="AM113" s="59">
        <f t="shared" si="59"/>
        <v>939.51353629472169</v>
      </c>
      <c r="AN113" s="59">
        <f ca="1">AVERAGE(OFFSET($AM$3,0,0,'Données projet'!$E$10+1,1))-AVERAGE(OFFSET($H$3,0,0,'Données projet'!$E$10+1,1))</f>
        <v>425.47148407510412</v>
      </c>
      <c r="AO113" s="59">
        <f t="shared" si="90"/>
        <v>308.54448799922471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66.10753849636059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66.10753849636059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212.00000000000009</v>
      </c>
      <c r="BE113" s="13">
        <f>BD113*VLOOKUP('Données projet'!$B$11,Paramètres!$A$1:$I$89,3,0)*VLOOKUP('Données projet'!$B$11,Paramètres!$A$1:$I$89,5,0)</f>
        <v>185.20320000000009</v>
      </c>
      <c r="BF113" s="13">
        <f t="shared" si="91"/>
        <v>46.477875402099386</v>
      </c>
      <c r="BG113" s="20">
        <f t="shared" si="61"/>
        <v>403.5112063253232</v>
      </c>
      <c r="BH113" s="59">
        <f t="shared" si="62"/>
        <v>696.84453965865646</v>
      </c>
      <c r="BI113" s="59">
        <f ca="1">AVERAGE(OFFSET($BH$3,0,0,'Données projet'!$E$11+1,1))-AVERAGE(OFFSET($H$3,0,0,'Données projet'!$E$11+1,1))</f>
        <v>300.63505444445104</v>
      </c>
      <c r="BJ113" s="59">
        <f t="shared" si="92"/>
        <v>266.32508105927997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12.251338336102254</v>
      </c>
      <c r="BQ113" s="21">
        <f>EXP(-LN(2)/25)*BQ112+(1-EXP(-LN(2)/25))/(LN(2)/25)*Calculateur!BL113*Calculateur!BN113*VLOOKUP('Données projet'!$B$11,Paramètres!$A$1:$I$89,3,0)*0.475*44/12</f>
        <v>10.600257897800875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22.85159623390313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5.0961538461538449</v>
      </c>
      <c r="BY113" s="12">
        <f>IF('Données projet'!$A$114&gt;35,BY112+BX113-CG112,IF(A113&lt;'Données projet'!$A$114,$BV$205^A113,IF(A113='Données projet'!$A$114,'Données projet'!$B$114,BY112+BX113-CG112)))</f>
        <v>230.92948717948684</v>
      </c>
      <c r="BZ113" s="13">
        <f>BY113*VLOOKUP('Données projet'!$B$12,Paramètres!$A$1:$I$89,3,0)*VLOOKUP('Données projet'!$B$12,Paramètres!$A$1:$I$89,5,0)</f>
        <v>219.75249999999971</v>
      </c>
      <c r="CA113" s="13">
        <f t="shared" si="93"/>
        <v>54.061089294879686</v>
      </c>
      <c r="CB113" s="20">
        <f t="shared" si="64"/>
        <v>476.89200135524828</v>
      </c>
      <c r="CC113" s="59">
        <f t="shared" si="65"/>
        <v>770.2253346885816</v>
      </c>
      <c r="CD113" s="59">
        <f ca="1">AVERAGE(OFFSET($CC$3,0,0,'Données projet'!$E$12+1,1))-AVERAGE(OFFSET($H$3,0,0,'Données projet'!$E$12+1,1))</f>
        <v>361.26385625423757</v>
      </c>
      <c r="CE113" s="59">
        <f t="shared" si="94"/>
        <v>222.05197404028576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29.227375936668103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29.227375936668103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247.00000000000017</v>
      </c>
      <c r="CU113" s="17">
        <f>CT113*VLOOKUP('Données projet'!$B$13,Paramètres!$A$1:$I$89,3,0)*VLOOKUP('Données projet'!$B$13,Paramètres!$A$1:$I$89,5,0)</f>
        <v>223.48560000000012</v>
      </c>
      <c r="CV113" s="13">
        <f t="shared" si="95"/>
        <v>54.87176918107798</v>
      </c>
      <c r="CW113" s="20">
        <f t="shared" si="67"/>
        <v>484.80575132371092</v>
      </c>
      <c r="CX113" s="59">
        <f t="shared" si="68"/>
        <v>778.13908465704424</v>
      </c>
      <c r="CY113" s="59">
        <f ca="1">AVERAGE(OFFSET($CX$3,0,0,'Données projet'!$E$13+1,1))-AVERAGE(OFFSET($H$3,0,0,'Données projet'!$E$13+1,1))</f>
        <v>302.6937347295995</v>
      </c>
      <c r="CZ113" s="59">
        <f t="shared" si="96"/>
        <v>423.44006663873375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0.12423858884609126</v>
      </c>
      <c r="DG113" s="21">
        <f>EXP(-LN(2)/25)*DG112+(1-EXP(-LN(2)/25))/(LN(2)/25)*Calculateur!DB113*Calculateur!DD113*VLOOKUP('Données projet'!$B$13,Paramètres!$A$1:$I$89,3,0)*0.475*44/12</f>
        <v>0.46674868072745174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0.59098726957354297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223.35499999999968</v>
      </c>
      <c r="DQ113" s="13">
        <f t="shared" si="97"/>
        <v>54.84343484273122</v>
      </c>
      <c r="DR113" s="20">
        <f t="shared" si="70"/>
        <v>484.52894068442293</v>
      </c>
      <c r="DS113" s="59">
        <f t="shared" si="71"/>
        <v>777.86227401775625</v>
      </c>
      <c r="DT113" s="59">
        <f ca="1">AVERAGE(OFFSET($DS$3,0,0,'Données projet'!$E$14+1,1))-AVERAGE(OFFSET($H$3,0,0,'Données projet'!$E$14+1,1))</f>
        <v>366.51581861366333</v>
      </c>
      <c r="DU113" s="59">
        <f t="shared" si="98"/>
        <v>225.01415116995503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29.706513247105299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29.706513247105299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328.00000000000017</v>
      </c>
      <c r="EK113" s="17">
        <f>EJ113*VLOOKUP('Données projet'!$B$15,Paramètres!$A$1:$I$89,3,0)*VLOOKUP('Données projet'!$B$15,Paramètres!$A$1:$I$89,5,0)</f>
        <v>255.84000000000015</v>
      </c>
      <c r="EL113" s="13">
        <f t="shared" si="99"/>
        <v>61.834803371075886</v>
      </c>
      <c r="EM113" s="20">
        <f t="shared" si="73"/>
        <v>553.28361587129086</v>
      </c>
      <c r="EN113" s="59">
        <f t="shared" si="74"/>
        <v>846.61694920462423</v>
      </c>
      <c r="EO113" s="59">
        <f ca="1">AVERAGE(OFFSET($EN$3,0,0,'Données projet'!$E$15+1,1))-AVERAGE(OFFSET($H$3,0,0,'Données projet'!$E$15+1,1))</f>
        <v>288.80569134263209</v>
      </c>
      <c r="EP113" s="59">
        <f t="shared" si="100"/>
        <v>283.48738729114024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9.0246267216140534</v>
      </c>
      <c r="EW113" s="21">
        <f>EXP(-LN(2)/25)*EW112+(1-EXP(-LN(2)/25))/(LN(2)/25)*Calculateur!ER113*Calculateur!ET113*VLOOKUP('Données projet'!$B$15,Paramètres!$A$1:$I$89,3,0)*0.475*44/12</f>
        <v>6.3386569133681068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15.36328363498216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-1.0197709343628959E-13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323.17232038705157</v>
      </c>
      <c r="FK113" s="59">
        <f t="shared" si="102"/>
        <v>402.34685738619197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55.890237832288022</v>
      </c>
      <c r="FR113" s="21">
        <f>EXP(-LN(2)/25)*FR112+(1-EXP(-LN(2)/25))/(LN(2)/25)*Calculateur!FM113*Calculateur!FO113*VLOOKUP('Données projet'!$B$16,Paramètres!$A$1:$I$89,3,0)*0.475*44/12</f>
        <v>9.8901562738328188</v>
      </c>
      <c r="FS113" s="21">
        <f>EXP(-LN(2)/2)*FS112+(1-EXP(-LN(2)/2))/(LN(2)/2)*FM113*FP113*VLOOKUP('Données projet'!$B$16,Paramètres!$A$1:$I$89,3,0)*0.475*44/12</f>
        <v>3.0105092333860346E-7</v>
      </c>
      <c r="FT113" s="22">
        <f t="shared" si="78"/>
        <v>65.780394407171755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328.00000000000017</v>
      </c>
      <c r="GA113" s="17">
        <f>FZ113*VLOOKUP('Données projet'!$B$17,Paramètres!$A$1:$I$89,3,0)*VLOOKUP('Données projet'!$B$17,Paramètres!$A$1:$I$89,5,0)</f>
        <v>266.07360000000017</v>
      </c>
      <c r="GB113" s="13">
        <f t="shared" si="103"/>
        <v>64.015279012301136</v>
      </c>
      <c r="GC113" s="20">
        <f t="shared" si="79"/>
        <v>574.90479761309132</v>
      </c>
      <c r="GD113" s="59">
        <f t="shared" si="80"/>
        <v>868.23813094642469</v>
      </c>
      <c r="GE113" s="59">
        <f ca="1">AVERAGE(OFFSET($GD$3,0,0,'Données projet'!$E$17+1,1))-AVERAGE(OFFSET($H$3,0,0,'Données projet'!$E$17+1,1))</f>
        <v>298.96480270023716</v>
      </c>
      <c r="GF113" s="59">
        <f t="shared" si="104"/>
        <v>293.11447542333889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11.568312206868994</v>
      </c>
      <c r="GM113" s="21">
        <f>EXP(-LN(2)/25)*GM112+(1-EXP(-LN(2)/25))/(LN(2)/25)*Calculateur!GH113*Calculateur!GJ113*VLOOKUP('Données projet'!$B$17,Paramètres!$A$1:$I$89,3,0)*0.475*44/12</f>
        <v>8.1252736991825589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19.693585906051553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-1.4210854715202004E-13</v>
      </c>
      <c r="GV113" s="17">
        <f>GU113*VLOOKUP('Données projet'!$B$18,Paramètres!$A$1:$I$89,3,0)*VLOOKUP('Données projet'!$B$18,Paramètres!$A$1:$I$89,5,0)</f>
        <v>-8.128608897095547E-14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320.76883487964511</v>
      </c>
      <c r="HA113" s="59">
        <f t="shared" si="106"/>
        <v>290.51177680335746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91.405705716549406</v>
      </c>
      <c r="HH113" s="21">
        <f>EXP(-LN(2)/25)*HH112+(1-EXP(-LN(2)/25))/(LN(2)/25)*Calculateur!HC113*Calculateur!HE113*VLOOKUP('Données projet'!$B$18,Paramètres!$A$1:$I$89,3,0)*0.475*44/12</f>
        <v>19.154346814535792</v>
      </c>
      <c r="HI113" s="21">
        <f>EXP(-LN(2)/2)*HI112+(1-EXP(-LN(2)/2))/(LN(2)/2)*HC113*HF113*VLOOKUP('Données projet'!$B$18,Paramètres!$A$1:$I$89,3,0)*0.475*44/12</f>
        <v>3.1076501278551754E-2</v>
      </c>
      <c r="HJ113" s="22">
        <f t="shared" si="84"/>
        <v>110.59112903236375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306.80650000000037</v>
      </c>
      <c r="AK114" s="13">
        <f t="shared" si="89"/>
        <v>72.601498865270955</v>
      </c>
      <c r="AL114" s="20">
        <f t="shared" si="58"/>
        <v>660.80226469034744</v>
      </c>
      <c r="AM114" s="59">
        <f t="shared" si="59"/>
        <v>954.13559802368081</v>
      </c>
      <c r="AN114" s="59">
        <f ca="1">AVERAGE(OFFSET($AM$3,0,0,'Données projet'!$E$10+1,1))-AVERAGE(OFFSET($H$3,0,0,'Données projet'!$E$10+1,1))</f>
        <v>425.47148407510412</v>
      </c>
      <c r="AO114" s="59">
        <f t="shared" si="90"/>
        <v>308.54448799922471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64.811209988064007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64.811209988064007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212.00000000000009</v>
      </c>
      <c r="BE114" s="13">
        <f>BD114*VLOOKUP('Données projet'!$B$11,Paramètres!$A$1:$I$89,3,0)*VLOOKUP('Données projet'!$B$11,Paramètres!$A$1:$I$89,5,0)</f>
        <v>185.20320000000009</v>
      </c>
      <c r="BF114" s="13">
        <f t="shared" si="91"/>
        <v>46.477875402099386</v>
      </c>
      <c r="BG114" s="20">
        <f t="shared" si="61"/>
        <v>403.5112063253232</v>
      </c>
      <c r="BH114" s="59">
        <f t="shared" si="62"/>
        <v>696.84453965865646</v>
      </c>
      <c r="BI114" s="59">
        <f ca="1">AVERAGE(OFFSET($BH$3,0,0,'Données projet'!$E$11+1,1))-AVERAGE(OFFSET($H$3,0,0,'Données projet'!$E$11+1,1))</f>
        <v>300.63505444445104</v>
      </c>
      <c r="BJ114" s="59">
        <f t="shared" si="92"/>
        <v>266.32508105927997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12.011097063909817</v>
      </c>
      <c r="BQ114" s="21">
        <f>EXP(-LN(2)/25)*BQ113+(1-EXP(-LN(2)/25))/(LN(2)/25)*Calculateur!BL114*Calculateur!BN114*VLOOKUP('Données projet'!$B$11,Paramètres!$A$1:$I$89,3,0)*0.475*44/12</f>
        <v>10.310393288142174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22.321490352051992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5.0961538461538449</v>
      </c>
      <c r="BY114" s="12">
        <f>IF('Données projet'!$A$114&gt;35,BY113+BX114-CG113,IF(A114&lt;'Données projet'!$A$114,$BV$205^A114,IF(A114='Données projet'!$A$114,'Données projet'!$B$114,BY113+BX114-CG113)))</f>
        <v>236.02564102564068</v>
      </c>
      <c r="BZ114" s="13">
        <f>BY114*VLOOKUP('Données projet'!$B$12,Paramètres!$A$1:$I$89,3,0)*VLOOKUP('Données projet'!$B$12,Paramètres!$A$1:$I$89,5,0)</f>
        <v>224.60199999999966</v>
      </c>
      <c r="CA114" s="13">
        <f t="shared" si="93"/>
        <v>55.113899350107857</v>
      </c>
      <c r="CB114" s="20">
        <f t="shared" si="64"/>
        <v>487.17185803477059</v>
      </c>
      <c r="CC114" s="59">
        <f t="shared" si="65"/>
        <v>780.50519136810385</v>
      </c>
      <c r="CD114" s="59">
        <f ca="1">AVERAGE(OFFSET($CC$3,0,0,'Données projet'!$E$12+1,1))-AVERAGE(OFFSET($H$3,0,0,'Données projet'!$E$12+1,1))</f>
        <v>361.26385625423757</v>
      </c>
      <c r="CE114" s="59">
        <f t="shared" si="94"/>
        <v>222.05197404028576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28.654244921489099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28.654244921489099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247.00000000000017</v>
      </c>
      <c r="CU114" s="17">
        <f>CT114*VLOOKUP('Données projet'!$B$13,Paramètres!$A$1:$I$89,3,0)*VLOOKUP('Données projet'!$B$13,Paramètres!$A$1:$I$89,5,0)</f>
        <v>223.48560000000012</v>
      </c>
      <c r="CV114" s="13">
        <f t="shared" si="95"/>
        <v>54.87176918107798</v>
      </c>
      <c r="CW114" s="20">
        <f t="shared" si="67"/>
        <v>484.80575132371092</v>
      </c>
      <c r="CX114" s="59">
        <f t="shared" si="68"/>
        <v>778.13908465704424</v>
      </c>
      <c r="CY114" s="59">
        <f ca="1">AVERAGE(OFFSET($CX$3,0,0,'Données projet'!$E$13+1,1))-AVERAGE(OFFSET($H$3,0,0,'Données projet'!$E$13+1,1))</f>
        <v>302.6937347295995</v>
      </c>
      <c r="CZ114" s="59">
        <f t="shared" si="96"/>
        <v>423.44006663873375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0.12180234589687615</v>
      </c>
      <c r="DG114" s="21">
        <f>EXP(-LN(2)/25)*DG113+(1-EXP(-LN(2)/25))/(LN(2)/25)*Calculateur!DB114*Calculateur!DD114*VLOOKUP('Données projet'!$B$13,Paramètres!$A$1:$I$89,3,0)*0.475*44/12</f>
        <v>0.45398541350771321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0.57578775940458937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228.28399999999965</v>
      </c>
      <c r="DQ114" s="13">
        <f t="shared" si="97"/>
        <v>55.911480648296354</v>
      </c>
      <c r="DR114" s="20">
        <f t="shared" si="70"/>
        <v>494.97379546244878</v>
      </c>
      <c r="DS114" s="59">
        <f t="shared" si="71"/>
        <v>788.30712879578209</v>
      </c>
      <c r="DT114" s="59">
        <f ca="1">AVERAGE(OFFSET($DS$3,0,0,'Données projet'!$E$14+1,1))-AVERAGE(OFFSET($H$3,0,0,'Données projet'!$E$14+1,1))</f>
        <v>366.51581861366333</v>
      </c>
      <c r="DU114" s="59">
        <f t="shared" si="98"/>
        <v>225.01415116995503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29.123986641513525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29.123986641513525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328.00000000000017</v>
      </c>
      <c r="EK114" s="17">
        <f>EJ114*VLOOKUP('Données projet'!$B$15,Paramètres!$A$1:$I$89,3,0)*VLOOKUP('Données projet'!$B$15,Paramètres!$A$1:$I$89,5,0)</f>
        <v>255.84000000000015</v>
      </c>
      <c r="EL114" s="13">
        <f t="shared" si="99"/>
        <v>61.834803371075886</v>
      </c>
      <c r="EM114" s="20">
        <f t="shared" si="73"/>
        <v>553.28361587129086</v>
      </c>
      <c r="EN114" s="59">
        <f t="shared" si="74"/>
        <v>846.61694920462423</v>
      </c>
      <c r="EO114" s="59">
        <f ca="1">AVERAGE(OFFSET($EN$3,0,0,'Données projet'!$E$15+1,1))-AVERAGE(OFFSET($H$3,0,0,'Données projet'!$E$15+1,1))</f>
        <v>288.80569134263209</v>
      </c>
      <c r="EP114" s="59">
        <f t="shared" si="100"/>
        <v>283.48738729114024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8.8476592960819804</v>
      </c>
      <c r="EW114" s="21">
        <f>EXP(-LN(2)/25)*EW113+(1-EXP(-LN(2)/25))/(LN(2)/25)*Calculateur!ER114*Calculateur!ET114*VLOOKUP('Données projet'!$B$15,Paramètres!$A$1:$I$89,3,0)*0.475*44/12</f>
        <v>6.165326006736576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15.012985302818556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-1.0197709343628959E-13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323.17232038705157</v>
      </c>
      <c r="FK114" s="59">
        <f t="shared" si="102"/>
        <v>402.34685738619197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54.794264358075857</v>
      </c>
      <c r="FR114" s="21">
        <f>EXP(-LN(2)/25)*FR113+(1-EXP(-LN(2)/25))/(LN(2)/25)*Calculateur!FM114*Calculateur!FO114*VLOOKUP('Données projet'!$B$16,Paramètres!$A$1:$I$89,3,0)*0.475*44/12</f>
        <v>9.6197094304241464</v>
      </c>
      <c r="FS114" s="21">
        <f>EXP(-LN(2)/2)*FS113+(1-EXP(-LN(2)/2))/(LN(2)/2)*FM114*FP114*VLOOKUP('Données projet'!$B$16,Paramètres!$A$1:$I$89,3,0)*0.475*44/12</f>
        <v>2.1287514937519797E-7</v>
      </c>
      <c r="FT114" s="22">
        <f t="shared" si="78"/>
        <v>64.413974001375152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328.00000000000017</v>
      </c>
      <c r="GA114" s="17">
        <f>FZ114*VLOOKUP('Données projet'!$B$17,Paramètres!$A$1:$I$89,3,0)*VLOOKUP('Données projet'!$B$17,Paramètres!$A$1:$I$89,5,0)</f>
        <v>266.07360000000017</v>
      </c>
      <c r="GB114" s="13">
        <f t="shared" si="103"/>
        <v>64.015279012301136</v>
      </c>
      <c r="GC114" s="20">
        <f t="shared" si="79"/>
        <v>574.90479761309132</v>
      </c>
      <c r="GD114" s="59">
        <f t="shared" si="80"/>
        <v>868.23813094642469</v>
      </c>
      <c r="GE114" s="59">
        <f ca="1">AVERAGE(OFFSET($GD$3,0,0,'Données projet'!$E$17+1,1))-AVERAGE(OFFSET($H$3,0,0,'Données projet'!$E$17+1,1))</f>
        <v>298.96480270023716</v>
      </c>
      <c r="GF114" s="59">
        <f t="shared" si="104"/>
        <v>293.11447542333889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11.34146466046602</v>
      </c>
      <c r="GM114" s="21">
        <f>EXP(-LN(2)/25)*GM113+(1-EXP(-LN(2)/25))/(LN(2)/25)*Calculateur!GH114*Calculateur!GJ114*VLOOKUP('Données projet'!$B$17,Paramètres!$A$1:$I$89,3,0)*0.475*44/12</f>
        <v>7.9030876625888382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19.244552323054858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-1.4210854715202004E-13</v>
      </c>
      <c r="GV114" s="17">
        <f>GU114*VLOOKUP('Données projet'!$B$18,Paramètres!$A$1:$I$89,3,0)*VLOOKUP('Données projet'!$B$18,Paramètres!$A$1:$I$89,5,0)</f>
        <v>-8.128608897095547E-14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320.76883487964511</v>
      </c>
      <c r="HA114" s="59">
        <f t="shared" si="106"/>
        <v>290.51177680335746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89.613295579423308</v>
      </c>
      <c r="HH114" s="21">
        <f>EXP(-LN(2)/25)*HH113+(1-EXP(-LN(2)/25))/(LN(2)/25)*Calculateur!HC114*Calculateur!HE114*VLOOKUP('Données projet'!$B$18,Paramètres!$A$1:$I$89,3,0)*0.475*44/12</f>
        <v>18.630570193608989</v>
      </c>
      <c r="HI114" s="21">
        <f>EXP(-LN(2)/2)*HI113+(1-EXP(-LN(2)/2))/(LN(2)/2)*HC114*HF114*VLOOKUP('Données projet'!$B$18,Paramètres!$A$1:$I$89,3,0)*0.475*44/12</f>
        <v>2.1974404789616361E-2</v>
      </c>
      <c r="HJ114" s="22">
        <f t="shared" si="84"/>
        <v>108.26584017782191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313.74850000000038</v>
      </c>
      <c r="AK115" s="13">
        <f t="shared" si="89"/>
        <v>74.051117708153953</v>
      </c>
      <c r="AL115" s="20">
        <f t="shared" si="58"/>
        <v>675.41766750836871</v>
      </c>
      <c r="AM115" s="59">
        <f t="shared" si="59"/>
        <v>968.75100084170208</v>
      </c>
      <c r="AN115" s="59">
        <f ca="1">AVERAGE(OFFSET($AM$3,0,0,'Données projet'!$E$10+1,1))-AVERAGE(OFFSET($H$3,0,0,'Données projet'!$E$10+1,1))</f>
        <v>425.47148407510412</v>
      </c>
      <c r="AO115" s="59">
        <f t="shared" si="90"/>
        <v>308.54448799922471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63.540301691132811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63.540301691132811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212.00000000000009</v>
      </c>
      <c r="BE115" s="13">
        <f>BD115*VLOOKUP('Données projet'!$B$11,Paramètres!$A$1:$I$89,3,0)*VLOOKUP('Données projet'!$B$11,Paramètres!$A$1:$I$89,5,0)</f>
        <v>185.20320000000009</v>
      </c>
      <c r="BF115" s="13">
        <f t="shared" si="91"/>
        <v>46.477875402099386</v>
      </c>
      <c r="BG115" s="20">
        <f t="shared" si="61"/>
        <v>403.5112063253232</v>
      </c>
      <c r="BH115" s="59">
        <f t="shared" si="62"/>
        <v>696.84453965865646</v>
      </c>
      <c r="BI115" s="59">
        <f ca="1">AVERAGE(OFFSET($BH$3,0,0,'Données projet'!$E$11+1,1))-AVERAGE(OFFSET($H$3,0,0,'Données projet'!$E$11+1,1))</f>
        <v>300.63505444445104</v>
      </c>
      <c r="BJ115" s="59">
        <f t="shared" si="92"/>
        <v>266.32508105927997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11.775566776532369</v>
      </c>
      <c r="BQ115" s="21">
        <f>EXP(-LN(2)/25)*BQ114+(1-EXP(-LN(2)/25))/(LN(2)/25)*Calculateur!BL115*Calculateur!BN115*VLOOKUP('Données projet'!$B$11,Paramètres!$A$1:$I$89,3,0)*0.475*44/12</f>
        <v>10.028455041477908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21.804021818010277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5.0961538461538449</v>
      </c>
      <c r="BY115" s="12">
        <f>IF('Données projet'!$A$114&gt;35,BY114+BX115-CG114,IF(A115&lt;'Données projet'!$A$114,$BV$205^A115,IF(A115='Données projet'!$A$114,'Données projet'!$B$114,BY114+BX115-CG114)))</f>
        <v>241.12179487179452</v>
      </c>
      <c r="BZ115" s="13">
        <f>BY115*VLOOKUP('Données projet'!$B$12,Paramètres!$A$1:$I$89,3,0)*VLOOKUP('Données projet'!$B$12,Paramètres!$A$1:$I$89,5,0)</f>
        <v>229.4514999999997</v>
      </c>
      <c r="CA115" s="13">
        <f t="shared" si="93"/>
        <v>56.164066531777237</v>
      </c>
      <c r="CB115" s="20">
        <f t="shared" si="64"/>
        <v>497.44711170951149</v>
      </c>
      <c r="CC115" s="59">
        <f t="shared" si="65"/>
        <v>790.7804450428448</v>
      </c>
      <c r="CD115" s="59">
        <f ca="1">AVERAGE(OFFSET($CC$3,0,0,'Données projet'!$E$12+1,1))-AVERAGE(OFFSET($H$3,0,0,'Données projet'!$E$12+1,1))</f>
        <v>361.26385625423757</v>
      </c>
      <c r="CE115" s="59">
        <f t="shared" si="94"/>
        <v>222.05197404028576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28.092352655942353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28.092352655942353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247.00000000000017</v>
      </c>
      <c r="CU115" s="17">
        <f>CT115*VLOOKUP('Données projet'!$B$13,Paramètres!$A$1:$I$89,3,0)*VLOOKUP('Données projet'!$B$13,Paramètres!$A$1:$I$89,5,0)</f>
        <v>223.48560000000012</v>
      </c>
      <c r="CV115" s="13">
        <f t="shared" si="95"/>
        <v>54.87176918107798</v>
      </c>
      <c r="CW115" s="20">
        <f t="shared" si="67"/>
        <v>484.80575132371092</v>
      </c>
      <c r="CX115" s="59">
        <f t="shared" si="68"/>
        <v>778.13908465704424</v>
      </c>
      <c r="CY115" s="59">
        <f ca="1">AVERAGE(OFFSET($CX$3,0,0,'Données projet'!$E$13+1,1))-AVERAGE(OFFSET($H$3,0,0,'Données projet'!$E$13+1,1))</f>
        <v>302.6937347295995</v>
      </c>
      <c r="CZ115" s="59">
        <f t="shared" si="96"/>
        <v>423.44006663873375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0.11941387618593367</v>
      </c>
      <c r="DG115" s="21">
        <f>EXP(-LN(2)/25)*DG114+(1-EXP(-LN(2)/25))/(LN(2)/25)*Calculateur!DB115*Calculateur!DD115*VLOOKUP('Données projet'!$B$13,Paramètres!$A$1:$I$89,3,0)*0.475*44/12</f>
        <v>0.44157115850128947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0.56098503468722316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233.21299999999965</v>
      </c>
      <c r="DQ115" s="13">
        <f t="shared" si="97"/>
        <v>56.976845333933838</v>
      </c>
      <c r="DR115" s="20">
        <f t="shared" si="70"/>
        <v>505.41398062326749</v>
      </c>
      <c r="DS115" s="59">
        <f t="shared" si="71"/>
        <v>798.74731395660081</v>
      </c>
      <c r="DT115" s="59">
        <f ca="1">AVERAGE(OFFSET($DS$3,0,0,'Données projet'!$E$14+1,1))-AVERAGE(OFFSET($H$3,0,0,'Données projet'!$E$14+1,1))</f>
        <v>366.51581861366333</v>
      </c>
      <c r="DU115" s="59">
        <f t="shared" si="98"/>
        <v>225.01415116995503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28.55288302735126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28.55288302735126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328.00000000000017</v>
      </c>
      <c r="EK115" s="17">
        <f>EJ115*VLOOKUP('Données projet'!$B$15,Paramètres!$A$1:$I$89,3,0)*VLOOKUP('Données projet'!$B$15,Paramètres!$A$1:$I$89,5,0)</f>
        <v>255.84000000000015</v>
      </c>
      <c r="EL115" s="13">
        <f t="shared" si="99"/>
        <v>61.834803371075886</v>
      </c>
      <c r="EM115" s="20">
        <f t="shared" si="73"/>
        <v>553.28361587129086</v>
      </c>
      <c r="EN115" s="59">
        <f t="shared" si="74"/>
        <v>846.61694920462423</v>
      </c>
      <c r="EO115" s="59">
        <f ca="1">AVERAGE(OFFSET($EN$3,0,0,'Données projet'!$E$15+1,1))-AVERAGE(OFFSET($H$3,0,0,'Données projet'!$E$15+1,1))</f>
        <v>288.80569134263209</v>
      </c>
      <c r="EP115" s="59">
        <f t="shared" si="100"/>
        <v>283.48738729114024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8.6741620938251192</v>
      </c>
      <c r="EW115" s="21">
        <f>EXP(-LN(2)/25)*EW114+(1-EXP(-LN(2)/25))/(LN(2)/25)*Calculateur!ER115*Calculateur!ET115*VLOOKUP('Données projet'!$B$15,Paramètres!$A$1:$I$89,3,0)*0.475*44/12</f>
        <v>5.9967348428619607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14.670896936687079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-1.0197709343628959E-13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323.17232038705157</v>
      </c>
      <c r="FK115" s="59">
        <f t="shared" si="102"/>
        <v>402.34685738619197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53.719782255215179</v>
      </c>
      <c r="FR115" s="21">
        <f>EXP(-LN(2)/25)*FR114+(1-EXP(-LN(2)/25))/(LN(2)/25)*Calculateur!FM115*Calculateur!FO115*VLOOKUP('Données projet'!$B$16,Paramètres!$A$1:$I$89,3,0)*0.475*44/12</f>
        <v>9.3566579701706658</v>
      </c>
      <c r="FS115" s="21">
        <f>EXP(-LN(2)/2)*FS114+(1-EXP(-LN(2)/2))/(LN(2)/2)*FM115*FP115*VLOOKUP('Données projet'!$B$16,Paramètres!$A$1:$I$89,3,0)*0.475*44/12</f>
        <v>1.5052546166930173E-7</v>
      </c>
      <c r="FT115" s="22">
        <f t="shared" si="78"/>
        <v>63.076440375911304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328.00000000000017</v>
      </c>
      <c r="GA115" s="17">
        <f>FZ115*VLOOKUP('Données projet'!$B$17,Paramètres!$A$1:$I$89,3,0)*VLOOKUP('Données projet'!$B$17,Paramètres!$A$1:$I$89,5,0)</f>
        <v>266.07360000000017</v>
      </c>
      <c r="GB115" s="13">
        <f t="shared" si="103"/>
        <v>64.015279012301136</v>
      </c>
      <c r="GC115" s="20">
        <f t="shared" si="79"/>
        <v>574.90479761309132</v>
      </c>
      <c r="GD115" s="59">
        <f t="shared" si="80"/>
        <v>868.23813094642469</v>
      </c>
      <c r="GE115" s="59">
        <f ca="1">AVERAGE(OFFSET($GD$3,0,0,'Données projet'!$E$17+1,1))-AVERAGE(OFFSET($H$3,0,0,'Données projet'!$E$17+1,1))</f>
        <v>298.96480270023716</v>
      </c>
      <c r="GF115" s="59">
        <f t="shared" si="104"/>
        <v>293.11447542333889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11.119065456084666</v>
      </c>
      <c r="GM115" s="21">
        <f>EXP(-LN(2)/25)*GM114+(1-EXP(-LN(2)/25))/(LN(2)/25)*Calculateur!GH115*Calculateur!GJ115*VLOOKUP('Données projet'!$B$17,Paramètres!$A$1:$I$89,3,0)*0.475*44/12</f>
        <v>7.6869773148500293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18.806042770934695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-1.4210854715202004E-13</v>
      </c>
      <c r="GV115" s="17">
        <f>GU115*VLOOKUP('Données projet'!$B$18,Paramètres!$A$1:$I$89,3,0)*VLOOKUP('Données projet'!$B$18,Paramètres!$A$1:$I$89,5,0)</f>
        <v>-8.128608897095547E-14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320.76883487964511</v>
      </c>
      <c r="HA115" s="59">
        <f t="shared" si="106"/>
        <v>290.51177680335746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87.856033511824023</v>
      </c>
      <c r="HH115" s="21">
        <f>EXP(-LN(2)/25)*HH114+(1-EXP(-LN(2)/25))/(LN(2)/25)*Calculateur!HC115*Calculateur!HE115*VLOOKUP('Données projet'!$B$18,Paramètres!$A$1:$I$89,3,0)*0.475*44/12</f>
        <v>18.121116271925647</v>
      </c>
      <c r="HI115" s="21">
        <f>EXP(-LN(2)/2)*HI114+(1-EXP(-LN(2)/2))/(LN(2)/2)*HC115*HF115*VLOOKUP('Données projet'!$B$18,Paramètres!$A$1:$I$89,3,0)*0.475*44/12</f>
        <v>1.5538250639275879E-2</v>
      </c>
      <c r="HJ115" s="22">
        <f t="shared" si="84"/>
        <v>105.99268803438895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320.69050000000038</v>
      </c>
      <c r="AK116" s="13">
        <f t="shared" si="89"/>
        <v>75.497007588010661</v>
      </c>
      <c r="AL116" s="20">
        <f t="shared" si="58"/>
        <v>690.02657571578584</v>
      </c>
      <c r="AM116" s="59">
        <f t="shared" si="59"/>
        <v>983.3599090491191</v>
      </c>
      <c r="AN116" s="59">
        <f ca="1">AVERAGE(OFFSET($AM$3,0,0,'Données projet'!$E$10+1,1))-AVERAGE(OFFSET($H$3,0,0,'Données projet'!$E$10+1,1))</f>
        <v>425.47148407510412</v>
      </c>
      <c r="AO116" s="59">
        <f t="shared" si="90"/>
        <v>308.54448799922471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62.294315130726915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62.294315130726915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212.00000000000009</v>
      </c>
      <c r="BE116" s="13">
        <f>BD116*VLOOKUP('Données projet'!$B$11,Paramètres!$A$1:$I$89,3,0)*VLOOKUP('Données projet'!$B$11,Paramètres!$A$1:$I$89,5,0)</f>
        <v>185.20320000000009</v>
      </c>
      <c r="BF116" s="13">
        <f t="shared" si="91"/>
        <v>46.477875402099386</v>
      </c>
      <c r="BG116" s="20">
        <f t="shared" si="61"/>
        <v>403.5112063253232</v>
      </c>
      <c r="BH116" s="59">
        <f t="shared" si="62"/>
        <v>696.84453965865646</v>
      </c>
      <c r="BI116" s="59">
        <f ca="1">AVERAGE(OFFSET($BH$3,0,0,'Données projet'!$E$11+1,1))-AVERAGE(OFFSET($H$3,0,0,'Données projet'!$E$11+1,1))</f>
        <v>300.63505444445104</v>
      </c>
      <c r="BJ116" s="59">
        <f t="shared" si="92"/>
        <v>266.32508105927997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11.5446550944311</v>
      </c>
      <c r="BQ116" s="21">
        <f>EXP(-LN(2)/25)*BQ115+(1-EXP(-LN(2)/25))/(LN(2)/25)*Calculateur!BL116*Calculateur!BN116*VLOOKUP('Données projet'!$B$11,Paramètres!$A$1:$I$89,3,0)*0.475*44/12</f>
        <v>9.7542264109951642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21.298881505426266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246.21794871794873</v>
      </c>
      <c r="BW116" s="12">
        <f>VLOOKUP(A116,'Données projet'!$A$113:$I$133,9,0)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projet'!$A$114&gt;35,BY115+BX116-CG115,IF(A116&lt;'Données projet'!$A$114,$BV$205^A116,IF(A116='Données projet'!$A$114,'Données projet'!$B$114,BY115+BX116-CG115)))</f>
        <v>246.21794871794836</v>
      </c>
      <c r="BZ116" s="13">
        <f>BY116*VLOOKUP('Données projet'!$B$12,Paramètres!$A$1:$I$89,3,0)*VLOOKUP('Données projet'!$B$12,Paramètres!$A$1:$I$89,5,0)</f>
        <v>234.30099999999968</v>
      </c>
      <c r="CA116" s="13">
        <f t="shared" si="93"/>
        <v>57.211653132059183</v>
      </c>
      <c r="CB116" s="20">
        <f t="shared" si="64"/>
        <v>507.71787087166916</v>
      </c>
      <c r="CC116" s="59">
        <f t="shared" si="65"/>
        <v>801.05120420500248</v>
      </c>
      <c r="CD116" s="59">
        <f ca="1">AVERAGE(OFFSET($CC$3,0,0,'Données projet'!$E$12+1,1))-AVERAGE(OFFSET($H$3,0,0,'Données projet'!$E$12+1,1))</f>
        <v>361.26385625423757</v>
      </c>
      <c r="CE116" s="59">
        <f t="shared" si="94"/>
        <v>222.05197404028576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31.602564102564099</v>
      </c>
      <c r="CH116" s="16">
        <f>IF(ISNA(VLOOKUP(A116,'Données projet'!$A$113:$I$133,5,0)),0%,VLOOKUP(A116,'Données projet'!$A$113:$I$133,5,0)*VLOOKUP('Données projet'!$B$12,Paramètres!$A$1:$I$89,7,0))</f>
        <v>0.30099999999999999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37.548166782834556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37.548166782834556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247.00000000000017</v>
      </c>
      <c r="CU116" s="17">
        <f>CT116*VLOOKUP('Données projet'!$B$13,Paramètres!$A$1:$I$89,3,0)*VLOOKUP('Données projet'!$B$13,Paramètres!$A$1:$I$89,5,0)</f>
        <v>223.48560000000012</v>
      </c>
      <c r="CV116" s="13">
        <f t="shared" si="95"/>
        <v>54.87176918107798</v>
      </c>
      <c r="CW116" s="20">
        <f t="shared" si="67"/>
        <v>484.80575132371092</v>
      </c>
      <c r="CX116" s="59">
        <f t="shared" si="68"/>
        <v>778.13908465704424</v>
      </c>
      <c r="CY116" s="59">
        <f ca="1">AVERAGE(OFFSET($CX$3,0,0,'Données projet'!$E$13+1,1))-AVERAGE(OFFSET($H$3,0,0,'Données projet'!$E$13+1,1))</f>
        <v>302.6937347295995</v>
      </c>
      <c r="CZ116" s="59">
        <f t="shared" si="96"/>
        <v>423.44006663873375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0.1170722429092001</v>
      </c>
      <c r="DG116" s="21">
        <f>EXP(-LN(2)/25)*DG115+(1-EXP(-LN(2)/25))/(LN(2)/25)*Calculateur!DB116*Calculateur!DD116*VLOOKUP('Données projet'!$B$13,Paramètres!$A$1:$I$89,3,0)*0.475*44/12</f>
        <v>0.42949637195085372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0.54656861486005381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238.14199999999968</v>
      </c>
      <c r="DQ116" s="13">
        <f t="shared" si="97"/>
        <v>58.039592093276745</v>
      </c>
      <c r="DR116" s="20">
        <f t="shared" si="70"/>
        <v>515.84960622912308</v>
      </c>
      <c r="DS116" s="59">
        <f t="shared" si="71"/>
        <v>809.18293956245634</v>
      </c>
      <c r="DT116" s="59">
        <f ca="1">AVERAGE(OFFSET($DS$3,0,0,'Données projet'!$E$14+1,1))-AVERAGE(OFFSET($H$3,0,0,'Données projet'!$E$14+1,1))</f>
        <v>366.51581861366333</v>
      </c>
      <c r="DU116" s="59">
        <f t="shared" si="98"/>
        <v>225.01415116995503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38.163710500585957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38.163710500585957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328.00000000000017</v>
      </c>
      <c r="EK116" s="17">
        <f>EJ116*VLOOKUP('Données projet'!$B$15,Paramètres!$A$1:$I$89,3,0)*VLOOKUP('Données projet'!$B$15,Paramètres!$A$1:$I$89,5,0)</f>
        <v>255.84000000000015</v>
      </c>
      <c r="EL116" s="13">
        <f t="shared" si="99"/>
        <v>61.834803371075886</v>
      </c>
      <c r="EM116" s="20">
        <f t="shared" si="73"/>
        <v>553.28361587129086</v>
      </c>
      <c r="EN116" s="59">
        <f t="shared" si="74"/>
        <v>846.61694920462423</v>
      </c>
      <c r="EO116" s="59">
        <f ca="1">AVERAGE(OFFSET($EN$3,0,0,'Données projet'!$E$15+1,1))-AVERAGE(OFFSET($H$3,0,0,'Données projet'!$E$15+1,1))</f>
        <v>288.80569134263209</v>
      </c>
      <c r="EP116" s="59">
        <f t="shared" si="100"/>
        <v>283.48738729114024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8.5040670658816708</v>
      </c>
      <c r="EW116" s="21">
        <f>EXP(-LN(2)/25)*EW115+(1-EXP(-LN(2)/25))/(LN(2)/25)*Calculateur!ER116*Calculateur!ET116*VLOOKUP('Données projet'!$B$15,Paramètres!$A$1:$I$89,3,0)*0.475*44/12</f>
        <v>5.8327538132293206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14.336820879110991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-1.0197709343628959E-13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323.17232038705157</v>
      </c>
      <c r="FK116" s="59">
        <f t="shared" si="102"/>
        <v>402.34685738619197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52.66637009102223</v>
      </c>
      <c r="FR116" s="21">
        <f>EXP(-LN(2)/25)*FR115+(1-EXP(-LN(2)/25))/(LN(2)/25)*Calculateur!FM116*Calculateur!FO116*VLOOKUP('Données projet'!$B$16,Paramètres!$A$1:$I$89,3,0)*0.475*44/12</f>
        <v>9.1007996659310919</v>
      </c>
      <c r="FS116" s="21">
        <f>EXP(-LN(2)/2)*FS115+(1-EXP(-LN(2)/2))/(LN(2)/2)*FM116*FP116*VLOOKUP('Données projet'!$B$16,Paramètres!$A$1:$I$89,3,0)*0.475*44/12</f>
        <v>1.0643757468759899E-7</v>
      </c>
      <c r="FT116" s="22">
        <f t="shared" si="78"/>
        <v>61.767169863390897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328.00000000000017</v>
      </c>
      <c r="GA116" s="17">
        <f>FZ116*VLOOKUP('Données projet'!$B$17,Paramètres!$A$1:$I$89,3,0)*VLOOKUP('Données projet'!$B$17,Paramètres!$A$1:$I$89,5,0)</f>
        <v>266.07360000000017</v>
      </c>
      <c r="GB116" s="13">
        <f t="shared" si="103"/>
        <v>64.015279012301136</v>
      </c>
      <c r="GC116" s="20">
        <f t="shared" si="79"/>
        <v>574.90479761309132</v>
      </c>
      <c r="GD116" s="59">
        <f t="shared" si="80"/>
        <v>868.23813094642469</v>
      </c>
      <c r="GE116" s="59">
        <f ca="1">AVERAGE(OFFSET($GD$3,0,0,'Données projet'!$E$17+1,1))-AVERAGE(OFFSET($H$3,0,0,'Données projet'!$E$17+1,1))</f>
        <v>298.96480270023716</v>
      </c>
      <c r="GF116" s="59">
        <f t="shared" si="104"/>
        <v>293.11447542333889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10.90102736445111</v>
      </c>
      <c r="GM116" s="21">
        <f>EXP(-LN(2)/25)*GM115+(1-EXP(-LN(2)/25))/(LN(2)/25)*Calculateur!GH116*Calculateur!GJ116*VLOOKUP('Données projet'!$B$17,Paramètres!$A$1:$I$89,3,0)*0.475*44/12</f>
        <v>7.4767765159348869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18.377803880385997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-1.4210854715202004E-13</v>
      </c>
      <c r="GV116" s="17">
        <f>GU116*VLOOKUP('Données projet'!$B$18,Paramètres!$A$1:$I$89,3,0)*VLOOKUP('Données projet'!$B$18,Paramètres!$A$1:$I$89,5,0)</f>
        <v>-8.128608897095547E-14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320.76883487964511</v>
      </c>
      <c r="HA116" s="59">
        <f t="shared" si="106"/>
        <v>290.51177680335746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86.133230281546332</v>
      </c>
      <c r="HH116" s="21">
        <f>EXP(-LN(2)/25)*HH115+(1-EXP(-LN(2)/25))/(LN(2)/25)*Calculateur!HC116*Calculateur!HE116*VLOOKUP('Données projet'!$B$18,Paramètres!$A$1:$I$89,3,0)*0.475*44/12</f>
        <v>17.625593394521751</v>
      </c>
      <c r="HI116" s="21">
        <f>EXP(-LN(2)/2)*HI115+(1-EXP(-LN(2)/2))/(LN(2)/2)*HC116*HF116*VLOOKUP('Données projet'!$B$18,Paramètres!$A$1:$I$89,3,0)*0.475*44/12</f>
        <v>1.0987202394808182E-2</v>
      </c>
      <c r="HJ116" s="22">
        <f t="shared" si="84"/>
        <v>103.76981087846289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327.63250000000045</v>
      </c>
      <c r="AK117" s="13">
        <f t="shared" si="89"/>
        <v>76.939258522537983</v>
      </c>
      <c r="AL117" s="20">
        <f t="shared" si="58"/>
        <v>704.62914609342113</v>
      </c>
      <c r="AM117" s="59">
        <f t="shared" si="59"/>
        <v>997.9624794267545</v>
      </c>
      <c r="AN117" s="59">
        <f ca="1">AVERAGE(OFFSET($AM$3,0,0,'Données projet'!$E$10+1,1))-AVERAGE(OFFSET($H$3,0,0,'Données projet'!$E$10+1,1))</f>
        <v>425.47148407510412</v>
      </c>
      <c r="AO117" s="59">
        <f t="shared" si="90"/>
        <v>308.54448799922471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61.072761606793819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61.072761606793819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212.00000000000009</v>
      </c>
      <c r="BE117" s="13">
        <f>BD117*VLOOKUP('Données projet'!$B$11,Paramètres!$A$1:$I$89,3,0)*VLOOKUP('Données projet'!$B$11,Paramètres!$A$1:$I$89,5,0)</f>
        <v>185.20320000000009</v>
      </c>
      <c r="BF117" s="13">
        <f t="shared" si="91"/>
        <v>46.477875402099386</v>
      </c>
      <c r="BG117" s="20">
        <f t="shared" si="61"/>
        <v>403.5112063253232</v>
      </c>
      <c r="BH117" s="59">
        <f t="shared" si="62"/>
        <v>696.84453965865646</v>
      </c>
      <c r="BI117" s="59">
        <f ca="1">AVERAGE(OFFSET($BH$3,0,0,'Données projet'!$E$11+1,1))-AVERAGE(OFFSET($H$3,0,0,'Données projet'!$E$11+1,1))</f>
        <v>300.63505444445104</v>
      </c>
      <c r="BJ117" s="59">
        <f t="shared" si="92"/>
        <v>266.32508105927997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11.318271449573619</v>
      </c>
      <c r="BQ117" s="21">
        <f>EXP(-LN(2)/25)*BQ116+(1-EXP(-LN(2)/25))/(LN(2)/25)*Calculateur!BL117*Calculateur!BN117*VLOOKUP('Données projet'!$B$11,Paramètres!$A$1:$I$89,3,0)*0.475*44/12</f>
        <v>9.4874965768340278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20.805768026407648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5.3066239316239274</v>
      </c>
      <c r="BY117" s="12">
        <f>IF('Données projet'!$A$114&gt;35,BY116+BX117-CG116,IF(A117&lt;'Données projet'!$A$114,$BV$205^A117,IF(A117='Données projet'!$A$114,'Données projet'!$B$114,BY116+BX117-CG116)))</f>
        <v>219.9220085470082</v>
      </c>
      <c r="BZ117" s="13">
        <f>BY117*VLOOKUP('Données projet'!$B$12,Paramètres!$A$1:$I$89,3,0)*VLOOKUP('Données projet'!$B$12,Paramètres!$A$1:$I$89,5,0)</f>
        <v>209.27778333333302</v>
      </c>
      <c r="CA117" s="13">
        <f t="shared" si="93"/>
        <v>51.777731556114787</v>
      </c>
      <c r="CB117" s="20">
        <f t="shared" si="64"/>
        <v>454.67168843245491</v>
      </c>
      <c r="CC117" s="59">
        <f t="shared" si="65"/>
        <v>748.00502176578823</v>
      </c>
      <c r="CD117" s="59">
        <f ca="1">AVERAGE(OFFSET($CC$3,0,0,'Données projet'!$E$12+1,1))-AVERAGE(OFFSET($H$3,0,0,'Données projet'!$E$12+1,1))</f>
        <v>361.26385625423757</v>
      </c>
      <c r="CE117" s="59">
        <f t="shared" si="94"/>
        <v>222.05197404028576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36.811870134343515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36.811870134343515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247.00000000000017</v>
      </c>
      <c r="CU117" s="17">
        <f>CT117*VLOOKUP('Données projet'!$B$13,Paramètres!$A$1:$I$89,3,0)*VLOOKUP('Données projet'!$B$13,Paramètres!$A$1:$I$89,5,0)</f>
        <v>223.48560000000012</v>
      </c>
      <c r="CV117" s="13">
        <f t="shared" si="95"/>
        <v>54.87176918107798</v>
      </c>
      <c r="CW117" s="20">
        <f t="shared" si="67"/>
        <v>484.80575132371092</v>
      </c>
      <c r="CX117" s="59">
        <f t="shared" si="68"/>
        <v>778.13908465704424</v>
      </c>
      <c r="CY117" s="59">
        <f ca="1">AVERAGE(OFFSET($CX$3,0,0,'Données projet'!$E$13+1,1))-AVERAGE(OFFSET($H$3,0,0,'Données projet'!$E$13+1,1))</f>
        <v>302.6937347295995</v>
      </c>
      <c r="CZ117" s="59">
        <f t="shared" si="96"/>
        <v>423.44006663873375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0.11477652763276799</v>
      </c>
      <c r="DG117" s="21">
        <f>EXP(-LN(2)/25)*DG116+(1-EXP(-LN(2)/25))/(LN(2)/25)*Calculateur!DB117*Calculateur!DD117*VLOOKUP('Données projet'!$B$13,Paramètres!$A$1:$I$89,3,0)*0.475*44/12</f>
        <v>0.41775177107362504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0.53252829870639307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212.70856666666631</v>
      </c>
      <c r="DQ117" s="13">
        <f t="shared" si="97"/>
        <v>52.527033471579792</v>
      </c>
      <c r="DR117" s="20">
        <f t="shared" si="70"/>
        <v>461.95200357411198</v>
      </c>
      <c r="DS117" s="59">
        <f t="shared" si="71"/>
        <v>755.2853369074453</v>
      </c>
      <c r="DT117" s="59">
        <f ca="1">AVERAGE(OFFSET($DS$3,0,0,'Données projet'!$E$14+1,1))-AVERAGE(OFFSET($H$3,0,0,'Données projet'!$E$14+1,1))</f>
        <v>366.51581861366333</v>
      </c>
      <c r="DU117" s="59">
        <f t="shared" si="98"/>
        <v>225.01415116995503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37.415343415234403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37.415343415234403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328.00000000000017</v>
      </c>
      <c r="EK117" s="17">
        <f>EJ117*VLOOKUP('Données projet'!$B$15,Paramètres!$A$1:$I$89,3,0)*VLOOKUP('Données projet'!$B$15,Paramètres!$A$1:$I$89,5,0)</f>
        <v>255.84000000000015</v>
      </c>
      <c r="EL117" s="13">
        <f t="shared" si="99"/>
        <v>61.834803371075886</v>
      </c>
      <c r="EM117" s="20">
        <f t="shared" si="73"/>
        <v>553.28361587129086</v>
      </c>
      <c r="EN117" s="59">
        <f t="shared" si="74"/>
        <v>846.61694920462423</v>
      </c>
      <c r="EO117" s="59">
        <f ca="1">AVERAGE(OFFSET($EN$3,0,0,'Données projet'!$E$15+1,1))-AVERAGE(OFFSET($H$3,0,0,'Données projet'!$E$15+1,1))</f>
        <v>288.80569134263209</v>
      </c>
      <c r="EP117" s="59">
        <f t="shared" si="100"/>
        <v>283.48738729114024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8.3373074976884709</v>
      </c>
      <c r="EW117" s="21">
        <f>EXP(-LN(2)/25)*EW116+(1-EXP(-LN(2)/25))/(LN(2)/25)*Calculateur!ER117*Calculateur!ET117*VLOOKUP('Données projet'!$B$15,Paramètres!$A$1:$I$89,3,0)*0.475*44/12</f>
        <v>5.6732568534753725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14.010564351163843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-1.0197709343628959E-13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323.17232038705157</v>
      </c>
      <c r="FK117" s="59">
        <f t="shared" si="102"/>
        <v>402.34685738619197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51.633614696851126</v>
      </c>
      <c r="FR117" s="21">
        <f>EXP(-LN(2)/25)*FR116+(1-EXP(-LN(2)/25))/(LN(2)/25)*Calculateur!FM117*Calculateur!FO117*VLOOKUP('Données projet'!$B$16,Paramètres!$A$1:$I$89,3,0)*0.475*44/12</f>
        <v>8.8519378204759516</v>
      </c>
      <c r="FS117" s="21">
        <f>EXP(-LN(2)/2)*FS116+(1-EXP(-LN(2)/2))/(LN(2)/2)*FM117*FP117*VLOOKUP('Données projet'!$B$16,Paramètres!$A$1:$I$89,3,0)*0.475*44/12</f>
        <v>7.5262730834650864E-8</v>
      </c>
      <c r="FT117" s="22">
        <f t="shared" si="78"/>
        <v>60.485552592589812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328.00000000000017</v>
      </c>
      <c r="GA117" s="17">
        <f>FZ117*VLOOKUP('Données projet'!$B$17,Paramètres!$A$1:$I$89,3,0)*VLOOKUP('Données projet'!$B$17,Paramètres!$A$1:$I$89,5,0)</f>
        <v>266.07360000000017</v>
      </c>
      <c r="GB117" s="13">
        <f t="shared" si="103"/>
        <v>64.015279012301136</v>
      </c>
      <c r="GC117" s="20">
        <f t="shared" si="79"/>
        <v>574.90479761309132</v>
      </c>
      <c r="GD117" s="59">
        <f t="shared" si="80"/>
        <v>868.23813094642469</v>
      </c>
      <c r="GE117" s="59">
        <f ca="1">AVERAGE(OFFSET($GD$3,0,0,'Données projet'!$E$17+1,1))-AVERAGE(OFFSET($H$3,0,0,'Données projet'!$E$17+1,1))</f>
        <v>298.96480270023716</v>
      </c>
      <c r="GF117" s="59">
        <f t="shared" si="104"/>
        <v>293.11447542333889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10.687264866804385</v>
      </c>
      <c r="GM117" s="21">
        <f>EXP(-LN(2)/25)*GM116+(1-EXP(-LN(2)/25))/(LN(2)/25)*Calculateur!GH117*Calculateur!GJ117*VLOOKUP('Données projet'!$B$17,Paramètres!$A$1:$I$89,3,0)*0.475*44/12</f>
        <v>7.272323668920059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17.959588535724443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-1.4210854715202004E-13</v>
      </c>
      <c r="GV117" s="17">
        <f>GU117*VLOOKUP('Données projet'!$B$18,Paramètres!$A$1:$I$89,3,0)*VLOOKUP('Données projet'!$B$18,Paramètres!$A$1:$I$89,5,0)</f>
        <v>-8.128608897095547E-14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320.76883487964511</v>
      </c>
      <c r="HA117" s="59">
        <f t="shared" si="106"/>
        <v>290.51177680335746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84.44421017180818</v>
      </c>
      <c r="HH117" s="21">
        <f>EXP(-LN(2)/25)*HH116+(1-EXP(-LN(2)/25))/(LN(2)/25)*Calculateur!HC117*Calculateur!HE117*VLOOKUP('Données projet'!$B$18,Paramètres!$A$1:$I$89,3,0)*0.475*44/12</f>
        <v>17.143620616258879</v>
      </c>
      <c r="HI117" s="21">
        <f>EXP(-LN(2)/2)*HI116+(1-EXP(-LN(2)/2))/(LN(2)/2)*HC117*HF117*VLOOKUP('Données projet'!$B$18,Paramètres!$A$1:$I$89,3,0)*0.475*44/12</f>
        <v>7.7691253196379411E-3</v>
      </c>
      <c r="HJ117" s="22">
        <f t="shared" si="84"/>
        <v>101.59559991338671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334.57450000000046</v>
      </c>
      <c r="AK118" s="13">
        <f t="shared" si="89"/>
        <v>78.377956496830535</v>
      </c>
      <c r="AL118" s="20">
        <f t="shared" si="58"/>
        <v>719.22552839864738</v>
      </c>
      <c r="AM118" s="59">
        <f t="shared" si="59"/>
        <v>1012.5588617319806</v>
      </c>
      <c r="AN118" s="59">
        <f ca="1">AVERAGE(OFFSET($AM$3,0,0,'Données projet'!$E$10+1,1))-AVERAGE(OFFSET($H$3,0,0,'Données projet'!$E$10+1,1))</f>
        <v>425.47148407510412</v>
      </c>
      <c r="AO118" s="59">
        <f t="shared" si="90"/>
        <v>308.54448799922471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59.875162002390972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59.875162002390972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212.00000000000009</v>
      </c>
      <c r="BE118" s="13">
        <f>BD118*VLOOKUP('Données projet'!$B$11,Paramètres!$A$1:$I$89,3,0)*VLOOKUP('Données projet'!$B$11,Paramètres!$A$1:$I$89,5,0)</f>
        <v>185.20320000000009</v>
      </c>
      <c r="BF118" s="13">
        <f t="shared" si="91"/>
        <v>46.477875402099386</v>
      </c>
      <c r="BG118" s="20">
        <f t="shared" si="61"/>
        <v>403.5112063253232</v>
      </c>
      <c r="BH118" s="59">
        <f t="shared" si="62"/>
        <v>696.84453965865646</v>
      </c>
      <c r="BI118" s="59">
        <f ca="1">AVERAGE(OFFSET($BH$3,0,0,'Données projet'!$E$11+1,1))-AVERAGE(OFFSET($H$3,0,0,'Données projet'!$E$11+1,1))</f>
        <v>300.63505444445104</v>
      </c>
      <c r="BJ118" s="59">
        <f t="shared" si="92"/>
        <v>266.32508105927997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11.096327049911404</v>
      </c>
      <c r="BQ118" s="21">
        <f>EXP(-LN(2)/25)*BQ117+(1-EXP(-LN(2)/25))/(LN(2)/25)*Calculateur!BL118*Calculateur!BN118*VLOOKUP('Données projet'!$B$11,Paramètres!$A$1:$I$89,3,0)*0.475*44/12</f>
        <v>9.2280604840147404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20.324387533926142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5.3066239316239274</v>
      </c>
      <c r="BY118" s="12">
        <f>IF('Données projet'!$A$114&gt;35,BY117+BX118-CG117,IF(A118&lt;'Données projet'!$A$114,$BV$205^A118,IF(A118='Données projet'!$A$114,'Données projet'!$B$114,BY117+BX118-CG117)))</f>
        <v>225.22863247863214</v>
      </c>
      <c r="BZ118" s="13">
        <f>BY118*VLOOKUP('Données projet'!$B$12,Paramètres!$A$1:$I$89,3,0)*VLOOKUP('Données projet'!$B$12,Paramètres!$A$1:$I$89,5,0)</f>
        <v>214.32756666666634</v>
      </c>
      <c r="CA118" s="13">
        <f t="shared" si="93"/>
        <v>52.880142291343276</v>
      </c>
      <c r="CB118" s="20">
        <f t="shared" si="64"/>
        <v>465.38675976853341</v>
      </c>
      <c r="CC118" s="59">
        <f t="shared" si="65"/>
        <v>758.72009310186672</v>
      </c>
      <c r="CD118" s="59">
        <f ca="1">AVERAGE(OFFSET($CC$3,0,0,'Données projet'!$E$12+1,1))-AVERAGE(OFFSET($H$3,0,0,'Données projet'!$E$12+1,1))</f>
        <v>361.26385625423757</v>
      </c>
      <c r="CE118" s="59">
        <f t="shared" si="94"/>
        <v>222.05197404028576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36.090011814032771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36.090011814032771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247.00000000000017</v>
      </c>
      <c r="CU118" s="17">
        <f>CT118*VLOOKUP('Données projet'!$B$13,Paramètres!$A$1:$I$89,3,0)*VLOOKUP('Données projet'!$B$13,Paramètres!$A$1:$I$89,5,0)</f>
        <v>223.48560000000012</v>
      </c>
      <c r="CV118" s="13">
        <f t="shared" si="95"/>
        <v>54.87176918107798</v>
      </c>
      <c r="CW118" s="20">
        <f t="shared" si="67"/>
        <v>484.80575132371092</v>
      </c>
      <c r="CX118" s="59">
        <f t="shared" si="68"/>
        <v>778.13908465704424</v>
      </c>
      <c r="CY118" s="59">
        <f ca="1">AVERAGE(OFFSET($CX$3,0,0,'Données projet'!$E$13+1,1))-AVERAGE(OFFSET($H$3,0,0,'Données projet'!$E$13+1,1))</f>
        <v>302.6937347295995</v>
      </c>
      <c r="CZ118" s="59">
        <f t="shared" si="96"/>
        <v>423.44006663873375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0.11252582993265868</v>
      </c>
      <c r="DG118" s="21">
        <f>EXP(-LN(2)/25)*DG117+(1-EXP(-LN(2)/25))/(LN(2)/25)*Calculateur!DB118*Calculateur!DD118*VLOOKUP('Données projet'!$B$13,Paramètres!$A$1:$I$89,3,0)*0.475*44/12</f>
        <v>0.40632832692500592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0.51885415685766456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217.84113333333303</v>
      </c>
      <c r="DQ118" s="13">
        <f t="shared" si="97"/>
        <v>53.645397753839269</v>
      </c>
      <c r="DR118" s="20">
        <f t="shared" si="70"/>
        <v>472.83904164349178</v>
      </c>
      <c r="DS118" s="59">
        <f t="shared" si="71"/>
        <v>766.17237497682504</v>
      </c>
      <c r="DT118" s="59">
        <f ca="1">AVERAGE(OFFSET($DS$3,0,0,'Données projet'!$E$14+1,1))-AVERAGE(OFFSET($H$3,0,0,'Données projet'!$E$14+1,1))</f>
        <v>366.51581861366333</v>
      </c>
      <c r="DU118" s="59">
        <f t="shared" si="98"/>
        <v>225.01415116995503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36.681651351967744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36.681651351967744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328.00000000000017</v>
      </c>
      <c r="EK118" s="17">
        <f>EJ118*VLOOKUP('Données projet'!$B$15,Paramètres!$A$1:$I$89,3,0)*VLOOKUP('Données projet'!$B$15,Paramètres!$A$1:$I$89,5,0)</f>
        <v>255.84000000000015</v>
      </c>
      <c r="EL118" s="13">
        <f t="shared" si="99"/>
        <v>61.834803371075886</v>
      </c>
      <c r="EM118" s="20">
        <f t="shared" si="73"/>
        <v>553.28361587129086</v>
      </c>
      <c r="EN118" s="59">
        <f t="shared" si="74"/>
        <v>846.61694920462423</v>
      </c>
      <c r="EO118" s="59">
        <f ca="1">AVERAGE(OFFSET($EN$3,0,0,'Données projet'!$E$15+1,1))-AVERAGE(OFFSET($H$3,0,0,'Données projet'!$E$15+1,1))</f>
        <v>288.80569134263209</v>
      </c>
      <c r="EP118" s="59">
        <f t="shared" si="100"/>
        <v>283.48738729114024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8.1738179829142457</v>
      </c>
      <c r="EW118" s="21">
        <f>EXP(-LN(2)/25)*EW117+(1-EXP(-LN(2)/25))/(LN(2)/25)*Calculateur!ER118*Calculateur!ET118*VLOOKUP('Données projet'!$B$15,Paramètres!$A$1:$I$89,3,0)*0.475*44/12</f>
        <v>5.5181213464734773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13.691939329387722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-1.0197709343628959E-13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323.17232038705157</v>
      </c>
      <c r="FK118" s="59">
        <f t="shared" si="102"/>
        <v>402.34685738619197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50.621111006041126</v>
      </c>
      <c r="FR118" s="21">
        <f>EXP(-LN(2)/25)*FR117+(1-EXP(-LN(2)/25))/(LN(2)/25)*Calculateur!FM118*Calculateur!FO118*VLOOKUP('Données projet'!$B$16,Paramètres!$A$1:$I$89,3,0)*0.475*44/12</f>
        <v>8.6098811152718575</v>
      </c>
      <c r="FS118" s="21">
        <f>EXP(-LN(2)/2)*FS117+(1-EXP(-LN(2)/2))/(LN(2)/2)*FM118*FP118*VLOOKUP('Données projet'!$B$16,Paramètres!$A$1:$I$89,3,0)*0.475*44/12</f>
        <v>5.3218787343799493E-8</v>
      </c>
      <c r="FT118" s="22">
        <f t="shared" si="78"/>
        <v>59.230992174531764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328.00000000000017</v>
      </c>
      <c r="GA118" s="17">
        <f>FZ118*VLOOKUP('Données projet'!$B$17,Paramètres!$A$1:$I$89,3,0)*VLOOKUP('Données projet'!$B$17,Paramètres!$A$1:$I$89,5,0)</f>
        <v>266.07360000000017</v>
      </c>
      <c r="GB118" s="13">
        <f t="shared" si="103"/>
        <v>64.015279012301136</v>
      </c>
      <c r="GC118" s="20">
        <f t="shared" si="79"/>
        <v>574.90479761309132</v>
      </c>
      <c r="GD118" s="59">
        <f t="shared" si="80"/>
        <v>868.23813094642469</v>
      </c>
      <c r="GE118" s="59">
        <f ca="1">AVERAGE(OFFSET($GD$3,0,0,'Données projet'!$E$17+1,1))-AVERAGE(OFFSET($H$3,0,0,'Données projet'!$E$17+1,1))</f>
        <v>298.96480270023716</v>
      </c>
      <c r="GF118" s="59">
        <f t="shared" si="104"/>
        <v>293.11447542333889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10.477694121354263</v>
      </c>
      <c r="GM118" s="21">
        <f>EXP(-LN(2)/25)*GM117+(1-EXP(-LN(2)/25))/(LN(2)/25)*Calculateur!GH118*Calculateur!GJ118*VLOOKUP('Données projet'!$B$17,Paramètres!$A$1:$I$89,3,0)*0.475*44/12</f>
        <v>7.0734615957585589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17.55115571711282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-1.4210854715202004E-13</v>
      </c>
      <c r="GV118" s="17">
        <f>GU118*VLOOKUP('Données projet'!$B$18,Paramètres!$A$1:$I$89,3,0)*VLOOKUP('Données projet'!$B$18,Paramètres!$A$1:$I$89,5,0)</f>
        <v>-8.128608897095547E-14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320.76883487964511</v>
      </c>
      <c r="HA118" s="59">
        <f t="shared" si="106"/>
        <v>290.51177680335746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82.788310716221446</v>
      </c>
      <c r="HH118" s="21">
        <f>EXP(-LN(2)/25)*HH117+(1-EXP(-LN(2)/25))/(LN(2)/25)*Calculateur!HC118*Calculateur!HE118*VLOOKUP('Données projet'!$B$18,Paramètres!$A$1:$I$89,3,0)*0.475*44/12</f>
        <v>16.674827408963456</v>
      </c>
      <c r="HI118" s="21">
        <f>EXP(-LN(2)/2)*HI117+(1-EXP(-LN(2)/2))/(LN(2)/2)*HC118*HF118*VLOOKUP('Données projet'!$B$18,Paramètres!$A$1:$I$89,3,0)*0.475*44/12</f>
        <v>5.4936011974040921E-3</v>
      </c>
      <c r="HJ118" s="22">
        <f t="shared" si="84"/>
        <v>99.468631726382299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341.51650000000046</v>
      </c>
      <c r="AK119" s="13">
        <f t="shared" si="89"/>
        <v>79.813183723893872</v>
      </c>
      <c r="AL119" s="20">
        <f t="shared" si="58"/>
        <v>733.81586581911597</v>
      </c>
      <c r="AM119" s="59">
        <f t="shared" si="59"/>
        <v>1027.1491991524492</v>
      </c>
      <c r="AN119" s="59">
        <f ca="1">AVERAGE(OFFSET($AM$3,0,0,'Données projet'!$E$10+1,1))-AVERAGE(OFFSET($H$3,0,0,'Données projet'!$E$10+1,1))</f>
        <v>425.47148407510412</v>
      </c>
      <c r="AO119" s="59">
        <f t="shared" si="90"/>
        <v>308.54448799922471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58.701046595766833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58.701046595766833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212.00000000000009</v>
      </c>
      <c r="BE119" s="13">
        <f>BD119*VLOOKUP('Données projet'!$B$11,Paramètres!$A$1:$I$89,3,0)*VLOOKUP('Données projet'!$B$11,Paramètres!$A$1:$I$89,5,0)</f>
        <v>185.20320000000009</v>
      </c>
      <c r="BF119" s="13">
        <f t="shared" si="91"/>
        <v>46.477875402099386</v>
      </c>
      <c r="BG119" s="20">
        <f t="shared" si="61"/>
        <v>403.5112063253232</v>
      </c>
      <c r="BH119" s="59">
        <f t="shared" si="62"/>
        <v>696.84453965865646</v>
      </c>
      <c r="BI119" s="59">
        <f ca="1">AVERAGE(OFFSET($BH$3,0,0,'Données projet'!$E$11+1,1))-AVERAGE(OFFSET($H$3,0,0,'Données projet'!$E$11+1,1))</f>
        <v>300.63505444445104</v>
      </c>
      <c r="BJ119" s="59">
        <f t="shared" si="92"/>
        <v>266.32508105927997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10.878734844553847</v>
      </c>
      <c r="BQ119" s="21">
        <f>EXP(-LN(2)/25)*BQ118+(1-EXP(-LN(2)/25))/(LN(2)/25)*Calculateur!BL119*Calculateur!BN119*VLOOKUP('Données projet'!$B$11,Paramètres!$A$1:$I$89,3,0)*0.475*44/12</f>
        <v>8.9757186847967478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19.854453529350593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5.3066239316239274</v>
      </c>
      <c r="BY119" s="12">
        <f>IF('Données projet'!$A$114&gt;35,BY118+BX119-CG118,IF(A119&lt;'Données projet'!$A$114,$BV$205^A119,IF(A119='Données projet'!$A$114,'Données projet'!$B$114,BY118+BX119-CG118)))</f>
        <v>230.53525641025607</v>
      </c>
      <c r="BZ119" s="13">
        <f>BY119*VLOOKUP('Données projet'!$B$12,Paramètres!$A$1:$I$89,3,0)*VLOOKUP('Données projet'!$B$12,Paramètres!$A$1:$I$89,5,0)</f>
        <v>219.37734999999969</v>
      </c>
      <c r="CA119" s="13">
        <f t="shared" si="93"/>
        <v>53.979533504538885</v>
      </c>
      <c r="CB119" s="20">
        <f t="shared" si="64"/>
        <v>476.09657210373803</v>
      </c>
      <c r="CC119" s="59">
        <f t="shared" si="65"/>
        <v>769.42990543707128</v>
      </c>
      <c r="CD119" s="59">
        <f ca="1">AVERAGE(OFFSET($CC$3,0,0,'Données projet'!$E$12+1,1))-AVERAGE(OFFSET($H$3,0,0,'Données projet'!$E$12+1,1))</f>
        <v>361.26385625423757</v>
      </c>
      <c r="CE119" s="59">
        <f t="shared" si="94"/>
        <v>222.05197404028576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35.382308695093215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35.382308695093215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247.00000000000017</v>
      </c>
      <c r="CU119" s="17">
        <f>CT119*VLOOKUP('Données projet'!$B$13,Paramètres!$A$1:$I$89,3,0)*VLOOKUP('Données projet'!$B$13,Paramètres!$A$1:$I$89,5,0)</f>
        <v>223.48560000000012</v>
      </c>
      <c r="CV119" s="13">
        <f t="shared" si="95"/>
        <v>54.87176918107798</v>
      </c>
      <c r="CW119" s="20">
        <f t="shared" si="67"/>
        <v>484.80575132371092</v>
      </c>
      <c r="CX119" s="59">
        <f t="shared" si="68"/>
        <v>778.13908465704424</v>
      </c>
      <c r="CY119" s="59">
        <f ca="1">AVERAGE(OFFSET($CX$3,0,0,'Données projet'!$E$13+1,1))-AVERAGE(OFFSET($H$3,0,0,'Données projet'!$E$13+1,1))</f>
        <v>302.6937347295995</v>
      </c>
      <c r="CZ119" s="59">
        <f t="shared" si="96"/>
        <v>423.44006663873375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0.11031926704165845</v>
      </c>
      <c r="DG119" s="21">
        <f>EXP(-LN(2)/25)*DG118+(1-EXP(-LN(2)/25))/(LN(2)/25)*Calculateur!DB119*Calculateur!DD119*VLOOKUP('Données projet'!$B$13,Paramètres!$A$1:$I$89,3,0)*0.475*44/12</f>
        <v>0.39521725745736358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0.50553652449902198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222.97369999999967</v>
      </c>
      <c r="DQ119" s="13">
        <f t="shared" si="97"/>
        <v>54.76069881702513</v>
      </c>
      <c r="DR119" s="20">
        <f t="shared" si="70"/>
        <v>483.72074460631808</v>
      </c>
      <c r="DS119" s="59">
        <f t="shared" si="71"/>
        <v>777.05407793965139</v>
      </c>
      <c r="DT119" s="59">
        <f ca="1">AVERAGE(OFFSET($DS$3,0,0,'Données projet'!$E$14+1,1))-AVERAGE(OFFSET($H$3,0,0,'Données projet'!$E$14+1,1))</f>
        <v>366.51581861366333</v>
      </c>
      <c r="DU119" s="59">
        <f t="shared" si="98"/>
        <v>225.01415116995503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35.962346542553774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35.962346542553774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328.00000000000017</v>
      </c>
      <c r="EK119" s="17">
        <f>EJ119*VLOOKUP('Données projet'!$B$15,Paramètres!$A$1:$I$89,3,0)*VLOOKUP('Données projet'!$B$15,Paramètres!$A$1:$I$89,5,0)</f>
        <v>255.84000000000015</v>
      </c>
      <c r="EL119" s="13">
        <f t="shared" si="99"/>
        <v>61.834803371075886</v>
      </c>
      <c r="EM119" s="20">
        <f t="shared" si="73"/>
        <v>553.28361587129086</v>
      </c>
      <c r="EN119" s="59">
        <f t="shared" si="74"/>
        <v>846.61694920462423</v>
      </c>
      <c r="EO119" s="59">
        <f ca="1">AVERAGE(OFFSET($EN$3,0,0,'Données projet'!$E$15+1,1))-AVERAGE(OFFSET($H$3,0,0,'Données projet'!$E$15+1,1))</f>
        <v>288.80569134263209</v>
      </c>
      <c r="EP119" s="59">
        <f t="shared" si="100"/>
        <v>283.48738729114024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8.0135343978059854</v>
      </c>
      <c r="EW119" s="21">
        <f>EXP(-LN(2)/25)*EW118+(1-EXP(-LN(2)/25))/(LN(2)/25)*Calculateur!ER119*Calculateur!ET119*VLOOKUP('Données projet'!$B$15,Paramètres!$A$1:$I$89,3,0)*0.475*44/12</f>
        <v>5.3672280280687703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13.380762425874757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-1.0197709343628959E-13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323.17232038705157</v>
      </c>
      <c r="FK119" s="59">
        <f t="shared" si="102"/>
        <v>402.34685738619197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49.628461895041639</v>
      </c>
      <c r="FR119" s="21">
        <f>EXP(-LN(2)/25)*FR118+(1-EXP(-LN(2)/25))/(LN(2)/25)*Calculateur!FM119*Calculateur!FO119*VLOOKUP('Données projet'!$B$16,Paramètres!$A$1:$I$89,3,0)*0.475*44/12</f>
        <v>8.3744434634007785</v>
      </c>
      <c r="FS119" s="21">
        <f>EXP(-LN(2)/2)*FS118+(1-EXP(-LN(2)/2))/(LN(2)/2)*FM119*FP119*VLOOKUP('Données projet'!$B$16,Paramètres!$A$1:$I$89,3,0)*0.475*44/12</f>
        <v>3.7631365417325432E-8</v>
      </c>
      <c r="FT119" s="22">
        <f t="shared" si="78"/>
        <v>58.002905396073785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328.00000000000017</v>
      </c>
      <c r="GA119" s="17">
        <f>FZ119*VLOOKUP('Données projet'!$B$17,Paramètres!$A$1:$I$89,3,0)*VLOOKUP('Données projet'!$B$17,Paramètres!$A$1:$I$89,5,0)</f>
        <v>266.07360000000017</v>
      </c>
      <c r="GB119" s="13">
        <f t="shared" si="103"/>
        <v>64.015279012301136</v>
      </c>
      <c r="GC119" s="20">
        <f t="shared" si="79"/>
        <v>574.90479761309132</v>
      </c>
      <c r="GD119" s="59">
        <f t="shared" si="80"/>
        <v>868.23813094642469</v>
      </c>
      <c r="GE119" s="59">
        <f ca="1">AVERAGE(OFFSET($GD$3,0,0,'Données projet'!$E$17+1,1))-AVERAGE(OFFSET($H$3,0,0,'Données projet'!$E$17+1,1))</f>
        <v>298.96480270023716</v>
      </c>
      <c r="GF119" s="59">
        <f t="shared" si="104"/>
        <v>293.11447542333889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10.272232930396886</v>
      </c>
      <c r="GM119" s="21">
        <f>EXP(-LN(2)/25)*GM118+(1-EXP(-LN(2)/25))/(LN(2)/25)*Calculateur!GH119*Calculateur!GJ119*VLOOKUP('Données projet'!$B$17,Paramètres!$A$1:$I$89,3,0)*0.475*44/12</f>
        <v>6.8800374164453624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17.152270346842247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-1.4210854715202004E-13</v>
      </c>
      <c r="GV119" s="17">
        <f>GU119*VLOOKUP('Données projet'!$B$18,Paramètres!$A$1:$I$89,3,0)*VLOOKUP('Données projet'!$B$18,Paramètres!$A$1:$I$89,5,0)</f>
        <v>-8.128608897095547E-14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320.76883487964511</v>
      </c>
      <c r="HA119" s="59">
        <f t="shared" si="106"/>
        <v>290.51177680335746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81.164882438959822</v>
      </c>
      <c r="HH119" s="21">
        <f>EXP(-LN(2)/25)*HH118+(1-EXP(-LN(2)/25))/(LN(2)/25)*Calculateur!HC119*Calculateur!HE119*VLOOKUP('Données projet'!$B$18,Paramètres!$A$1:$I$89,3,0)*0.475*44/12</f>
        <v>16.218853376574287</v>
      </c>
      <c r="HI119" s="21">
        <f>EXP(-LN(2)/2)*HI118+(1-EXP(-LN(2)/2))/(LN(2)/2)*HC119*HF119*VLOOKUP('Données projet'!$B$18,Paramètres!$A$1:$I$89,3,0)*0.475*44/12</f>
        <v>3.884562659818971E-3</v>
      </c>
      <c r="HJ119" s="22">
        <f t="shared" si="84"/>
        <v>97.38762037819393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348.45850000000053</v>
      </c>
      <c r="AK120" s="13">
        <f t="shared" si="89"/>
        <v>81.245018883378833</v>
      </c>
      <c r="AL120" s="20">
        <f t="shared" si="58"/>
        <v>748.40029538855242</v>
      </c>
      <c r="AM120" s="59">
        <f t="shared" si="59"/>
        <v>1041.7336287218857</v>
      </c>
      <c r="AN120" s="59">
        <f ca="1">AVERAGE(OFFSET($AM$3,0,0,'Données projet'!$E$10+1,1))-AVERAGE(OFFSET($H$3,0,0,'Données projet'!$E$10+1,1))</f>
        <v>425.47148407510412</v>
      </c>
      <c r="AO120" s="59">
        <f t="shared" si="90"/>
        <v>308.54448799922471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57.549954876126904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57.549954876126904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212.00000000000009</v>
      </c>
      <c r="BE120" s="13">
        <f>BD120*VLOOKUP('Données projet'!$B$11,Paramètres!$A$1:$I$89,3,0)*VLOOKUP('Données projet'!$B$11,Paramètres!$A$1:$I$89,5,0)</f>
        <v>185.20320000000009</v>
      </c>
      <c r="BF120" s="13">
        <f t="shared" si="91"/>
        <v>46.477875402099386</v>
      </c>
      <c r="BG120" s="20">
        <f t="shared" si="61"/>
        <v>403.5112063253232</v>
      </c>
      <c r="BH120" s="59">
        <f t="shared" si="62"/>
        <v>696.84453965865646</v>
      </c>
      <c r="BI120" s="59">
        <f ca="1">AVERAGE(OFFSET($BH$3,0,0,'Données projet'!$E$11+1,1))-AVERAGE(OFFSET($H$3,0,0,'Données projet'!$E$11+1,1))</f>
        <v>300.63505444445104</v>
      </c>
      <c r="BJ120" s="59">
        <f t="shared" si="92"/>
        <v>266.32508105927997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10.665409489625212</v>
      </c>
      <c r="BQ120" s="21">
        <f>EXP(-LN(2)/25)*BQ119+(1-EXP(-LN(2)/25))/(LN(2)/25)*Calculateur!BL120*Calculateur!BN120*VLOOKUP('Données projet'!$B$11,Paramètres!$A$1:$I$89,3,0)*0.475*44/12</f>
        <v>8.7302771853484487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19.395686674973661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5.3066239316239274</v>
      </c>
      <c r="BY120" s="12">
        <f>IF('Données projet'!$A$114&gt;35,BY119+BX120-CG119,IF(A120&lt;'Données projet'!$A$114,$BV$205^A120,IF(A120='Données projet'!$A$114,'Données projet'!$B$114,BY119+BX120-CG119)))</f>
        <v>235.84188034188</v>
      </c>
      <c r="BZ120" s="13">
        <f>BY120*VLOOKUP('Données projet'!$B$12,Paramètres!$A$1:$I$89,3,0)*VLOOKUP('Données projet'!$B$12,Paramètres!$A$1:$I$89,5,0)</f>
        <v>224.42713333333299</v>
      </c>
      <c r="CA120" s="13">
        <f t="shared" si="93"/>
        <v>55.075982701611863</v>
      </c>
      <c r="CB120" s="20">
        <f t="shared" si="64"/>
        <v>486.80126042752903</v>
      </c>
      <c r="CC120" s="59">
        <f t="shared" si="65"/>
        <v>780.13459376086234</v>
      </c>
      <c r="CD120" s="59">
        <f ca="1">AVERAGE(OFFSET($CC$3,0,0,'Données projet'!$E$12+1,1))-AVERAGE(OFFSET($H$3,0,0,'Données projet'!$E$12+1,1))</f>
        <v>361.26385625423757</v>
      </c>
      <c r="CE120" s="59">
        <f t="shared" si="94"/>
        <v>222.05197404028576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34.688483202659789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34.688483202659789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247.00000000000017</v>
      </c>
      <c r="CU120" s="17">
        <f>CT120*VLOOKUP('Données projet'!$B$13,Paramètres!$A$1:$I$89,3,0)*VLOOKUP('Données projet'!$B$13,Paramètres!$A$1:$I$89,5,0)</f>
        <v>223.48560000000012</v>
      </c>
      <c r="CV120" s="13">
        <f t="shared" si="95"/>
        <v>54.87176918107798</v>
      </c>
      <c r="CW120" s="20">
        <f t="shared" si="67"/>
        <v>484.80575132371092</v>
      </c>
      <c r="CX120" s="59">
        <f t="shared" si="68"/>
        <v>778.13908465704424</v>
      </c>
      <c r="CY120" s="59">
        <f ca="1">AVERAGE(OFFSET($CX$3,0,0,'Données projet'!$E$13+1,1))-AVERAGE(OFFSET($H$3,0,0,'Données projet'!$E$13+1,1))</f>
        <v>302.6937347295995</v>
      </c>
      <c r="CZ120" s="59">
        <f t="shared" si="96"/>
        <v>423.44006663873375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0.10815597350308027</v>
      </c>
      <c r="DG120" s="21">
        <f>EXP(-LN(2)/25)*DG119+(1-EXP(-LN(2)/25))/(LN(2)/25)*Calculateur!DB120*Calculateur!DD120*VLOOKUP('Données projet'!$B$13,Paramètres!$A$1:$I$89,3,0)*0.475*44/12</f>
        <v>0.38441002076861969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0.49256599427169995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228.10626666666633</v>
      </c>
      <c r="DQ120" s="13">
        <f t="shared" si="97"/>
        <v>55.873015288675091</v>
      </c>
      <c r="DR120" s="20">
        <f t="shared" si="70"/>
        <v>494.59724940555299</v>
      </c>
      <c r="DS120" s="59">
        <f t="shared" si="71"/>
        <v>787.9305827388863</v>
      </c>
      <c r="DT120" s="59">
        <f ca="1">AVERAGE(OFFSET($DS$3,0,0,'Données projet'!$E$14+1,1))-AVERAGE(OFFSET($H$3,0,0,'Données projet'!$E$14+1,1))</f>
        <v>366.51581861366333</v>
      </c>
      <c r="DU120" s="59">
        <f t="shared" si="98"/>
        <v>225.01415116995503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35.257146861719797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35.257146861719797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328.00000000000017</v>
      </c>
      <c r="EK120" s="17">
        <f>EJ120*VLOOKUP('Données projet'!$B$15,Paramètres!$A$1:$I$89,3,0)*VLOOKUP('Données projet'!$B$15,Paramètres!$A$1:$I$89,5,0)</f>
        <v>255.84000000000015</v>
      </c>
      <c r="EL120" s="13">
        <f t="shared" si="99"/>
        <v>61.834803371075886</v>
      </c>
      <c r="EM120" s="20">
        <f t="shared" si="73"/>
        <v>553.28361587129086</v>
      </c>
      <c r="EN120" s="59">
        <f t="shared" si="74"/>
        <v>846.61694920462423</v>
      </c>
      <c r="EO120" s="59">
        <f ca="1">AVERAGE(OFFSET($EN$3,0,0,'Données projet'!$E$15+1,1))-AVERAGE(OFFSET($H$3,0,0,'Données projet'!$E$15+1,1))</f>
        <v>288.80569134263209</v>
      </c>
      <c r="EP120" s="59">
        <f t="shared" si="100"/>
        <v>283.48738729114024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7.8563938760383651</v>
      </c>
      <c r="EW120" s="21">
        <f>EXP(-LN(2)/25)*EW119+(1-EXP(-LN(2)/25))/(LN(2)/25)*Calculateur!ER120*Calculateur!ET120*VLOOKUP('Données projet'!$B$15,Paramètres!$A$1:$I$89,3,0)*0.475*44/12</f>
        <v>5.2204608953909748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13.076854771429339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-1.0197709343628959E-13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323.17232038705157</v>
      </c>
      <c r="FK120" s="59">
        <f t="shared" si="102"/>
        <v>402.34685738619197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48.655278027652678</v>
      </c>
      <c r="FR120" s="21">
        <f>EXP(-LN(2)/25)*FR119+(1-EXP(-LN(2)/25))/(LN(2)/25)*Calculateur!FM120*Calculateur!FO120*VLOOKUP('Données projet'!$B$16,Paramètres!$A$1:$I$89,3,0)*0.475*44/12</f>
        <v>8.1454438665012425</v>
      </c>
      <c r="FS120" s="21">
        <f>EXP(-LN(2)/2)*FS119+(1-EXP(-LN(2)/2))/(LN(2)/2)*FM120*FP120*VLOOKUP('Données projet'!$B$16,Paramètres!$A$1:$I$89,3,0)*0.475*44/12</f>
        <v>2.6609393671899747E-8</v>
      </c>
      <c r="FT120" s="22">
        <f t="shared" si="78"/>
        <v>56.800721920763316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328.00000000000017</v>
      </c>
      <c r="GA120" s="17">
        <f>FZ120*VLOOKUP('Données projet'!$B$17,Paramètres!$A$1:$I$89,3,0)*VLOOKUP('Données projet'!$B$17,Paramètres!$A$1:$I$89,5,0)</f>
        <v>266.07360000000017</v>
      </c>
      <c r="GB120" s="13">
        <f t="shared" si="103"/>
        <v>64.015279012301136</v>
      </c>
      <c r="GC120" s="20">
        <f t="shared" si="79"/>
        <v>574.90479761309132</v>
      </c>
      <c r="GD120" s="59">
        <f t="shared" si="80"/>
        <v>868.23813094642469</v>
      </c>
      <c r="GE120" s="59">
        <f ca="1">AVERAGE(OFFSET($GD$3,0,0,'Données projet'!$E$17+1,1))-AVERAGE(OFFSET($H$3,0,0,'Données projet'!$E$17+1,1))</f>
        <v>298.96480270023716</v>
      </c>
      <c r="GF120" s="59">
        <f t="shared" si="104"/>
        <v>293.11447542333889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10.070800708075229</v>
      </c>
      <c r="GM120" s="21">
        <f>EXP(-LN(2)/25)*GM119+(1-EXP(-LN(2)/25))/(LN(2)/25)*Calculateur!GH120*Calculateur!GJ120*VLOOKUP('Données projet'!$B$17,Paramètres!$A$1:$I$89,3,0)*0.475*44/12</f>
        <v>6.6919024314872209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16.762703139562451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-1.4210854715202004E-13</v>
      </c>
      <c r="GV120" s="17">
        <f>GU120*VLOOKUP('Données projet'!$B$18,Paramètres!$A$1:$I$89,3,0)*VLOOKUP('Données projet'!$B$18,Paramètres!$A$1:$I$89,5,0)</f>
        <v>-8.128608897095547E-14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320.76883487964511</v>
      </c>
      <c r="HA120" s="59">
        <f t="shared" si="106"/>
        <v>290.51177680335746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79.573288600021826</v>
      </c>
      <c r="HH120" s="21">
        <f>EXP(-LN(2)/25)*HH119+(1-EXP(-LN(2)/25))/(LN(2)/25)*Calculateur!HC120*Calculateur!HE120*VLOOKUP('Données projet'!$B$18,Paramètres!$A$1:$I$89,3,0)*0.475*44/12</f>
        <v>15.775347978079433</v>
      </c>
      <c r="HI120" s="21">
        <f>EXP(-LN(2)/2)*HI119+(1-EXP(-LN(2)/2))/(LN(2)/2)*HC120*HF120*VLOOKUP('Données projet'!$B$18,Paramètres!$A$1:$I$89,3,0)*0.475*44/12</f>
        <v>2.7468005987020465E-3</v>
      </c>
      <c r="HJ120" s="22">
        <f t="shared" si="84"/>
        <v>95.351383378699964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355.40050000000053</v>
      </c>
      <c r="AK121" s="13">
        <f t="shared" si="89"/>
        <v>82.673537340753484</v>
      </c>
      <c r="AL121" s="20">
        <f t="shared" si="58"/>
        <v>762.97894836847979</v>
      </c>
      <c r="AM121" s="59">
        <f t="shared" si="59"/>
        <v>1056.3122817018132</v>
      </c>
      <c r="AN121" s="59">
        <f ca="1">AVERAGE(OFFSET($AM$3,0,0,'Données projet'!$E$10+1,1))-AVERAGE(OFFSET($H$3,0,0,'Données projet'!$E$10+1,1))</f>
        <v>425.47148407510412</v>
      </c>
      <c r="AO121" s="59">
        <f t="shared" si="90"/>
        <v>308.54448799922471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56.421435363012492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56.421435363012492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212.00000000000009</v>
      </c>
      <c r="BE121" s="13">
        <f>BD121*VLOOKUP('Données projet'!$B$11,Paramètres!$A$1:$I$89,3,0)*VLOOKUP('Données projet'!$B$11,Paramètres!$A$1:$I$89,5,0)</f>
        <v>185.20320000000009</v>
      </c>
      <c r="BF121" s="13">
        <f t="shared" si="91"/>
        <v>46.477875402099386</v>
      </c>
      <c r="BG121" s="20">
        <f t="shared" si="61"/>
        <v>403.5112063253232</v>
      </c>
      <c r="BH121" s="59">
        <f t="shared" si="62"/>
        <v>696.84453965865646</v>
      </c>
      <c r="BI121" s="59">
        <f ca="1">AVERAGE(OFFSET($BH$3,0,0,'Données projet'!$E$11+1,1))-AVERAGE(OFFSET($H$3,0,0,'Données projet'!$E$11+1,1))</f>
        <v>300.63505444445104</v>
      </c>
      <c r="BJ121" s="59">
        <f t="shared" si="92"/>
        <v>266.32508105927997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10.456267314791109</v>
      </c>
      <c r="BQ121" s="21">
        <f>EXP(-LN(2)/25)*BQ120+(1-EXP(-LN(2)/25))/(LN(2)/25)*Calculateur!BL121*Calculateur!BN121*VLOOKUP('Données projet'!$B$11,Paramètres!$A$1:$I$89,3,0)*0.475*44/12</f>
        <v>8.491547296609772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18.947814611400879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5.3066239316239274</v>
      </c>
      <c r="BY121" s="12">
        <f>IF('Données projet'!$A$114&gt;35,BY120+BX121-CG120,IF(A121&lt;'Données projet'!$A$114,$BV$205^A121,IF(A121='Données projet'!$A$114,'Données projet'!$B$114,BY120+BX121-CG120)))</f>
        <v>241.14850427350393</v>
      </c>
      <c r="BZ121" s="13">
        <f>BY121*VLOOKUP('Données projet'!$B$12,Paramètres!$A$1:$I$89,3,0)*VLOOKUP('Données projet'!$B$12,Paramètres!$A$1:$I$89,5,0)</f>
        <v>229.47691666666634</v>
      </c>
      <c r="CA121" s="13">
        <f t="shared" si="93"/>
        <v>56.169563701486098</v>
      </c>
      <c r="CB121" s="20">
        <f t="shared" si="64"/>
        <v>497.50095330786547</v>
      </c>
      <c r="CC121" s="59">
        <f t="shared" si="65"/>
        <v>790.83428664119879</v>
      </c>
      <c r="CD121" s="59">
        <f ca="1">AVERAGE(OFFSET($CC$3,0,0,'Données projet'!$E$12+1,1))-AVERAGE(OFFSET($H$3,0,0,'Données projet'!$E$12+1,1))</f>
        <v>361.26385625423757</v>
      </c>
      <c r="CE121" s="59">
        <f t="shared" si="94"/>
        <v>222.05197404028576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34.008263204941215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34.008263204941215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247.00000000000017</v>
      </c>
      <c r="CU121" s="17">
        <f>CT121*VLOOKUP('Données projet'!$B$13,Paramètres!$A$1:$I$89,3,0)*VLOOKUP('Données projet'!$B$13,Paramètres!$A$1:$I$89,5,0)</f>
        <v>223.48560000000012</v>
      </c>
      <c r="CV121" s="13">
        <f t="shared" si="95"/>
        <v>54.87176918107798</v>
      </c>
      <c r="CW121" s="20">
        <f t="shared" si="67"/>
        <v>484.80575132371092</v>
      </c>
      <c r="CX121" s="59">
        <f t="shared" si="68"/>
        <v>778.13908465704424</v>
      </c>
      <c r="CY121" s="59">
        <f ca="1">AVERAGE(OFFSET($CX$3,0,0,'Données projet'!$E$13+1,1))-AVERAGE(OFFSET($H$3,0,0,'Données projet'!$E$13+1,1))</f>
        <v>302.6937347295995</v>
      </c>
      <c r="CZ121" s="59">
        <f t="shared" si="96"/>
        <v>423.44006663873375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0.10603510083131484</v>
      </c>
      <c r="DG121" s="21">
        <f>EXP(-LN(2)/25)*DG120+(1-EXP(-LN(2)/25))/(LN(2)/25)*Calculateur!DB121*Calculateur!DD121*VLOOKUP('Données projet'!$B$13,Paramètres!$A$1:$I$89,3,0)*0.475*44/12</f>
        <v>0.37389830853545736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0.4799334093667722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233.23883333333302</v>
      </c>
      <c r="DQ121" s="13">
        <f t="shared" si="97"/>
        <v>56.982422055984379</v>
      </c>
      <c r="DR121" s="20">
        <f t="shared" si="70"/>
        <v>505.4686864697278</v>
      </c>
      <c r="DS121" s="59">
        <f t="shared" si="71"/>
        <v>798.80201980306106</v>
      </c>
      <c r="DT121" s="59">
        <f ca="1">AVERAGE(OFFSET($DS$3,0,0,'Données projet'!$E$14+1,1))-AVERAGE(OFFSET($H$3,0,0,'Données projet'!$E$14+1,1))</f>
        <v>366.51581861366333</v>
      </c>
      <c r="DU121" s="59">
        <f t="shared" si="98"/>
        <v>225.01415116995503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34.56577571649764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34.56577571649764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328.00000000000017</v>
      </c>
      <c r="EK121" s="17">
        <f>EJ121*VLOOKUP('Données projet'!$B$15,Paramètres!$A$1:$I$89,3,0)*VLOOKUP('Données projet'!$B$15,Paramètres!$A$1:$I$89,5,0)</f>
        <v>255.84000000000015</v>
      </c>
      <c r="EL121" s="13">
        <f t="shared" si="99"/>
        <v>61.834803371075886</v>
      </c>
      <c r="EM121" s="20">
        <f t="shared" si="73"/>
        <v>553.28361587129086</v>
      </c>
      <c r="EN121" s="59">
        <f t="shared" si="74"/>
        <v>846.61694920462423</v>
      </c>
      <c r="EO121" s="59">
        <f ca="1">AVERAGE(OFFSET($EN$3,0,0,'Données projet'!$E$15+1,1))-AVERAGE(OFFSET($H$3,0,0,'Données projet'!$E$15+1,1))</f>
        <v>288.80569134263209</v>
      </c>
      <c r="EP121" s="59">
        <f t="shared" si="100"/>
        <v>283.48738729114024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7.7023347840563536</v>
      </c>
      <c r="EW121" s="21">
        <f>EXP(-LN(2)/25)*EW120+(1-EXP(-LN(2)/25))/(LN(2)/25)*Calculateur!ER121*Calculateur!ET121*VLOOKUP('Données projet'!$B$15,Paramètres!$A$1:$I$89,3,0)*0.475*44/12</f>
        <v>5.077707117674402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12.780041901730755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-1.0197709343628959E-13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323.17232038705157</v>
      </c>
      <c r="FK121" s="59">
        <f t="shared" si="102"/>
        <v>402.34685738619197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47.701177702319669</v>
      </c>
      <c r="FR121" s="21">
        <f>EXP(-LN(2)/25)*FR120+(1-EXP(-LN(2)/25))/(LN(2)/25)*Calculateur!FM121*Calculateur!FO121*VLOOKUP('Données projet'!$B$16,Paramètres!$A$1:$I$89,3,0)*0.475*44/12</f>
        <v>7.9227062756214899</v>
      </c>
      <c r="FS121" s="21">
        <f>EXP(-LN(2)/2)*FS120+(1-EXP(-LN(2)/2))/(LN(2)/2)*FM121*FP121*VLOOKUP('Données projet'!$B$16,Paramètres!$A$1:$I$89,3,0)*0.475*44/12</f>
        <v>1.8815682708662716E-8</v>
      </c>
      <c r="FT121" s="22">
        <f t="shared" si="78"/>
        <v>55.623883996756845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328.00000000000017</v>
      </c>
      <c r="GA121" s="17">
        <f>FZ121*VLOOKUP('Données projet'!$B$17,Paramètres!$A$1:$I$89,3,0)*VLOOKUP('Données projet'!$B$17,Paramètres!$A$1:$I$89,5,0)</f>
        <v>266.07360000000017</v>
      </c>
      <c r="GB121" s="13">
        <f t="shared" si="103"/>
        <v>64.015279012301136</v>
      </c>
      <c r="GC121" s="20">
        <f t="shared" si="79"/>
        <v>574.90479761309132</v>
      </c>
      <c r="GD121" s="59">
        <f t="shared" si="80"/>
        <v>868.23813094642469</v>
      </c>
      <c r="GE121" s="59">
        <f ca="1">AVERAGE(OFFSET($GD$3,0,0,'Données projet'!$E$17+1,1))-AVERAGE(OFFSET($H$3,0,0,'Données projet'!$E$17+1,1))</f>
        <v>298.96480270023716</v>
      </c>
      <c r="GF121" s="59">
        <f t="shared" si="104"/>
        <v>293.11447542333889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9.8733184487717764</v>
      </c>
      <c r="GM121" s="21">
        <f>EXP(-LN(2)/25)*GM120+(1-EXP(-LN(2)/25))/(LN(2)/25)*Calculateur!GH121*Calculateur!GJ121*VLOOKUP('Données projet'!$B$17,Paramètres!$A$1:$I$89,3,0)*0.475*44/12</f>
        <v>6.5089120075863489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16.382230456358126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-1.4210854715202004E-13</v>
      </c>
      <c r="GV121" s="17">
        <f>GU121*VLOOKUP('Données projet'!$B$18,Paramètres!$A$1:$I$89,3,0)*VLOOKUP('Données projet'!$B$18,Paramètres!$A$1:$I$89,5,0)</f>
        <v>-8.128608897095547E-14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320.76883487964511</v>
      </c>
      <c r="HA121" s="59">
        <f t="shared" si="106"/>
        <v>290.51177680335746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78.012904945489012</v>
      </c>
      <c r="HH121" s="21">
        <f>EXP(-LN(2)/25)*HH120+(1-EXP(-LN(2)/25))/(LN(2)/25)*Calculateur!HC121*Calculateur!HE121*VLOOKUP('Données projet'!$B$18,Paramètres!$A$1:$I$89,3,0)*0.475*44/12</f>
        <v>15.343970258029355</v>
      </c>
      <c r="HI121" s="21">
        <f>EXP(-LN(2)/2)*HI120+(1-EXP(-LN(2)/2))/(LN(2)/2)*HC121*HF121*VLOOKUP('Données projet'!$B$18,Paramètres!$A$1:$I$89,3,0)*0.475*44/12</f>
        <v>1.9422813299094859E-3</v>
      </c>
      <c r="HJ121" s="22">
        <f t="shared" si="84"/>
        <v>93.358817484848274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362.34250000000054</v>
      </c>
      <c r="AK122" s="13">
        <f t="shared" si="89"/>
        <v>84.098811348867258</v>
      </c>
      <c r="AL122" s="20">
        <f t="shared" si="58"/>
        <v>777.55195059927792</v>
      </c>
      <c r="AM122" s="59">
        <f t="shared" si="59"/>
        <v>1070.8852839326112</v>
      </c>
      <c r="AN122" s="59">
        <f ca="1">AVERAGE(OFFSET($AM$3,0,0,'Données projet'!$E$10+1,1))-AVERAGE(OFFSET($H$3,0,0,'Données projet'!$E$10+1,1))</f>
        <v>425.47148407510412</v>
      </c>
      <c r="AO122" s="59">
        <f t="shared" si="90"/>
        <v>308.54448799922471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120.39713998151436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120.39713998151436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212.00000000000009</v>
      </c>
      <c r="BE122" s="13">
        <f>BD122*VLOOKUP('Données projet'!$B$11,Paramètres!$A$1:$I$89,3,0)*VLOOKUP('Données projet'!$B$11,Paramètres!$A$1:$I$89,5,0)</f>
        <v>185.20320000000009</v>
      </c>
      <c r="BF122" s="13">
        <f t="shared" si="91"/>
        <v>46.477875402099386</v>
      </c>
      <c r="BG122" s="20">
        <f t="shared" si="61"/>
        <v>403.5112063253232</v>
      </c>
      <c r="BH122" s="59">
        <f t="shared" si="62"/>
        <v>696.84453965865646</v>
      </c>
      <c r="BI122" s="59">
        <f ca="1">AVERAGE(OFFSET($BH$3,0,0,'Données projet'!$E$11+1,1))-AVERAGE(OFFSET($H$3,0,0,'Données projet'!$E$11+1,1))</f>
        <v>300.63505444445104</v>
      </c>
      <c r="BJ122" s="59">
        <f t="shared" si="92"/>
        <v>266.32508105927997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10.251226290441373</v>
      </c>
      <c r="BQ122" s="21">
        <f>EXP(-LN(2)/25)*BQ121+(1-EXP(-LN(2)/25))/(LN(2)/25)*Calculateur!BL122*Calculateur!BN122*VLOOKUP('Données projet'!$B$11,Paramètres!$A$1:$I$89,3,0)*0.475*44/12</f>
        <v>8.2593454892329135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18.510571779674287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5.3066239316239274</v>
      </c>
      <c r="BY122" s="12">
        <f>IF('Données projet'!$A$114&gt;35,BY121+BX122-CG121,IF(A122&lt;'Données projet'!$A$114,$BV$205^A122,IF(A122='Données projet'!$A$114,'Données projet'!$B$114,BY121+BX122-CG121)))</f>
        <v>246.45512820512786</v>
      </c>
      <c r="BZ122" s="13">
        <f>BY122*VLOOKUP('Données projet'!$B$12,Paramètres!$A$1:$I$89,3,0)*VLOOKUP('Données projet'!$B$12,Paramètres!$A$1:$I$89,5,0)</f>
        <v>234.52669999999969</v>
      </c>
      <c r="CA122" s="13">
        <f t="shared" si="93"/>
        <v>57.260346888704206</v>
      </c>
      <c r="CB122" s="20">
        <f t="shared" si="64"/>
        <v>508.19577333115927</v>
      </c>
      <c r="CC122" s="59">
        <f t="shared" si="65"/>
        <v>801.52910666449259</v>
      </c>
      <c r="CD122" s="59">
        <f ca="1">AVERAGE(OFFSET($CC$3,0,0,'Données projet'!$E$12+1,1))-AVERAGE(OFFSET($H$3,0,0,'Données projet'!$E$12+1,1))</f>
        <v>361.26385625423757</v>
      </c>
      <c r="CE122" s="59">
        <f t="shared" si="94"/>
        <v>222.05197404028576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33.341381906484671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33.341381906484671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247.00000000000017</v>
      </c>
      <c r="CU122" s="17">
        <f>CT122*VLOOKUP('Données projet'!$B$13,Paramètres!$A$1:$I$89,3,0)*VLOOKUP('Données projet'!$B$13,Paramètres!$A$1:$I$89,5,0)</f>
        <v>223.48560000000012</v>
      </c>
      <c r="CV122" s="13">
        <f t="shared" si="95"/>
        <v>54.87176918107798</v>
      </c>
      <c r="CW122" s="20">
        <f t="shared" si="67"/>
        <v>484.80575132371092</v>
      </c>
      <c r="CX122" s="59">
        <f t="shared" si="68"/>
        <v>778.13908465704424</v>
      </c>
      <c r="CY122" s="59">
        <f ca="1">AVERAGE(OFFSET($CX$3,0,0,'Données projet'!$E$13+1,1))-AVERAGE(OFFSET($H$3,0,0,'Données projet'!$E$13+1,1))</f>
        <v>302.6937347295995</v>
      </c>
      <c r="CZ122" s="59">
        <f t="shared" si="96"/>
        <v>423.44006663873375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0.10395581717903814</v>
      </c>
      <c r="DG122" s="21">
        <f>EXP(-LN(2)/25)*DG121+(1-EXP(-LN(2)/25))/(LN(2)/25)*Calculateur!DB122*Calculateur!DD122*VLOOKUP('Données projet'!$B$13,Paramètres!$A$1:$I$89,3,0)*0.475*44/12</f>
        <v>0.36367403962609779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0.46762985680513591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238.37139999999968</v>
      </c>
      <c r="DQ122" s="13">
        <f t="shared" si="97"/>
        <v>58.088990522066126</v>
      </c>
      <c r="DR122" s="20">
        <f t="shared" si="70"/>
        <v>516.33518015926472</v>
      </c>
      <c r="DS122" s="59">
        <f t="shared" si="71"/>
        <v>809.66851349259809</v>
      </c>
      <c r="DT122" s="59">
        <f ca="1">AVERAGE(OFFSET($DS$3,0,0,'Données projet'!$E$14+1,1))-AVERAGE(OFFSET($H$3,0,0,'Données projet'!$E$14+1,1))</f>
        <v>366.51581861366333</v>
      </c>
      <c r="DU122" s="59">
        <f t="shared" si="98"/>
        <v>225.01415116995503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33.887961937738531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33.887961937738531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328.00000000000017</v>
      </c>
      <c r="EK122" s="17">
        <f>EJ122*VLOOKUP('Données projet'!$B$15,Paramètres!$A$1:$I$89,3,0)*VLOOKUP('Données projet'!$B$15,Paramètres!$A$1:$I$89,5,0)</f>
        <v>255.84000000000015</v>
      </c>
      <c r="EL122" s="13">
        <f t="shared" si="99"/>
        <v>61.834803371075886</v>
      </c>
      <c r="EM122" s="20">
        <f t="shared" si="73"/>
        <v>553.28361587129086</v>
      </c>
      <c r="EN122" s="59">
        <f t="shared" si="74"/>
        <v>846.61694920462423</v>
      </c>
      <c r="EO122" s="59">
        <f ca="1">AVERAGE(OFFSET($EN$3,0,0,'Données projet'!$E$15+1,1))-AVERAGE(OFFSET($H$3,0,0,'Données projet'!$E$15+1,1))</f>
        <v>288.80569134263209</v>
      </c>
      <c r="EP122" s="59">
        <f t="shared" si="100"/>
        <v>283.48738729114024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7.5512966969013418</v>
      </c>
      <c r="EW122" s="21">
        <f>EXP(-LN(2)/25)*EW121+(1-EXP(-LN(2)/25))/(LN(2)/25)*Calculateur!ER122*Calculateur!ET122*VLOOKUP('Données projet'!$B$15,Paramètres!$A$1:$I$89,3,0)*0.475*44/12</f>
        <v>4.9388569495165831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12.490153646417925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-1.0197709343628959E-13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323.17232038705157</v>
      </c>
      <c r="FK122" s="59">
        <f t="shared" si="102"/>
        <v>402.34685738619197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46.765786702422702</v>
      </c>
      <c r="FR122" s="21">
        <f>EXP(-LN(2)/25)*FR121+(1-EXP(-LN(2)/25))/(LN(2)/25)*Calculateur!FM122*Calculateur!FO122*VLOOKUP('Données projet'!$B$16,Paramètres!$A$1:$I$89,3,0)*0.475*44/12</f>
        <v>7.7060594558776048</v>
      </c>
      <c r="FS122" s="21">
        <f>EXP(-LN(2)/2)*FS121+(1-EXP(-LN(2)/2))/(LN(2)/2)*FM122*FP122*VLOOKUP('Données projet'!$B$16,Paramètres!$A$1:$I$89,3,0)*0.475*44/12</f>
        <v>1.3304696835949873E-8</v>
      </c>
      <c r="FT122" s="22">
        <f t="shared" si="78"/>
        <v>54.471846171605009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328.00000000000017</v>
      </c>
      <c r="GA122" s="17">
        <f>FZ122*VLOOKUP('Données projet'!$B$17,Paramètres!$A$1:$I$89,3,0)*VLOOKUP('Données projet'!$B$17,Paramètres!$A$1:$I$89,5,0)</f>
        <v>266.07360000000017</v>
      </c>
      <c r="GB122" s="13">
        <f t="shared" si="103"/>
        <v>64.015279012301136</v>
      </c>
      <c r="GC122" s="20">
        <f t="shared" si="79"/>
        <v>574.90479761309132</v>
      </c>
      <c r="GD122" s="59">
        <f t="shared" si="80"/>
        <v>868.23813094642469</v>
      </c>
      <c r="GE122" s="59">
        <f ca="1">AVERAGE(OFFSET($GD$3,0,0,'Données projet'!$E$17+1,1))-AVERAGE(OFFSET($H$3,0,0,'Données projet'!$E$17+1,1))</f>
        <v>298.96480270023716</v>
      </c>
      <c r="GF122" s="59">
        <f t="shared" si="104"/>
        <v>293.11447542333889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9.6797086961209793</v>
      </c>
      <c r="GM122" s="21">
        <f>EXP(-LN(2)/25)*GM121+(1-EXP(-LN(2)/25))/(LN(2)/25)*Calculateur!GH122*Calculateur!GJ122*VLOOKUP('Données projet'!$B$17,Paramètres!$A$1:$I$89,3,0)*0.475*44/12</f>
        <v>6.3309254664500942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16.010634162571073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-1.4210854715202004E-13</v>
      </c>
      <c r="GV122" s="17">
        <f>GU122*VLOOKUP('Données projet'!$B$18,Paramètres!$A$1:$I$89,3,0)*VLOOKUP('Données projet'!$B$18,Paramètres!$A$1:$I$89,5,0)</f>
        <v>-8.128608897095547E-14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320.76883487964511</v>
      </c>
      <c r="HA122" s="59">
        <f t="shared" si="106"/>
        <v>290.51177680335746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76.483119462681543</v>
      </c>
      <c r="HH122" s="21">
        <f>EXP(-LN(2)/25)*HH121+(1-EXP(-LN(2)/25))/(LN(2)/25)*Calculateur!HC122*Calculateur!HE122*VLOOKUP('Données projet'!$B$18,Paramètres!$A$1:$I$89,3,0)*0.475*44/12</f>
        <v>14.924388584419216</v>
      </c>
      <c r="HI122" s="21">
        <f>EXP(-LN(2)/2)*HI121+(1-EXP(-LN(2)/2))/(LN(2)/2)*HC122*HF122*VLOOKUP('Données projet'!$B$18,Paramètres!$A$1:$I$89,3,0)*0.475*44/12</f>
        <v>1.3734002993510235E-3</v>
      </c>
      <c r="HJ122" s="22">
        <f t="shared" si="84"/>
        <v>91.40888144740012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214.1002500000005</v>
      </c>
      <c r="AK123" s="13">
        <f t="shared" si="89"/>
        <v>52.83058262367053</v>
      </c>
      <c r="AL123" s="20">
        <f t="shared" si="58"/>
        <v>464.90453348622708</v>
      </c>
      <c r="AM123" s="59">
        <f t="shared" si="59"/>
        <v>758.2378668195604</v>
      </c>
      <c r="AN123" s="59">
        <f ca="1">AVERAGE(OFFSET($AM$3,0,0,'Données projet'!$E$10+1,1))-AVERAGE(OFFSET($H$3,0,0,'Données projet'!$E$10+1,1))</f>
        <v>425.47148407510412</v>
      </c>
      <c r="AO123" s="59">
        <f t="shared" si="90"/>
        <v>308.54448799922471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118.03622550148114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118.03622550148114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212.00000000000009</v>
      </c>
      <c r="BE123" s="13">
        <f>BD123*VLOOKUP('Données projet'!$B$11,Paramètres!$A$1:$I$89,3,0)*VLOOKUP('Données projet'!$B$11,Paramètres!$A$1:$I$89,5,0)</f>
        <v>185.20320000000009</v>
      </c>
      <c r="BF123" s="13">
        <f t="shared" si="91"/>
        <v>46.477875402099386</v>
      </c>
      <c r="BG123" s="20">
        <f t="shared" si="61"/>
        <v>403.5112063253232</v>
      </c>
      <c r="BH123" s="59">
        <f t="shared" si="62"/>
        <v>696.84453965865646</v>
      </c>
      <c r="BI123" s="59">
        <f ca="1">AVERAGE(OFFSET($BH$3,0,0,'Données projet'!$E$11+1,1))-AVERAGE(OFFSET($H$3,0,0,'Données projet'!$E$11+1,1))</f>
        <v>300.63505444445104</v>
      </c>
      <c r="BJ123" s="59">
        <f t="shared" si="92"/>
        <v>266.32508105927997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10.050205995516459</v>
      </c>
      <c r="BQ123" s="21">
        <f>EXP(-LN(2)/25)*BQ122+(1-EXP(-LN(2)/25))/(LN(2)/25)*Calculateur!BL123*Calculateur!BN123*VLOOKUP('Données projet'!$B$11,Paramètres!$A$1:$I$89,3,0)*0.475*44/12</f>
        <v>8.0334932524897376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18.083699248006198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5.3066239316239274</v>
      </c>
      <c r="BY123" s="12">
        <f>IF('Données projet'!$A$114&gt;35,BY122+BX123-CG122,IF(A123&lt;'Données projet'!$A$114,$BV$205^A123,IF(A123='Données projet'!$A$114,'Données projet'!$B$114,BY122+BX123-CG122)))</f>
        <v>251.7617521367518</v>
      </c>
      <c r="BZ123" s="13">
        <f>BY123*VLOOKUP('Données projet'!$B$12,Paramètres!$A$1:$I$89,3,0)*VLOOKUP('Données projet'!$B$12,Paramètres!$A$1:$I$89,5,0)</f>
        <v>239.57648333333302</v>
      </c>
      <c r="CA123" s="13">
        <f t="shared" si="93"/>
        <v>58.348399443663808</v>
      </c>
      <c r="CB123" s="20">
        <f t="shared" si="64"/>
        <v>518.8858375032695</v>
      </c>
      <c r="CC123" s="59">
        <f t="shared" si="65"/>
        <v>812.21917083660287</v>
      </c>
      <c r="CD123" s="59">
        <f ca="1">AVERAGE(OFFSET($CC$3,0,0,'Données projet'!$E$12+1,1))-AVERAGE(OFFSET($H$3,0,0,'Données projet'!$E$12+1,1))</f>
        <v>361.26385625423757</v>
      </c>
      <c r="CE123" s="59">
        <f t="shared" si="94"/>
        <v>222.05197404028576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32.687577743533431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32.687577743533431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247.00000000000017</v>
      </c>
      <c r="CU123" s="17">
        <f>CT123*VLOOKUP('Données projet'!$B$13,Paramètres!$A$1:$I$89,3,0)*VLOOKUP('Données projet'!$B$13,Paramètres!$A$1:$I$89,5,0)</f>
        <v>223.48560000000012</v>
      </c>
      <c r="CV123" s="13">
        <f t="shared" si="95"/>
        <v>54.87176918107798</v>
      </c>
      <c r="CW123" s="20">
        <f t="shared" si="67"/>
        <v>484.80575132371092</v>
      </c>
      <c r="CX123" s="59">
        <f t="shared" si="68"/>
        <v>778.13908465704424</v>
      </c>
      <c r="CY123" s="59">
        <f ca="1">AVERAGE(OFFSET($CX$3,0,0,'Données projet'!$E$13+1,1))-AVERAGE(OFFSET($H$3,0,0,'Données projet'!$E$13+1,1))</f>
        <v>302.6937347295995</v>
      </c>
      <c r="CZ123" s="59">
        <f t="shared" si="96"/>
        <v>423.44006663873375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0.10191730701094479</v>
      </c>
      <c r="DG123" s="21">
        <f>EXP(-LN(2)/25)*DG122+(1-EXP(-LN(2)/25))/(LN(2)/25)*Calculateur!DB123*Calculateur!DD123*VLOOKUP('Données projet'!$B$13,Paramètres!$A$1:$I$89,3,0)*0.475*44/12</f>
        <v>0.35372935388773558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0.45564666089868033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243.50396666666632</v>
      </c>
      <c r="DQ123" s="13">
        <f t="shared" si="97"/>
        <v>59.192788839519665</v>
      </c>
      <c r="DR123" s="20">
        <f t="shared" si="70"/>
        <v>527.19684917327379</v>
      </c>
      <c r="DS123" s="59">
        <f t="shared" si="71"/>
        <v>820.53018250660716</v>
      </c>
      <c r="DT123" s="59">
        <f ca="1">AVERAGE(OFFSET($DS$3,0,0,'Données projet'!$E$14+1,1))-AVERAGE(OFFSET($H$3,0,0,'Données projet'!$E$14+1,1))</f>
        <v>366.51581861366333</v>
      </c>
      <c r="DU123" s="59">
        <f t="shared" si="98"/>
        <v>225.01415116995503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33.223439673755308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33.223439673755308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328.00000000000017</v>
      </c>
      <c r="EK123" s="17">
        <f>EJ123*VLOOKUP('Données projet'!$B$15,Paramètres!$A$1:$I$89,3,0)*VLOOKUP('Données projet'!$B$15,Paramètres!$A$1:$I$89,5,0)</f>
        <v>255.84000000000015</v>
      </c>
      <c r="EL123" s="13">
        <f t="shared" si="99"/>
        <v>61.834803371075886</v>
      </c>
      <c r="EM123" s="20">
        <f t="shared" si="73"/>
        <v>553.28361587129086</v>
      </c>
      <c r="EN123" s="59">
        <f t="shared" si="74"/>
        <v>846.61694920462423</v>
      </c>
      <c r="EO123" s="59">
        <f ca="1">AVERAGE(OFFSET($EN$3,0,0,'Données projet'!$E$15+1,1))-AVERAGE(OFFSET($H$3,0,0,'Données projet'!$E$15+1,1))</f>
        <v>288.80569134263209</v>
      </c>
      <c r="EP123" s="59">
        <f t="shared" si="100"/>
        <v>283.48738729114024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7.403220374511303</v>
      </c>
      <c r="EW123" s="21">
        <f>EXP(-LN(2)/25)*EW122+(1-EXP(-LN(2)/25))/(LN(2)/25)*Calculateur!ER123*Calculateur!ET123*VLOOKUP('Données projet'!$B$15,Paramètres!$A$1:$I$89,3,0)*0.475*44/12</f>
        <v>4.8038036465088529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12.207024021020157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-1.0197709343628959E-13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323.17232038705157</v>
      </c>
      <c r="FK123" s="59">
        <f t="shared" si="102"/>
        <v>402.34685738619197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45.848738149501536</v>
      </c>
      <c r="FR123" s="21">
        <f>EXP(-LN(2)/25)*FR122+(1-EXP(-LN(2)/25))/(LN(2)/25)*Calculateur!FM123*Calculateur!FO123*VLOOKUP('Données projet'!$B$16,Paramètres!$A$1:$I$89,3,0)*0.475*44/12</f>
        <v>7.4953368548125772</v>
      </c>
      <c r="FS123" s="21">
        <f>EXP(-LN(2)/2)*FS122+(1-EXP(-LN(2)/2))/(LN(2)/2)*FM123*FP123*VLOOKUP('Données projet'!$B$16,Paramètres!$A$1:$I$89,3,0)*0.475*44/12</f>
        <v>9.4078413543313581E-9</v>
      </c>
      <c r="FT123" s="22">
        <f t="shared" si="78"/>
        <v>53.344075013721955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328.00000000000017</v>
      </c>
      <c r="GA123" s="17">
        <f>FZ123*VLOOKUP('Données projet'!$B$17,Paramètres!$A$1:$I$89,3,0)*VLOOKUP('Données projet'!$B$17,Paramètres!$A$1:$I$89,5,0)</f>
        <v>266.07360000000017</v>
      </c>
      <c r="GB123" s="13">
        <f t="shared" si="103"/>
        <v>64.015279012301136</v>
      </c>
      <c r="GC123" s="20">
        <f t="shared" si="79"/>
        <v>574.90479761309132</v>
      </c>
      <c r="GD123" s="59">
        <f t="shared" si="80"/>
        <v>868.23813094642469</v>
      </c>
      <c r="GE123" s="59">
        <f ca="1">AVERAGE(OFFSET($GD$3,0,0,'Données projet'!$E$17+1,1))-AVERAGE(OFFSET($H$3,0,0,'Données projet'!$E$17+1,1))</f>
        <v>298.96480270023716</v>
      </c>
      <c r="GF123" s="59">
        <f t="shared" si="104"/>
        <v>293.11447542333889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9.489895512629376</v>
      </c>
      <c r="GM123" s="21">
        <f>EXP(-LN(2)/25)*GM122+(1-EXP(-LN(2)/25))/(LN(2)/25)*Calculateur!GH123*Calculateur!GJ123*VLOOKUP('Données projet'!$B$17,Paramètres!$A$1:$I$89,3,0)*0.475*44/12</f>
        <v>6.1578059766411153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15.647701489270492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-1.4210854715202004E-13</v>
      </c>
      <c r="GV123" s="17">
        <f>GU123*VLOOKUP('Données projet'!$B$18,Paramètres!$A$1:$I$89,3,0)*VLOOKUP('Données projet'!$B$18,Paramètres!$A$1:$I$89,5,0)</f>
        <v>-8.128608897095547E-14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320.76883487964511</v>
      </c>
      <c r="HA123" s="59">
        <f t="shared" si="106"/>
        <v>290.51177680335746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74.983332140114911</v>
      </c>
      <c r="HH123" s="21">
        <f>EXP(-LN(2)/25)*HH122+(1-EXP(-LN(2)/25))/(LN(2)/25)*Calculateur!HC123*Calculateur!HE123*VLOOKUP('Données projet'!$B$18,Paramètres!$A$1:$I$89,3,0)*0.475*44/12</f>
        <v>14.516280393738787</v>
      </c>
      <c r="HI123" s="21">
        <f>EXP(-LN(2)/2)*HI122+(1-EXP(-LN(2)/2))/(LN(2)/2)*HC123*HF123*VLOOKUP('Données projet'!$B$18,Paramètres!$A$1:$I$89,3,0)*0.475*44/12</f>
        <v>9.7114066495474307E-4</v>
      </c>
      <c r="HJ123" s="22">
        <f t="shared" si="84"/>
        <v>89.500583674518651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217.98400000000052</v>
      </c>
      <c r="AK124" s="13">
        <f t="shared" si="89"/>
        <v>53.676483595327532</v>
      </c>
      <c r="AL124" s="20">
        <f t="shared" si="58"/>
        <v>473.14200892852961</v>
      </c>
      <c r="AM124" s="59">
        <f t="shared" si="59"/>
        <v>766.47534226186292</v>
      </c>
      <c r="AN124" s="59">
        <f ca="1">AVERAGE(OFFSET($AM$3,0,0,'Données projet'!$E$10+1,1))-AVERAGE(OFFSET($H$3,0,0,'Données projet'!$E$10+1,1))</f>
        <v>425.47148407510412</v>
      </c>
      <c r="AO124" s="59">
        <f t="shared" si="90"/>
        <v>308.54448799922471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115.72160711438573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115.72160711438573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212.00000000000009</v>
      </c>
      <c r="BE124" s="13">
        <f>BD124*VLOOKUP('Données projet'!$B$11,Paramètres!$A$1:$I$89,3,0)*VLOOKUP('Données projet'!$B$11,Paramètres!$A$1:$I$89,5,0)</f>
        <v>185.20320000000009</v>
      </c>
      <c r="BF124" s="13">
        <f t="shared" si="91"/>
        <v>46.477875402099386</v>
      </c>
      <c r="BG124" s="20">
        <f t="shared" si="61"/>
        <v>403.5112063253232</v>
      </c>
      <c r="BH124" s="59">
        <f t="shared" si="62"/>
        <v>696.84453965865646</v>
      </c>
      <c r="BI124" s="59">
        <f ca="1">AVERAGE(OFFSET($BH$3,0,0,'Données projet'!$E$11+1,1))-AVERAGE(OFFSET($H$3,0,0,'Données projet'!$E$11+1,1))</f>
        <v>300.63505444445104</v>
      </c>
      <c r="BJ124" s="59">
        <f t="shared" si="92"/>
        <v>266.32508105927997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9.8531275859647494</v>
      </c>
      <c r="BQ124" s="21">
        <f>EXP(-LN(2)/25)*BQ123+(1-EXP(-LN(2)/25))/(LN(2)/25)*Calculateur!BL124*Calculateur!BN124*VLOOKUP('Données projet'!$B$11,Paramètres!$A$1:$I$89,3,0)*0.475*44/12</f>
        <v>7.8138169570373561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17.666944543002106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5.3066239316239274</v>
      </c>
      <c r="BY124" s="12">
        <f>IF('Données projet'!$A$114&gt;35,BY123+BX124-CG123,IF(A124&lt;'Données projet'!$A$114,$BV$205^A124,IF(A124='Données projet'!$A$114,'Données projet'!$B$114,BY123+BX124-CG123)))</f>
        <v>257.0683760683757</v>
      </c>
      <c r="BZ124" s="13">
        <f>BY124*VLOOKUP('Données projet'!$B$12,Paramètres!$A$1:$I$89,3,0)*VLOOKUP('Données projet'!$B$12,Paramètres!$A$1:$I$89,5,0)</f>
        <v>244.62626666666634</v>
      </c>
      <c r="CA124" s="13">
        <f t="shared" si="93"/>
        <v>59.433785552893355</v>
      </c>
      <c r="CB124" s="20">
        <f t="shared" si="64"/>
        <v>529.57125761573309</v>
      </c>
      <c r="CC124" s="59">
        <f t="shared" si="65"/>
        <v>822.90459094906646</v>
      </c>
      <c r="CD124" s="59">
        <f ca="1">AVERAGE(OFFSET($CC$3,0,0,'Données projet'!$E$12+1,1))-AVERAGE(OFFSET($H$3,0,0,'Données projet'!$E$12+1,1))</f>
        <v>361.26385625423757</v>
      </c>
      <c r="CE124" s="59">
        <f t="shared" si="94"/>
        <v>222.05197404028576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32.046594281436505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32.046594281436505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247.00000000000017</v>
      </c>
      <c r="CU124" s="17">
        <f>CT124*VLOOKUP('Données projet'!$B$13,Paramètres!$A$1:$I$89,3,0)*VLOOKUP('Données projet'!$B$13,Paramètres!$A$1:$I$89,5,0)</f>
        <v>223.48560000000012</v>
      </c>
      <c r="CV124" s="13">
        <f t="shared" si="95"/>
        <v>54.87176918107798</v>
      </c>
      <c r="CW124" s="20">
        <f t="shared" si="67"/>
        <v>484.80575132371092</v>
      </c>
      <c r="CX124" s="59">
        <f t="shared" si="68"/>
        <v>778.13908465704424</v>
      </c>
      <c r="CY124" s="59">
        <f ca="1">AVERAGE(OFFSET($CX$3,0,0,'Données projet'!$E$13+1,1))-AVERAGE(OFFSET($H$3,0,0,'Données projet'!$E$13+1,1))</f>
        <v>302.6937347295995</v>
      </c>
      <c r="CZ124" s="59">
        <f t="shared" si="96"/>
        <v>423.44006663873375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9.9918770783879313E-2</v>
      </c>
      <c r="DG124" s="21">
        <f>EXP(-LN(2)/25)*DG123+(1-EXP(-LN(2)/25))/(LN(2)/25)*Calculateur!DB124*Calculateur!DD124*VLOOKUP('Données projet'!$B$13,Paramètres!$A$1:$I$89,3,0)*0.475*44/12</f>
        <v>0.34405660610385719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0.44397537688773647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248.63653333333298</v>
      </c>
      <c r="DQ124" s="13">
        <f t="shared" si="97"/>
        <v>60.293882123749412</v>
      </c>
      <c r="DR124" s="20">
        <f t="shared" si="70"/>
        <v>538.0538069210852</v>
      </c>
      <c r="DS124" s="59">
        <f t="shared" si="71"/>
        <v>831.38714025441845</v>
      </c>
      <c r="DT124" s="59">
        <f ca="1">AVERAGE(OFFSET($DS$3,0,0,'Données projet'!$E$14+1,1))-AVERAGE(OFFSET($H$3,0,0,'Données projet'!$E$14+1,1))</f>
        <v>366.51581861366333</v>
      </c>
      <c r="DU124" s="59">
        <f t="shared" si="98"/>
        <v>225.01415116995503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32.571948286050237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32.571948286050237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328.00000000000017</v>
      </c>
      <c r="EK124" s="17">
        <f>EJ124*VLOOKUP('Données projet'!$B$15,Paramètres!$A$1:$I$89,3,0)*VLOOKUP('Données projet'!$B$15,Paramètres!$A$1:$I$89,5,0)</f>
        <v>255.84000000000015</v>
      </c>
      <c r="EL124" s="13">
        <f t="shared" si="99"/>
        <v>61.834803371075886</v>
      </c>
      <c r="EM124" s="20">
        <f t="shared" si="73"/>
        <v>553.28361587129086</v>
      </c>
      <c r="EN124" s="59">
        <f t="shared" si="74"/>
        <v>846.61694920462423</v>
      </c>
      <c r="EO124" s="59">
        <f ca="1">AVERAGE(OFFSET($EN$3,0,0,'Données projet'!$E$15+1,1))-AVERAGE(OFFSET($H$3,0,0,'Données projet'!$E$15+1,1))</f>
        <v>288.80569134263209</v>
      </c>
      <c r="EP124" s="59">
        <f t="shared" si="100"/>
        <v>283.48738729114024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7.2580477384856943</v>
      </c>
      <c r="EW124" s="21">
        <f>EXP(-LN(2)/25)*EW123+(1-EXP(-LN(2)/25))/(LN(2)/25)*Calculateur!ER124*Calculateur!ET124*VLOOKUP('Données projet'!$B$15,Paramètres!$A$1:$I$89,3,0)*0.475*44/12</f>
        <v>4.6724433831740138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11.930491121659708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-1.0197709343628959E-13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323.17232038705157</v>
      </c>
      <c r="FK124" s="59">
        <f t="shared" si="102"/>
        <v>402.34685738619197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44.949672359358772</v>
      </c>
      <c r="FR124" s="21">
        <f>EXP(-LN(2)/25)*FR123+(1-EXP(-LN(2)/25))/(LN(2)/25)*Calculateur!FM124*Calculateur!FO124*VLOOKUP('Données projet'!$B$16,Paramètres!$A$1:$I$89,3,0)*0.475*44/12</f>
        <v>7.2903764743550932</v>
      </c>
      <c r="FS124" s="21">
        <f>EXP(-LN(2)/2)*FS123+(1-EXP(-LN(2)/2))/(LN(2)/2)*FM124*FP124*VLOOKUP('Données projet'!$B$16,Paramètres!$A$1:$I$89,3,0)*0.475*44/12</f>
        <v>6.6523484179749366E-9</v>
      </c>
      <c r="FT124" s="22">
        <f t="shared" si="78"/>
        <v>52.240048840366214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328.00000000000017</v>
      </c>
      <c r="GA124" s="17">
        <f>FZ124*VLOOKUP('Données projet'!$B$17,Paramètres!$A$1:$I$89,3,0)*VLOOKUP('Données projet'!$B$17,Paramètres!$A$1:$I$89,5,0)</f>
        <v>266.07360000000017</v>
      </c>
      <c r="GB124" s="13">
        <f t="shared" si="103"/>
        <v>64.015279012301136</v>
      </c>
      <c r="GC124" s="20">
        <f t="shared" si="79"/>
        <v>574.90479761309132</v>
      </c>
      <c r="GD124" s="59">
        <f t="shared" si="80"/>
        <v>868.23813094642469</v>
      </c>
      <c r="GE124" s="59">
        <f ca="1">AVERAGE(OFFSET($GD$3,0,0,'Données projet'!$E$17+1,1))-AVERAGE(OFFSET($H$3,0,0,'Données projet'!$E$17+1,1))</f>
        <v>298.96480270023716</v>
      </c>
      <c r="GF124" s="59">
        <f t="shared" si="104"/>
        <v>293.11447542333889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9.3038044498914338</v>
      </c>
      <c r="GM124" s="21">
        <f>EXP(-LN(2)/25)*GM123+(1-EXP(-LN(2)/25))/(LN(2)/25)*Calculateur!GH124*Calculateur!GJ124*VLOOKUP('Données projet'!$B$17,Paramètres!$A$1:$I$89,3,0)*0.475*44/12</f>
        <v>5.9894204483849212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15.293224898276355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-1.4210854715202004E-13</v>
      </c>
      <c r="GV124" s="17">
        <f>GU124*VLOOKUP('Données projet'!$B$18,Paramètres!$A$1:$I$89,3,0)*VLOOKUP('Données projet'!$B$18,Paramètres!$A$1:$I$89,5,0)</f>
        <v>-8.128608897095547E-14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320.76883487964511</v>
      </c>
      <c r="HA124" s="59">
        <f t="shared" si="106"/>
        <v>290.51177680335746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73.512954732163877</v>
      </c>
      <c r="HH124" s="21">
        <f>EXP(-LN(2)/25)*HH123+(1-EXP(-LN(2)/25))/(LN(2)/25)*Calculateur!HC124*Calculateur!HE124*VLOOKUP('Données projet'!$B$18,Paramètres!$A$1:$I$89,3,0)*0.475*44/12</f>
        <v>14.119331942993991</v>
      </c>
      <c r="HI124" s="21">
        <f>EXP(-LN(2)/2)*HI123+(1-EXP(-LN(2)/2))/(LN(2)/2)*HC124*HF124*VLOOKUP('Données projet'!$B$18,Paramètres!$A$1:$I$89,3,0)*0.475*44/12</f>
        <v>6.8670014967551183E-4</v>
      </c>
      <c r="HJ124" s="22">
        <f t="shared" si="84"/>
        <v>87.632973375307543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221.86775000000048</v>
      </c>
      <c r="AK125" s="13">
        <f t="shared" si="89"/>
        <v>54.520632005800415</v>
      </c>
      <c r="AL125" s="20">
        <f t="shared" si="58"/>
        <v>481.37643199343648</v>
      </c>
      <c r="AM125" s="59">
        <f t="shared" si="59"/>
        <v>774.7097653267698</v>
      </c>
      <c r="AN125" s="59">
        <f ca="1">AVERAGE(OFFSET($AM$3,0,0,'Données projet'!$E$10+1,1))-AVERAGE(OFFSET($H$3,0,0,'Données projet'!$E$10+1,1))</f>
        <v>425.47148407510412</v>
      </c>
      <c r="AO125" s="59">
        <f t="shared" si="90"/>
        <v>308.54448799922471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113.45237698208345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113.45237698208345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212.00000000000009</v>
      </c>
      <c r="BE125" s="13">
        <f>BD125*VLOOKUP('Données projet'!$B$11,Paramètres!$A$1:$I$89,3,0)*VLOOKUP('Données projet'!$B$11,Paramètres!$A$1:$I$89,5,0)</f>
        <v>185.20320000000009</v>
      </c>
      <c r="BF125" s="13">
        <f t="shared" si="91"/>
        <v>46.477875402099386</v>
      </c>
      <c r="BG125" s="20">
        <f t="shared" si="61"/>
        <v>403.5112063253232</v>
      </c>
      <c r="BH125" s="59">
        <f t="shared" si="62"/>
        <v>696.84453965865646</v>
      </c>
      <c r="BI125" s="59">
        <f ca="1">AVERAGE(OFFSET($BH$3,0,0,'Données projet'!$E$11+1,1))-AVERAGE(OFFSET($H$3,0,0,'Données projet'!$E$11+1,1))</f>
        <v>300.63505444445104</v>
      </c>
      <c r="BJ125" s="59">
        <f t="shared" si="92"/>
        <v>266.32508105927997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9.6599137638183876</v>
      </c>
      <c r="BQ125" s="21">
        <f>EXP(-LN(2)/25)*BQ124+(1-EXP(-LN(2)/25))/(LN(2)/25)*Calculateur!BL125*Calculateur!BN125*VLOOKUP('Données projet'!$B$11,Paramètres!$A$1:$I$89,3,0)*0.475*44/12</f>
        <v>7.6001477214363948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17.260061485254781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5.3066239316239274</v>
      </c>
      <c r="BY125" s="12">
        <f>IF('Données projet'!$A$114&gt;35,BY124+BX125-CG124,IF(A125&lt;'Données projet'!$A$114,$BV$205^A125,IF(A125='Données projet'!$A$114,'Données projet'!$B$114,BY124+BX125-CG124)))</f>
        <v>262.3749999999996</v>
      </c>
      <c r="BZ125" s="13">
        <f>BY125*VLOOKUP('Données projet'!$B$12,Paramètres!$A$1:$I$89,3,0)*VLOOKUP('Données projet'!$B$12,Paramètres!$A$1:$I$89,5,0)</f>
        <v>249.67604999999963</v>
      </c>
      <c r="CA125" s="13">
        <f t="shared" si="93"/>
        <v>60.516566601475539</v>
      </c>
      <c r="CB125" s="20">
        <f t="shared" si="64"/>
        <v>540.25214058090251</v>
      </c>
      <c r="CC125" s="59">
        <f t="shared" si="65"/>
        <v>833.58547391423576</v>
      </c>
      <c r="CD125" s="59">
        <f ca="1">AVERAGE(OFFSET($CC$3,0,0,'Données projet'!$E$12+1,1))-AVERAGE(OFFSET($H$3,0,0,'Données projet'!$E$12+1,1))</f>
        <v>361.26385625423757</v>
      </c>
      <c r="CE125" s="59">
        <f t="shared" si="94"/>
        <v>222.05197404028576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31.41818011406999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31.41818011406999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247.00000000000017</v>
      </c>
      <c r="CU125" s="17">
        <f>CT125*VLOOKUP('Données projet'!$B$13,Paramètres!$A$1:$I$89,3,0)*VLOOKUP('Données projet'!$B$13,Paramètres!$A$1:$I$89,5,0)</f>
        <v>223.48560000000012</v>
      </c>
      <c r="CV125" s="13">
        <f t="shared" si="95"/>
        <v>54.87176918107798</v>
      </c>
      <c r="CW125" s="20">
        <f t="shared" si="67"/>
        <v>484.80575132371092</v>
      </c>
      <c r="CX125" s="59">
        <f t="shared" si="68"/>
        <v>778.13908465704424</v>
      </c>
      <c r="CY125" s="59">
        <f ca="1">AVERAGE(OFFSET($CX$3,0,0,'Données projet'!$E$13+1,1))-AVERAGE(OFFSET($H$3,0,0,'Données projet'!$E$13+1,1))</f>
        <v>302.6937347295995</v>
      </c>
      <c r="CZ125" s="59">
        <f t="shared" si="96"/>
        <v>423.44006663873375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9.7959424633239853E-2</v>
      </c>
      <c r="DG125" s="21">
        <f>EXP(-LN(2)/25)*DG124+(1-EXP(-LN(2)/25))/(LN(2)/25)*Calculateur!DB125*Calculateur!DD125*VLOOKUP('Données projet'!$B$13,Paramètres!$A$1:$I$89,3,0)*0.475*44/12</f>
        <v>0.33464836011679666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0.43260778475003653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253.76909999999964</v>
      </c>
      <c r="DQ125" s="13">
        <f t="shared" si="97"/>
        <v>61.392332648172818</v>
      </c>
      <c r="DR125" s="20">
        <f t="shared" si="70"/>
        <v>548.90616186223372</v>
      </c>
      <c r="DS125" s="59">
        <f t="shared" si="71"/>
        <v>842.23949519556709</v>
      </c>
      <c r="DT125" s="59">
        <f ca="1">AVERAGE(OFFSET($DS$3,0,0,'Données projet'!$E$14+1,1))-AVERAGE(OFFSET($H$3,0,0,'Données projet'!$E$14+1,1))</f>
        <v>366.51581861366333</v>
      </c>
      <c r="DU125" s="59">
        <f t="shared" si="98"/>
        <v>225.01415116995503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31.933232247087549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31.933232247087549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328.00000000000017</v>
      </c>
      <c r="EK125" s="17">
        <f>EJ125*VLOOKUP('Données projet'!$B$15,Paramètres!$A$1:$I$89,3,0)*VLOOKUP('Données projet'!$B$15,Paramètres!$A$1:$I$89,5,0)</f>
        <v>255.84000000000015</v>
      </c>
      <c r="EL125" s="13">
        <f t="shared" si="99"/>
        <v>61.834803371075886</v>
      </c>
      <c r="EM125" s="20">
        <f t="shared" si="73"/>
        <v>553.28361587129086</v>
      </c>
      <c r="EN125" s="59">
        <f t="shared" si="74"/>
        <v>846.61694920462423</v>
      </c>
      <c r="EO125" s="59">
        <f ca="1">AVERAGE(OFFSET($EN$3,0,0,'Données projet'!$E$15+1,1))-AVERAGE(OFFSET($H$3,0,0,'Données projet'!$E$15+1,1))</f>
        <v>288.80569134263209</v>
      </c>
      <c r="EP125" s="59">
        <f t="shared" si="100"/>
        <v>283.48738729114024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7.1157218493059835</v>
      </c>
      <c r="EW125" s="21">
        <f>EXP(-LN(2)/25)*EW124+(1-EXP(-LN(2)/25))/(LN(2)/25)*Calculateur!ER125*Calculateur!ET125*VLOOKUP('Données projet'!$B$15,Paramètres!$A$1:$I$89,3,0)*0.475*44/12</f>
        <v>4.5446751731480015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11.660397022453985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-1.0197709343628959E-13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323.17232038705157</v>
      </c>
      <c r="FK125" s="59">
        <f t="shared" si="102"/>
        <v>402.34685738619197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44.06823670098472</v>
      </c>
      <c r="FR125" s="21">
        <f>EXP(-LN(2)/25)*FR124+(1-EXP(-LN(2)/25))/(LN(2)/25)*Calculateur!FM125*Calculateur!FO125*VLOOKUP('Données projet'!$B$16,Paramètres!$A$1:$I$89,3,0)*0.475*44/12</f>
        <v>7.0910207462796171</v>
      </c>
      <c r="FS125" s="21">
        <f>EXP(-LN(2)/2)*FS124+(1-EXP(-LN(2)/2))/(LN(2)/2)*FM125*FP125*VLOOKUP('Données projet'!$B$16,Paramètres!$A$1:$I$89,3,0)*0.475*44/12</f>
        <v>4.703920677165679E-9</v>
      </c>
      <c r="FT125" s="22">
        <f t="shared" si="78"/>
        <v>51.159257451968259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328.00000000000017</v>
      </c>
      <c r="GA125" s="17">
        <f>FZ125*VLOOKUP('Données projet'!$B$17,Paramètres!$A$1:$I$89,3,0)*VLOOKUP('Données projet'!$B$17,Paramètres!$A$1:$I$89,5,0)</f>
        <v>266.07360000000017</v>
      </c>
      <c r="GB125" s="13">
        <f t="shared" si="103"/>
        <v>64.015279012301136</v>
      </c>
      <c r="GC125" s="20">
        <f t="shared" si="79"/>
        <v>574.90479761309132</v>
      </c>
      <c r="GD125" s="59">
        <f t="shared" si="80"/>
        <v>868.23813094642469</v>
      </c>
      <c r="GE125" s="59">
        <f ca="1">AVERAGE(OFFSET($GD$3,0,0,'Données projet'!$E$17+1,1))-AVERAGE(OFFSET($H$3,0,0,'Données projet'!$E$17+1,1))</f>
        <v>298.96480270023716</v>
      </c>
      <c r="GF125" s="59">
        <f t="shared" si="104"/>
        <v>293.11447542333889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9.1213625193894412</v>
      </c>
      <c r="GM125" s="21">
        <f>EXP(-LN(2)/25)*GM124+(1-EXP(-LN(2)/25))/(LN(2)/25)*Calculateur!GH125*Calculateur!GJ125*VLOOKUP('Données projet'!$B$17,Paramètres!$A$1:$I$89,3,0)*0.475*44/12</f>
        <v>5.8256394312539035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14.947001950643344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-1.4210854715202004E-13</v>
      </c>
      <c r="GV125" s="17">
        <f>GU125*VLOOKUP('Données projet'!$B$18,Paramètres!$A$1:$I$89,3,0)*VLOOKUP('Données projet'!$B$18,Paramètres!$A$1:$I$89,5,0)</f>
        <v>-8.128608897095547E-14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320.76883487964511</v>
      </c>
      <c r="HA125" s="59">
        <f t="shared" si="106"/>
        <v>290.51177680335746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72.071410528341104</v>
      </c>
      <c r="HH125" s="21">
        <f>EXP(-LN(2)/25)*HH124+(1-EXP(-LN(2)/25))/(LN(2)/25)*Calculateur!HC125*Calculateur!HE125*VLOOKUP('Données projet'!$B$18,Paramètres!$A$1:$I$89,3,0)*0.475*44/12</f>
        <v>13.733238068509424</v>
      </c>
      <c r="HI125" s="21">
        <f>EXP(-LN(2)/2)*HI124+(1-EXP(-LN(2)/2))/(LN(2)/2)*HC125*HF125*VLOOKUP('Données projet'!$B$18,Paramètres!$A$1:$I$89,3,0)*0.475*44/12</f>
        <v>4.8557033247737159E-4</v>
      </c>
      <c r="HJ125" s="22">
        <f t="shared" si="84"/>
        <v>85.805134167182999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225.7515000000005</v>
      </c>
      <c r="AK126" s="13">
        <f t="shared" si="89"/>
        <v>55.363062072917565</v>
      </c>
      <c r="AL126" s="20">
        <f t="shared" si="58"/>
        <v>489.60786227699901</v>
      </c>
      <c r="AM126" s="59">
        <f t="shared" si="59"/>
        <v>782.94119561033233</v>
      </c>
      <c r="AN126" s="59">
        <f ca="1">AVERAGE(OFFSET($AM$3,0,0,'Données projet'!$E$10+1,1))-AVERAGE(OFFSET($H$3,0,0,'Données projet'!$E$10+1,1))</f>
        <v>425.47148407510412</v>
      </c>
      <c r="AO126" s="59">
        <f t="shared" si="90"/>
        <v>308.54448799922471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144.70582556401243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144.70582556401243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212.00000000000009</v>
      </c>
      <c r="BE126" s="13">
        <f>BD126*VLOOKUP('Données projet'!$B$11,Paramètres!$A$1:$I$89,3,0)*VLOOKUP('Données projet'!$B$11,Paramètres!$A$1:$I$89,5,0)</f>
        <v>185.20320000000009</v>
      </c>
      <c r="BF126" s="13">
        <f t="shared" si="91"/>
        <v>46.477875402099386</v>
      </c>
      <c r="BG126" s="20">
        <f t="shared" si="61"/>
        <v>403.5112063253232</v>
      </c>
      <c r="BH126" s="59">
        <f t="shared" si="62"/>
        <v>696.84453965865646</v>
      </c>
      <c r="BI126" s="59">
        <f ca="1">AVERAGE(OFFSET($BH$3,0,0,'Données projet'!$E$11+1,1))-AVERAGE(OFFSET($H$3,0,0,'Données projet'!$E$11+1,1))</f>
        <v>300.63505444445104</v>
      </c>
      <c r="BJ126" s="59">
        <f t="shared" si="92"/>
        <v>266.32508105927997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9.470488746875521</v>
      </c>
      <c r="BQ126" s="21">
        <f>EXP(-LN(2)/25)*BQ125+(1-EXP(-LN(2)/25))/(LN(2)/25)*Calculateur!BL126*Calculateur!BN126*VLOOKUP('Données projet'!$B$11,Paramètres!$A$1:$I$89,3,0)*0.475*44/12</f>
        <v>7.3923212823193181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16.86281002919484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5.3066239316239274</v>
      </c>
      <c r="BY126" s="12">
        <f>IF('Données projet'!$A$114&gt;35,BY125+BX126-CG125,IF(A126&lt;'Données projet'!$A$114,$BV$205^A126,IF(A126='Données projet'!$A$114,'Données projet'!$B$114,BY125+BX126-CG125)))</f>
        <v>267.68162393162351</v>
      </c>
      <c r="BZ126" s="13">
        <f>BY126*VLOOKUP('Données projet'!$B$12,Paramètres!$A$1:$I$89,3,0)*VLOOKUP('Données projet'!$B$12,Paramètres!$A$1:$I$89,5,0)</f>
        <v>254.72583333333293</v>
      </c>
      <c r="CA126" s="13">
        <f t="shared" si="93"/>
        <v>61.596801349463618</v>
      </c>
      <c r="CB126" s="20">
        <f t="shared" si="64"/>
        <v>550.92858873920397</v>
      </c>
      <c r="CC126" s="59">
        <f t="shared" si="65"/>
        <v>844.26192207253735</v>
      </c>
      <c r="CD126" s="59">
        <f ca="1">AVERAGE(OFFSET($CC$3,0,0,'Données projet'!$E$12+1,1))-AVERAGE(OFFSET($H$3,0,0,'Données projet'!$E$12+1,1))</f>
        <v>361.26385625423757</v>
      </c>
      <c r="CE126" s="59">
        <f t="shared" si="94"/>
        <v>222.05197404028576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30.802088765230739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30.802088765230739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247.00000000000017</v>
      </c>
      <c r="CU126" s="17">
        <f>CT126*VLOOKUP('Données projet'!$B$13,Paramètres!$A$1:$I$89,3,0)*VLOOKUP('Données projet'!$B$13,Paramètres!$A$1:$I$89,5,0)</f>
        <v>223.48560000000012</v>
      </c>
      <c r="CV126" s="13">
        <f t="shared" si="95"/>
        <v>54.87176918107798</v>
      </c>
      <c r="CW126" s="20">
        <f t="shared" si="67"/>
        <v>484.80575132371092</v>
      </c>
      <c r="CX126" s="59">
        <f t="shared" si="68"/>
        <v>778.13908465704424</v>
      </c>
      <c r="CY126" s="59">
        <f ca="1">AVERAGE(OFFSET($CX$3,0,0,'Données projet'!$E$13+1,1))-AVERAGE(OFFSET($H$3,0,0,'Données projet'!$E$13+1,1))</f>
        <v>302.6937347295995</v>
      </c>
      <c r="CZ126" s="59">
        <f t="shared" si="96"/>
        <v>423.44006663873375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9.6038500065531288E-2</v>
      </c>
      <c r="DG126" s="21">
        <f>EXP(-LN(2)/25)*DG125+(1-EXP(-LN(2)/25))/(LN(2)/25)*Calculateur!DB126*Calculateur!DD126*VLOOKUP('Données projet'!$B$13,Paramètres!$A$1:$I$89,3,0)*0.475*44/12</f>
        <v>0.32549738311101045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0.42153588317654173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258.9016666666663</v>
      </c>
      <c r="DQ126" s="13">
        <f t="shared" si="97"/>
        <v>62.488200023189847</v>
      </c>
      <c r="DR126" s="20">
        <f t="shared" si="70"/>
        <v>559.75401781816606</v>
      </c>
      <c r="DS126" s="59">
        <f t="shared" si="71"/>
        <v>853.08735115149943</v>
      </c>
      <c r="DT126" s="59">
        <f ca="1">AVERAGE(OFFSET($DS$3,0,0,'Données projet'!$E$14+1,1))-AVERAGE(OFFSET($H$3,0,0,'Données projet'!$E$14+1,1))</f>
        <v>366.51581861366333</v>
      </c>
      <c r="DU126" s="59">
        <f t="shared" si="98"/>
        <v>225.01415116995503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31.307041040070605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31.307041040070605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328.00000000000017</v>
      </c>
      <c r="EK126" s="17">
        <f>EJ126*VLOOKUP('Données projet'!$B$15,Paramètres!$A$1:$I$89,3,0)*VLOOKUP('Données projet'!$B$15,Paramètres!$A$1:$I$89,5,0)</f>
        <v>255.84000000000015</v>
      </c>
      <c r="EL126" s="13">
        <f t="shared" si="99"/>
        <v>61.834803371075886</v>
      </c>
      <c r="EM126" s="20">
        <f t="shared" si="73"/>
        <v>553.28361587129086</v>
      </c>
      <c r="EN126" s="59">
        <f t="shared" si="74"/>
        <v>846.61694920462423</v>
      </c>
      <c r="EO126" s="59">
        <f ca="1">AVERAGE(OFFSET($EN$3,0,0,'Données projet'!$E$15+1,1))-AVERAGE(OFFSET($H$3,0,0,'Données projet'!$E$15+1,1))</f>
        <v>288.80569134263209</v>
      </c>
      <c r="EP126" s="59">
        <f t="shared" si="100"/>
        <v>283.48738729114024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6.9761868840028658</v>
      </c>
      <c r="EW126" s="21">
        <f>EXP(-LN(2)/25)*EW125+(1-EXP(-LN(2)/25))/(LN(2)/25)*Calculateur!ER126*Calculateur!ET126*VLOOKUP('Données projet'!$B$15,Paramètres!$A$1:$I$89,3,0)*0.475*44/12</f>
        <v>4.4204007915441892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11.396587675547055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-1.0197709343628959E-13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323.17232038705157</v>
      </c>
      <c r="FK126" s="59">
        <f t="shared" si="102"/>
        <v>402.34685738619197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43.20408545824872</v>
      </c>
      <c r="FR126" s="21">
        <f>EXP(-LN(2)/25)*FR125+(1-EXP(-LN(2)/25))/(LN(2)/25)*Calculateur!FM126*Calculateur!FO126*VLOOKUP('Données projet'!$B$16,Paramètres!$A$1:$I$89,3,0)*0.475*44/12</f>
        <v>6.8971164110720267</v>
      </c>
      <c r="FS126" s="21">
        <f>EXP(-LN(2)/2)*FS125+(1-EXP(-LN(2)/2))/(LN(2)/2)*FM126*FP126*VLOOKUP('Données projet'!$B$16,Paramètres!$A$1:$I$89,3,0)*0.475*44/12</f>
        <v>3.3261742089874683E-9</v>
      </c>
      <c r="FT126" s="22">
        <f t="shared" si="78"/>
        <v>50.101201872646918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328.00000000000017</v>
      </c>
      <c r="GA126" s="17">
        <f>FZ126*VLOOKUP('Données projet'!$B$17,Paramètres!$A$1:$I$89,3,0)*VLOOKUP('Données projet'!$B$17,Paramètres!$A$1:$I$89,5,0)</f>
        <v>266.07360000000017</v>
      </c>
      <c r="GB126" s="13">
        <f t="shared" si="103"/>
        <v>64.015279012301136</v>
      </c>
      <c r="GC126" s="20">
        <f t="shared" si="79"/>
        <v>574.90479761309132</v>
      </c>
      <c r="GD126" s="59">
        <f t="shared" si="80"/>
        <v>868.23813094642469</v>
      </c>
      <c r="GE126" s="59">
        <f ca="1">AVERAGE(OFFSET($GD$3,0,0,'Données projet'!$E$17+1,1))-AVERAGE(OFFSET($H$3,0,0,'Données projet'!$E$17+1,1))</f>
        <v>298.96480270023716</v>
      </c>
      <c r="GF126" s="59">
        <f t="shared" si="104"/>
        <v>293.11447542333889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8.9424981638660022</v>
      </c>
      <c r="GM126" s="21">
        <f>EXP(-LN(2)/25)*GM125+(1-EXP(-LN(2)/25))/(LN(2)/25)*Calculateur!GH126*Calculateur!GJ126*VLOOKUP('Données projet'!$B$17,Paramètres!$A$1:$I$89,3,0)*0.475*44/12</f>
        <v>5.6663370146492023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14.608835178515204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-1.4210854715202004E-13</v>
      </c>
      <c r="GV126" s="17">
        <f>GU126*VLOOKUP('Données projet'!$B$18,Paramètres!$A$1:$I$89,3,0)*VLOOKUP('Données projet'!$B$18,Paramètres!$A$1:$I$89,5,0)</f>
        <v>-8.128608897095547E-14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320.76883487964511</v>
      </c>
      <c r="HA126" s="59">
        <f t="shared" si="106"/>
        <v>290.51177680335746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70.658134127100141</v>
      </c>
      <c r="HH126" s="21">
        <f>EXP(-LN(2)/25)*HH125+(1-EXP(-LN(2)/25))/(LN(2)/25)*Calculateur!HC126*Calculateur!HE126*VLOOKUP('Données projet'!$B$18,Paramètres!$A$1:$I$89,3,0)*0.475*44/12</f>
        <v>13.357701951326431</v>
      </c>
      <c r="HI126" s="21">
        <f>EXP(-LN(2)/2)*HI125+(1-EXP(-LN(2)/2))/(LN(2)/2)*HC126*HF126*VLOOKUP('Données projet'!$B$18,Paramètres!$A$1:$I$89,3,0)*0.475*44/12</f>
        <v>3.4335007483775597E-4</v>
      </c>
      <c r="HJ126" s="22">
        <f t="shared" si="84"/>
        <v>84.016179428501417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149.86562500000053</v>
      </c>
      <c r="AK127" s="13">
        <f t="shared" si="89"/>
        <v>38.54804682725306</v>
      </c>
      <c r="AL127" s="20">
        <f t="shared" si="58"/>
        <v>328.15381176580001</v>
      </c>
      <c r="AM127" s="59">
        <f t="shared" si="59"/>
        <v>621.48714509913339</v>
      </c>
      <c r="AN127" s="59">
        <f ca="1">AVERAGE(OFFSET($AM$3,0,0,'Données projet'!$E$10+1,1))-AVERAGE(OFFSET($H$3,0,0,'Données projet'!$E$10+1,1))</f>
        <v>425.47148407510412</v>
      </c>
      <c r="AO127" s="59">
        <f t="shared" si="90"/>
        <v>308.54448799922471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141.86823258654061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141.86823258654061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212.00000000000009</v>
      </c>
      <c r="BE127" s="13">
        <f>BD127*VLOOKUP('Données projet'!$B$11,Paramètres!$A$1:$I$89,3,0)*VLOOKUP('Données projet'!$B$11,Paramètres!$A$1:$I$89,5,0)</f>
        <v>185.20320000000009</v>
      </c>
      <c r="BF127" s="13">
        <f t="shared" si="91"/>
        <v>46.477875402099386</v>
      </c>
      <c r="BG127" s="20">
        <f t="shared" si="61"/>
        <v>403.5112063253232</v>
      </c>
      <c r="BH127" s="59">
        <f t="shared" si="62"/>
        <v>696.84453965865646</v>
      </c>
      <c r="BI127" s="59">
        <f ca="1">AVERAGE(OFFSET($BH$3,0,0,'Données projet'!$E$11+1,1))-AVERAGE(OFFSET($H$3,0,0,'Données projet'!$E$11+1,1))</f>
        <v>300.63505444445104</v>
      </c>
      <c r="BJ127" s="59">
        <f t="shared" si="92"/>
        <v>266.32508105927997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9.2847782389770526</v>
      </c>
      <c r="BQ127" s="21">
        <f>EXP(-LN(2)/25)*BQ126+(1-EXP(-LN(2)/25))/(LN(2)/25)*Calculateur!BL127*Calculateur!BN127*VLOOKUP('Données projet'!$B$11,Paramètres!$A$1:$I$89,3,0)*0.475*44/12</f>
        <v>7.1901778681090152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16.474956107086069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5.3066239316239274</v>
      </c>
      <c r="BY127" s="12">
        <f>IF('Données projet'!$A$114&gt;35,BY126+BX127-CG126,IF(A127&lt;'Données projet'!$A$114,$BV$205^A127,IF(A127='Données projet'!$A$114,'Données projet'!$B$114,BY126+BX127-CG126)))</f>
        <v>272.98824786324741</v>
      </c>
      <c r="BZ127" s="13">
        <f>BY127*VLOOKUP('Données projet'!$B$12,Paramètres!$A$1:$I$89,3,0)*VLOOKUP('Données projet'!$B$12,Paramètres!$A$1:$I$89,5,0)</f>
        <v>259.77561666666622</v>
      </c>
      <c r="CA127" s="13">
        <f t="shared" si="93"/>
        <v>62.674546093913065</v>
      </c>
      <c r="CB127" s="20">
        <f t="shared" si="64"/>
        <v>561.60070014134226</v>
      </c>
      <c r="CC127" s="59">
        <f t="shared" si="65"/>
        <v>854.93403347467552</v>
      </c>
      <c r="CD127" s="59">
        <f ca="1">AVERAGE(OFFSET($CC$3,0,0,'Données projet'!$E$12+1,1))-AVERAGE(OFFSET($H$3,0,0,'Données projet'!$E$12+1,1))</f>
        <v>361.26385625423757</v>
      </c>
      <c r="CE127" s="59">
        <f t="shared" si="94"/>
        <v>222.05197404028576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30.198078591963608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30.198078591963608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247.00000000000017</v>
      </c>
      <c r="CU127" s="17">
        <f>CT127*VLOOKUP('Données projet'!$B$13,Paramètres!$A$1:$I$89,3,0)*VLOOKUP('Données projet'!$B$13,Paramètres!$A$1:$I$89,5,0)</f>
        <v>223.48560000000012</v>
      </c>
      <c r="CV127" s="13">
        <f t="shared" si="95"/>
        <v>54.87176918107798</v>
      </c>
      <c r="CW127" s="20">
        <f t="shared" si="67"/>
        <v>484.80575132371092</v>
      </c>
      <c r="CX127" s="59">
        <f t="shared" si="68"/>
        <v>778.13908465704424</v>
      </c>
      <c r="CY127" s="59">
        <f ca="1">AVERAGE(OFFSET($CX$3,0,0,'Données projet'!$E$13+1,1))-AVERAGE(OFFSET($H$3,0,0,'Données projet'!$E$13+1,1))</f>
        <v>302.6937347295995</v>
      </c>
      <c r="CZ127" s="59">
        <f t="shared" si="96"/>
        <v>423.44006663873375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9.4155243656947191E-2</v>
      </c>
      <c r="DG127" s="21">
        <f>EXP(-LN(2)/25)*DG126+(1-EXP(-LN(2)/25))/(LN(2)/25)*Calculateur!DB127*Calculateur!DD127*VLOOKUP('Données projet'!$B$13,Paramètres!$A$1:$I$89,3,0)*0.475*44/12</f>
        <v>0.3165966400526764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0.41075188370962357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264.03423333333291</v>
      </c>
      <c r="DQ127" s="13">
        <f t="shared" si="97"/>
        <v>63.581541360559179</v>
      </c>
      <c r="DR127" s="20">
        <f t="shared" si="70"/>
        <v>570.59747425852868</v>
      </c>
      <c r="DS127" s="59">
        <f t="shared" si="71"/>
        <v>863.93080759186205</v>
      </c>
      <c r="DT127" s="59">
        <f ca="1">AVERAGE(OFFSET($DS$3,0,0,'Données projet'!$E$14+1,1))-AVERAGE(OFFSET($H$3,0,0,'Données projet'!$E$14+1,1))</f>
        <v>366.51581861366333</v>
      </c>
      <c r="DU127" s="59">
        <f t="shared" si="98"/>
        <v>225.01415116995503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30.693129060684338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30.693129060684338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328.00000000000017</v>
      </c>
      <c r="EK127" s="17">
        <f>EJ127*VLOOKUP('Données projet'!$B$15,Paramètres!$A$1:$I$89,3,0)*VLOOKUP('Données projet'!$B$15,Paramètres!$A$1:$I$89,5,0)</f>
        <v>255.84000000000015</v>
      </c>
      <c r="EL127" s="13">
        <f t="shared" si="99"/>
        <v>61.834803371075886</v>
      </c>
      <c r="EM127" s="20">
        <f t="shared" si="73"/>
        <v>553.28361587129086</v>
      </c>
      <c r="EN127" s="59">
        <f t="shared" si="74"/>
        <v>846.61694920462423</v>
      </c>
      <c r="EO127" s="59">
        <f ca="1">AVERAGE(OFFSET($EN$3,0,0,'Données projet'!$E$15+1,1))-AVERAGE(OFFSET($H$3,0,0,'Données projet'!$E$15+1,1))</f>
        <v>288.80569134263209</v>
      </c>
      <c r="EP127" s="59">
        <f t="shared" si="100"/>
        <v>283.48738729114024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6.8393881142614168</v>
      </c>
      <c r="EW127" s="21">
        <f>EXP(-LN(2)/25)*EW126+(1-EXP(-LN(2)/25))/(LN(2)/25)*Calculateur!ER127*Calculateur!ET127*VLOOKUP('Données projet'!$B$15,Paramètres!$A$1:$I$89,3,0)*0.475*44/12</f>
        <v>4.2995246994406386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11.138912813702056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-1.0197709343628959E-13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323.17232038705157</v>
      </c>
      <c r="FK127" s="59">
        <f t="shared" si="102"/>
        <v>402.34685738619197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42.356879694302556</v>
      </c>
      <c r="FR127" s="21">
        <f>EXP(-LN(2)/25)*FR126+(1-EXP(-LN(2)/25))/(LN(2)/25)*Calculateur!FM127*Calculateur!FO127*VLOOKUP('Données projet'!$B$16,Paramètres!$A$1:$I$89,3,0)*0.475*44/12</f>
        <v>6.7085144001076733</v>
      </c>
      <c r="FS127" s="21">
        <f>EXP(-LN(2)/2)*FS126+(1-EXP(-LN(2)/2))/(LN(2)/2)*FM127*FP127*VLOOKUP('Données projet'!$B$16,Paramètres!$A$1:$I$89,3,0)*0.475*44/12</f>
        <v>2.3519603385828395E-9</v>
      </c>
      <c r="FT127" s="22">
        <f t="shared" si="78"/>
        <v>49.065394096762191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328.00000000000017</v>
      </c>
      <c r="GA127" s="17">
        <f>FZ127*VLOOKUP('Données projet'!$B$17,Paramètres!$A$1:$I$89,3,0)*VLOOKUP('Données projet'!$B$17,Paramètres!$A$1:$I$89,5,0)</f>
        <v>266.07360000000017</v>
      </c>
      <c r="GB127" s="13">
        <f t="shared" si="103"/>
        <v>64.015279012301136</v>
      </c>
      <c r="GC127" s="20">
        <f t="shared" si="79"/>
        <v>574.90479761309132</v>
      </c>
      <c r="GD127" s="59">
        <f t="shared" si="80"/>
        <v>868.23813094642469</v>
      </c>
      <c r="GE127" s="59">
        <f ca="1">AVERAGE(OFFSET($GD$3,0,0,'Données projet'!$E$17+1,1))-AVERAGE(OFFSET($H$3,0,0,'Données projet'!$E$17+1,1))</f>
        <v>298.96480270023716</v>
      </c>
      <c r="GF127" s="59">
        <f t="shared" si="104"/>
        <v>293.11447542333889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8.7671412292578932</v>
      </c>
      <c r="GM127" s="21">
        <f>EXP(-LN(2)/25)*GM126+(1-EXP(-LN(2)/25))/(LN(2)/25)*Calculateur!GH127*Calculateur!GJ127*VLOOKUP('Données projet'!$B$17,Paramètres!$A$1:$I$89,3,0)*0.475*44/12</f>
        <v>5.5113907310039068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14.2785319602618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-1.4210854715202004E-13</v>
      </c>
      <c r="GV127" s="17">
        <f>GU127*VLOOKUP('Données projet'!$B$18,Paramètres!$A$1:$I$89,3,0)*VLOOKUP('Données projet'!$B$18,Paramètres!$A$1:$I$89,5,0)</f>
        <v>-8.128608897095547E-14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320.76883487964511</v>
      </c>
      <c r="HA127" s="59">
        <f t="shared" si="106"/>
        <v>290.51177680335746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69.272571214074034</v>
      </c>
      <c r="HH127" s="21">
        <f>EXP(-LN(2)/25)*HH126+(1-EXP(-LN(2)/25))/(LN(2)/25)*Calculateur!HC127*Calculateur!HE127*VLOOKUP('Données projet'!$B$18,Paramètres!$A$1:$I$89,3,0)*0.475*44/12</f>
        <v>12.992434889016394</v>
      </c>
      <c r="HI127" s="21">
        <f>EXP(-LN(2)/2)*HI126+(1-EXP(-LN(2)/2))/(LN(2)/2)*HC127*HF127*VLOOKUP('Données projet'!$B$18,Paramètres!$A$1:$I$89,3,0)*0.475*44/12</f>
        <v>2.4278516623868585E-4</v>
      </c>
      <c r="HJ127" s="22">
        <f t="shared" si="84"/>
        <v>82.265248888256664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152.23325000000054</v>
      </c>
      <c r="AK128" s="13">
        <f t="shared" si="89"/>
        <v>39.08566235307034</v>
      </c>
      <c r="AL128" s="20">
        <f t="shared" si="58"/>
        <v>333.21377234826514</v>
      </c>
      <c r="AM128" s="59">
        <f t="shared" si="59"/>
        <v>626.5471056815984</v>
      </c>
      <c r="AN128" s="59">
        <f ca="1">AVERAGE(OFFSET($AM$3,0,0,'Données projet'!$E$10+1,1))-AVERAGE(OFFSET($H$3,0,0,'Données projet'!$E$10+1,1))</f>
        <v>425.47148407510412</v>
      </c>
      <c r="AO128" s="59">
        <f t="shared" si="90"/>
        <v>308.54448799922471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139.0862830765962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139.0862830765962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212.00000000000009</v>
      </c>
      <c r="BE128" s="13">
        <f>BD128*VLOOKUP('Données projet'!$B$11,Paramètres!$A$1:$I$89,3,0)*VLOOKUP('Données projet'!$B$11,Paramètres!$A$1:$I$89,5,0)</f>
        <v>185.20320000000009</v>
      </c>
      <c r="BF128" s="13">
        <f t="shared" si="91"/>
        <v>46.477875402099386</v>
      </c>
      <c r="BG128" s="20">
        <f t="shared" si="61"/>
        <v>403.5112063253232</v>
      </c>
      <c r="BH128" s="59">
        <f t="shared" si="62"/>
        <v>696.84453965865646</v>
      </c>
      <c r="BI128" s="59">
        <f ca="1">AVERAGE(OFFSET($BH$3,0,0,'Données projet'!$E$11+1,1))-AVERAGE(OFFSET($H$3,0,0,'Données projet'!$E$11+1,1))</f>
        <v>300.63505444445104</v>
      </c>
      <c r="BJ128" s="59">
        <f t="shared" si="92"/>
        <v>266.32508105927997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9.1027094008662477</v>
      </c>
      <c r="BQ128" s="21">
        <f>EXP(-LN(2)/25)*BQ127+(1-EXP(-LN(2)/25))/(LN(2)/25)*Calculateur!BL128*Calculateur!BN128*VLOOKUP('Données projet'!$B$11,Paramètres!$A$1:$I$89,3,0)*0.475*44/12</f>
        <v>6.9935620761905533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16.096271477056803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278.29487179487177</v>
      </c>
      <c r="BW128" s="12">
        <f>VLOOKUP(A128,'Données projet'!$A$113:$I$133,9,0)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projet'!$A$114&gt;35,BY127+BX128-CG127,IF(A128&lt;'Données projet'!$A$114,$BV$205^A128,IF(A128='Données projet'!$A$114,'Données projet'!$B$114,BY127+BX128-CG127)))</f>
        <v>278.29487179487131</v>
      </c>
      <c r="BZ128" s="13">
        <f>BY128*VLOOKUP('Données projet'!$B$12,Paramètres!$A$1:$I$89,3,0)*VLOOKUP('Données projet'!$B$12,Paramètres!$A$1:$I$89,5,0)</f>
        <v>264.82539999999955</v>
      </c>
      <c r="CA128" s="13">
        <f t="shared" si="93"/>
        <v>63.749854817958173</v>
      </c>
      <c r="CB128" s="20">
        <f t="shared" si="64"/>
        <v>572.26856880794298</v>
      </c>
      <c r="CC128" s="59">
        <f t="shared" si="65"/>
        <v>865.60190214127624</v>
      </c>
      <c r="CD128" s="59">
        <f ca="1">AVERAGE(OFFSET($CC$3,0,0,'Données projet'!$E$12+1,1))-AVERAGE(OFFSET($H$3,0,0,'Données projet'!$E$12+1,1))</f>
        <v>361.26385625423757</v>
      </c>
      <c r="CE128" s="59">
        <f t="shared" si="94"/>
        <v>222.05197404028576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48.160256410256409</v>
      </c>
      <c r="CH128" s="16">
        <f>IF(ISNA(VLOOKUP(A128,'Données projet'!$A$113:$I$133,5,0)),0%,VLOOKUP(A128,'Données projet'!$A$113:$I$133,5,0)*VLOOKUP('Données projet'!$B$12,Paramètres!$A$1:$I$89,7,0))</f>
        <v>0.30099999999999999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44.855455722867973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44.855455722867973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247.00000000000017</v>
      </c>
      <c r="CU128" s="17">
        <f>CT128*VLOOKUP('Données projet'!$B$13,Paramètres!$A$1:$I$89,3,0)*VLOOKUP('Données projet'!$B$13,Paramètres!$A$1:$I$89,5,0)</f>
        <v>223.48560000000012</v>
      </c>
      <c r="CV128" s="13">
        <f t="shared" si="95"/>
        <v>54.87176918107798</v>
      </c>
      <c r="CW128" s="20">
        <f t="shared" si="67"/>
        <v>484.80575132371092</v>
      </c>
      <c r="CX128" s="59">
        <f t="shared" si="68"/>
        <v>778.13908465704424</v>
      </c>
      <c r="CY128" s="59">
        <f ca="1">AVERAGE(OFFSET($CX$3,0,0,'Données projet'!$E$13+1,1))-AVERAGE(OFFSET($H$3,0,0,'Données projet'!$E$13+1,1))</f>
        <v>302.6937347295995</v>
      </c>
      <c r="CZ128" s="59">
        <f t="shared" si="96"/>
        <v>423.44006663873375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9.2308916757862444E-2</v>
      </c>
      <c r="DG128" s="21">
        <f>EXP(-LN(2)/25)*DG127+(1-EXP(-LN(2)/25))/(LN(2)/25)*Calculateur!DB128*Calculateur!DD128*VLOOKUP('Données projet'!$B$13,Paramètres!$A$1:$I$89,3,0)*0.475*44/12</f>
        <v>0.30793928828134226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0.40024820503920472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269.16679999999957</v>
      </c>
      <c r="DQ128" s="13">
        <f t="shared" si="97"/>
        <v>64.672411424632728</v>
      </c>
      <c r="DR128" s="20">
        <f t="shared" si="70"/>
        <v>581.43662656456797</v>
      </c>
      <c r="DS128" s="59">
        <f t="shared" si="71"/>
        <v>874.76995989790134</v>
      </c>
      <c r="DT128" s="59">
        <f ca="1">AVERAGE(OFFSET($DS$3,0,0,'Données projet'!$E$14+1,1))-AVERAGE(OFFSET($H$3,0,0,'Données projet'!$E$14+1,1))</f>
        <v>366.51581861366333</v>
      </c>
      <c r="DU128" s="59">
        <f t="shared" si="98"/>
        <v>225.01415116995503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45.590791062587137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45.590791062587137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328.00000000000017</v>
      </c>
      <c r="EK128" s="17">
        <f>EJ128*VLOOKUP('Données projet'!$B$15,Paramètres!$A$1:$I$89,3,0)*VLOOKUP('Données projet'!$B$15,Paramètres!$A$1:$I$89,5,0)</f>
        <v>255.84000000000015</v>
      </c>
      <c r="EL128" s="13">
        <f t="shared" si="99"/>
        <v>61.834803371075886</v>
      </c>
      <c r="EM128" s="20">
        <f t="shared" si="73"/>
        <v>553.28361587129086</v>
      </c>
      <c r="EN128" s="59">
        <f t="shared" si="74"/>
        <v>846.61694920462423</v>
      </c>
      <c r="EO128" s="59">
        <f ca="1">AVERAGE(OFFSET($EN$3,0,0,'Données projet'!$E$15+1,1))-AVERAGE(OFFSET($H$3,0,0,'Données projet'!$E$15+1,1))</f>
        <v>288.80569134263209</v>
      </c>
      <c r="EP128" s="59">
        <f t="shared" si="100"/>
        <v>283.48738729114024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6.7052718849555877</v>
      </c>
      <c r="EW128" s="21">
        <f>EXP(-LN(2)/25)*EW127+(1-EXP(-LN(2)/25))/(LN(2)/25)*Calculateur!ER128*Calculateur!ET128*VLOOKUP('Données projet'!$B$15,Paramètres!$A$1:$I$89,3,0)*0.475*44/12</f>
        <v>4.1819539704322573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10.887225855387845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-1.0197709343628959E-13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323.17232038705157</v>
      </c>
      <c r="FK128" s="59">
        <f t="shared" si="102"/>
        <v>402.34685738619197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41.526287118642891</v>
      </c>
      <c r="FR128" s="21">
        <f>EXP(-LN(2)/25)*FR127+(1-EXP(-LN(2)/25))/(LN(2)/25)*Calculateur!FM128*Calculateur!FO128*VLOOKUP('Données projet'!$B$16,Paramètres!$A$1:$I$89,3,0)*0.475*44/12</f>
        <v>6.5250697210512891</v>
      </c>
      <c r="FS128" s="21">
        <f>EXP(-LN(2)/2)*FS127+(1-EXP(-LN(2)/2))/(LN(2)/2)*FM128*FP128*VLOOKUP('Données projet'!$B$16,Paramètres!$A$1:$I$89,3,0)*0.475*44/12</f>
        <v>1.6630871044937342E-9</v>
      </c>
      <c r="FT128" s="22">
        <f t="shared" si="78"/>
        <v>48.051356841357268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328.00000000000017</v>
      </c>
      <c r="GA128" s="17">
        <f>FZ128*VLOOKUP('Données projet'!$B$17,Paramètres!$A$1:$I$89,3,0)*VLOOKUP('Données projet'!$B$17,Paramètres!$A$1:$I$89,5,0)</f>
        <v>266.07360000000017</v>
      </c>
      <c r="GB128" s="13">
        <f t="shared" si="103"/>
        <v>64.015279012301136</v>
      </c>
      <c r="GC128" s="20">
        <f t="shared" si="79"/>
        <v>574.90479761309132</v>
      </c>
      <c r="GD128" s="59">
        <f t="shared" si="80"/>
        <v>868.23813094642469</v>
      </c>
      <c r="GE128" s="59">
        <f ca="1">AVERAGE(OFFSET($GD$3,0,0,'Données projet'!$E$17+1,1))-AVERAGE(OFFSET($H$3,0,0,'Données projet'!$E$17+1,1))</f>
        <v>298.96480270023716</v>
      </c>
      <c r="GF128" s="59">
        <f t="shared" si="104"/>
        <v>293.11447542333889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8.5952229371802815</v>
      </c>
      <c r="GM128" s="21">
        <f>EXP(-LN(2)/25)*GM127+(1-EXP(-LN(2)/25))/(LN(2)/25)*Calculateur!GH128*Calculateur!GJ128*VLOOKUP('Données projet'!$B$17,Paramètres!$A$1:$I$89,3,0)*0.475*44/12</f>
        <v>5.3606814616331624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13.955904398813445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-1.4210854715202004E-13</v>
      </c>
      <c r="GV128" s="17">
        <f>GU128*VLOOKUP('Données projet'!$B$18,Paramètres!$A$1:$I$89,3,0)*VLOOKUP('Données projet'!$B$18,Paramètres!$A$1:$I$89,5,0)</f>
        <v>-8.128608897095547E-14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320.76883487964511</v>
      </c>
      <c r="HA128" s="59">
        <f t="shared" si="106"/>
        <v>290.51177680335746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67.914178344662432</v>
      </c>
      <c r="HH128" s="21">
        <f>EXP(-LN(2)/25)*HH127+(1-EXP(-LN(2)/25))/(LN(2)/25)*Calculateur!HC128*Calculateur!HE128*VLOOKUP('Données projet'!$B$18,Paramètres!$A$1:$I$89,3,0)*0.475*44/12</f>
        <v>12.637156073733784</v>
      </c>
      <c r="HI128" s="21">
        <f>EXP(-LN(2)/2)*HI127+(1-EXP(-LN(2)/2))/(LN(2)/2)*HC128*HF128*VLOOKUP('Données projet'!$B$18,Paramètres!$A$1:$I$89,3,0)*0.475*44/12</f>
        <v>1.7167503741887801E-4</v>
      </c>
      <c r="HJ128" s="22">
        <f t="shared" si="84"/>
        <v>80.55150609343363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154.60087500000057</v>
      </c>
      <c r="AK129" s="13">
        <f t="shared" si="89"/>
        <v>39.622305459420097</v>
      </c>
      <c r="AL129" s="20">
        <f t="shared" si="58"/>
        <v>338.27203930015764</v>
      </c>
      <c r="AM129" s="59">
        <f t="shared" si="59"/>
        <v>631.60537263349102</v>
      </c>
      <c r="AN129" s="59">
        <f ca="1">AVERAGE(OFFSET($AM$3,0,0,'Données projet'!$E$10+1,1))-AVERAGE(OFFSET($H$3,0,0,'Données projet'!$E$10+1,1))</f>
        <v>425.47148407510412</v>
      </c>
      <c r="AO129" s="59">
        <f t="shared" si="90"/>
        <v>308.54448799922471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136.35888589972015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136.35888589972015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212.00000000000009</v>
      </c>
      <c r="BE129" s="13">
        <f>BD129*VLOOKUP('Données projet'!$B$11,Paramètres!$A$1:$I$89,3,0)*VLOOKUP('Données projet'!$B$11,Paramètres!$A$1:$I$89,5,0)</f>
        <v>185.20320000000009</v>
      </c>
      <c r="BF129" s="13">
        <f t="shared" si="91"/>
        <v>46.477875402099386</v>
      </c>
      <c r="BG129" s="20">
        <f t="shared" si="61"/>
        <v>403.5112063253232</v>
      </c>
      <c r="BH129" s="59">
        <f t="shared" si="62"/>
        <v>696.84453965865646</v>
      </c>
      <c r="BI129" s="59">
        <f ca="1">AVERAGE(OFFSET($BH$3,0,0,'Données projet'!$E$11+1,1))-AVERAGE(OFFSET($H$3,0,0,'Données projet'!$E$11+1,1))</f>
        <v>300.63505444445104</v>
      </c>
      <c r="BJ129" s="59">
        <f t="shared" si="92"/>
        <v>266.32508105927997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8.92421082161977</v>
      </c>
      <c r="BQ129" s="21">
        <f>EXP(-LN(2)/25)*BQ128+(1-EXP(-LN(2)/25))/(LN(2)/25)*Calculateur!BL129*Calculateur!BN129*VLOOKUP('Données projet'!$B$11,Paramètres!$A$1:$I$89,3,0)*0.475*44/12</f>
        <v>6.8023227534416772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15.726533575061447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5.2446581196581219</v>
      </c>
      <c r="BY129" s="12">
        <f>IF('Données projet'!$A$114&gt;35,BY128+BX129-CG128,IF(A129&lt;'Données projet'!$A$114,$BV$205^A129,IF(A129='Données projet'!$A$114,'Données projet'!$B$114,BY128+BX129-CG128)))</f>
        <v>235.37927350427304</v>
      </c>
      <c r="BZ129" s="13">
        <f>BY129*VLOOKUP('Données projet'!$B$12,Paramètres!$A$1:$I$89,3,0)*VLOOKUP('Données projet'!$B$12,Paramètres!$A$1:$I$89,5,0)</f>
        <v>223.98691666666625</v>
      </c>
      <c r="CA129" s="13">
        <f t="shared" si="93"/>
        <v>54.9805145106018</v>
      </c>
      <c r="CB129" s="20">
        <f t="shared" si="64"/>
        <v>485.86827596707514</v>
      </c>
      <c r="CC129" s="59">
        <f t="shared" si="65"/>
        <v>779.20160930040845</v>
      </c>
      <c r="CD129" s="59">
        <f ca="1">AVERAGE(OFFSET($CC$3,0,0,'Données projet'!$E$12+1,1))-AVERAGE(OFFSET($H$3,0,0,'Données projet'!$E$12+1,1))</f>
        <v>361.26385625423757</v>
      </c>
      <c r="CE129" s="59">
        <f t="shared" si="94"/>
        <v>222.05197404028576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43.975867595269037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43.975867595269037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247.00000000000017</v>
      </c>
      <c r="CU129" s="17">
        <f>CT129*VLOOKUP('Données projet'!$B$13,Paramètres!$A$1:$I$89,3,0)*VLOOKUP('Données projet'!$B$13,Paramètres!$A$1:$I$89,5,0)</f>
        <v>223.48560000000012</v>
      </c>
      <c r="CV129" s="13">
        <f t="shared" si="95"/>
        <v>54.87176918107798</v>
      </c>
      <c r="CW129" s="20">
        <f t="shared" si="67"/>
        <v>484.80575132371092</v>
      </c>
      <c r="CX129" s="59">
        <f t="shared" si="68"/>
        <v>778.13908465704424</v>
      </c>
      <c r="CY129" s="59">
        <f ca="1">AVERAGE(OFFSET($CX$3,0,0,'Données projet'!$E$13+1,1))-AVERAGE(OFFSET($H$3,0,0,'Données projet'!$E$13+1,1))</f>
        <v>302.6937347295995</v>
      </c>
      <c r="CZ129" s="59">
        <f t="shared" si="96"/>
        <v>423.44006663873375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9.0498795203120541E-2</v>
      </c>
      <c r="DG129" s="21">
        <f>EXP(-LN(2)/25)*DG128+(1-EXP(-LN(2)/25))/(LN(2)/25)*Calculateur!DB129*Calculateur!DD129*VLOOKUP('Données projet'!$B$13,Paramètres!$A$1:$I$89,3,0)*0.475*44/12</f>
        <v>0.2995186722494656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0.39001746745258614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227.65883333333289</v>
      </c>
      <c r="DQ129" s="13">
        <f t="shared" si="97"/>
        <v>55.776165528866244</v>
      </c>
      <c r="DR129" s="20">
        <f t="shared" si="70"/>
        <v>493.6492896849968</v>
      </c>
      <c r="DS129" s="59">
        <f t="shared" si="71"/>
        <v>786.98262301833006</v>
      </c>
      <c r="DT129" s="59">
        <f ca="1">AVERAGE(OFFSET($DS$3,0,0,'Données projet'!$E$14+1,1))-AVERAGE(OFFSET($H$3,0,0,'Données projet'!$E$14+1,1))</f>
        <v>366.51581861366333</v>
      </c>
      <c r="DU129" s="59">
        <f t="shared" si="98"/>
        <v>225.01415116995503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44.696783457486575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44.696783457486575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328.00000000000017</v>
      </c>
      <c r="EK129" s="17">
        <f>EJ129*VLOOKUP('Données projet'!$B$15,Paramètres!$A$1:$I$89,3,0)*VLOOKUP('Données projet'!$B$15,Paramètres!$A$1:$I$89,5,0)</f>
        <v>255.84000000000015</v>
      </c>
      <c r="EL129" s="13">
        <f t="shared" si="99"/>
        <v>61.834803371075886</v>
      </c>
      <c r="EM129" s="20">
        <f t="shared" si="73"/>
        <v>553.28361587129086</v>
      </c>
      <c r="EN129" s="59">
        <f t="shared" si="74"/>
        <v>846.61694920462423</v>
      </c>
      <c r="EO129" s="59">
        <f ca="1">AVERAGE(OFFSET($EN$3,0,0,'Données projet'!$E$15+1,1))-AVERAGE(OFFSET($H$3,0,0,'Données projet'!$E$15+1,1))</f>
        <v>288.80569134263209</v>
      </c>
      <c r="EP129" s="59">
        <f t="shared" si="100"/>
        <v>283.48738729114024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6.5737855931036231</v>
      </c>
      <c r="EW129" s="21">
        <f>EXP(-LN(2)/25)*EW128+(1-EXP(-LN(2)/25))/(LN(2)/25)*Calculateur!ER129*Calculateur!ET129*VLOOKUP('Données projet'!$B$15,Paramètres!$A$1:$I$89,3,0)*0.475*44/12</f>
        <v>4.0675982191913862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10.641383812295009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-1.0197709343628959E-13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323.17232038705157</v>
      </c>
      <c r="FK129" s="59">
        <f t="shared" si="102"/>
        <v>402.34685738619197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40.711981956780463</v>
      </c>
      <c r="FR129" s="21">
        <f>EXP(-LN(2)/25)*FR128+(1-EXP(-LN(2)/25))/(LN(2)/25)*Calculateur!FM129*Calculateur!FO129*VLOOKUP('Données projet'!$B$16,Paramètres!$A$1:$I$89,3,0)*0.475*44/12</f>
        <v>6.3466413463906379</v>
      </c>
      <c r="FS129" s="21">
        <f>EXP(-LN(2)/2)*FS128+(1-EXP(-LN(2)/2))/(LN(2)/2)*FM129*FP129*VLOOKUP('Données projet'!$B$16,Paramètres!$A$1:$I$89,3,0)*0.475*44/12</f>
        <v>1.1759801692914198E-9</v>
      </c>
      <c r="FT129" s="22">
        <f t="shared" si="78"/>
        <v>47.05862330434708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328.00000000000017</v>
      </c>
      <c r="GA129" s="17">
        <f>FZ129*VLOOKUP('Données projet'!$B$17,Paramètres!$A$1:$I$89,3,0)*VLOOKUP('Données projet'!$B$17,Paramètres!$A$1:$I$89,5,0)</f>
        <v>266.07360000000017</v>
      </c>
      <c r="GB129" s="13">
        <f t="shared" si="103"/>
        <v>64.015279012301136</v>
      </c>
      <c r="GC129" s="20">
        <f t="shared" si="79"/>
        <v>574.90479761309132</v>
      </c>
      <c r="GD129" s="59">
        <f t="shared" si="80"/>
        <v>868.23813094642469</v>
      </c>
      <c r="GE129" s="59">
        <f ca="1">AVERAGE(OFFSET($GD$3,0,0,'Données projet'!$E$17+1,1))-AVERAGE(OFFSET($H$3,0,0,'Données projet'!$E$17+1,1))</f>
        <v>298.96480270023716</v>
      </c>
      <c r="GF129" s="59">
        <f t="shared" si="104"/>
        <v>293.11447542333889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8.4266758579505066</v>
      </c>
      <c r="GM129" s="21">
        <f>EXP(-LN(2)/25)*GM128+(1-EXP(-LN(2)/25))/(LN(2)/25)*Calculateur!GH129*Calculateur!GJ129*VLOOKUP('Données projet'!$B$17,Paramètres!$A$1:$I$89,3,0)*0.475*44/12</f>
        <v>5.2140933451588172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13.640769203109324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-1.4210854715202004E-13</v>
      </c>
      <c r="GV129" s="17">
        <f>GU129*VLOOKUP('Données projet'!$B$18,Paramètres!$A$1:$I$89,3,0)*VLOOKUP('Données projet'!$B$18,Paramètres!$A$1:$I$89,5,0)</f>
        <v>-8.128608897095547E-14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320.76883487964511</v>
      </c>
      <c r="HA129" s="59">
        <f t="shared" si="106"/>
        <v>290.51177680335746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66.582422730882158</v>
      </c>
      <c r="HH129" s="21">
        <f>EXP(-LN(2)/25)*HH128+(1-EXP(-LN(2)/25))/(LN(2)/25)*Calculateur!HC129*Calculateur!HE129*VLOOKUP('Données projet'!$B$18,Paramètres!$A$1:$I$89,3,0)*0.475*44/12</f>
        <v>12.291592376338379</v>
      </c>
      <c r="HI129" s="21">
        <f>EXP(-LN(2)/2)*HI128+(1-EXP(-LN(2)/2))/(LN(2)/2)*HC129*HF129*VLOOKUP('Données projet'!$B$18,Paramètres!$A$1:$I$89,3,0)*0.475*44/12</f>
        <v>1.2139258311934294E-4</v>
      </c>
      <c r="HJ129" s="22">
        <f t="shared" si="84"/>
        <v>78.874136499803669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156.96850000000057</v>
      </c>
      <c r="AK130" s="13">
        <f t="shared" si="89"/>
        <v>40.157992758290085</v>
      </c>
      <c r="AL130" s="20">
        <f t="shared" si="58"/>
        <v>343.32864155402285</v>
      </c>
      <c r="AM130" s="59">
        <f t="shared" si="59"/>
        <v>636.66197488735611</v>
      </c>
      <c r="AN130" s="59">
        <f ca="1">AVERAGE(OFFSET($AM$3,0,0,'Données projet'!$E$10+1,1))-AVERAGE(OFFSET($H$3,0,0,'Données projet'!$E$10+1,1))</f>
        <v>425.47148407510412</v>
      </c>
      <c r="AO130" s="59">
        <f t="shared" si="90"/>
        <v>308.54448799922471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155.33914454809639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155.33914454809639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212.00000000000009</v>
      </c>
      <c r="BE130" s="13">
        <f>BD130*VLOOKUP('Données projet'!$B$11,Paramètres!$A$1:$I$89,3,0)*VLOOKUP('Données projet'!$B$11,Paramètres!$A$1:$I$89,5,0)</f>
        <v>185.20320000000009</v>
      </c>
      <c r="BF130" s="13">
        <f t="shared" si="91"/>
        <v>46.477875402099386</v>
      </c>
      <c r="BG130" s="20">
        <f t="shared" si="61"/>
        <v>403.5112063253232</v>
      </c>
      <c r="BH130" s="59">
        <f t="shared" si="62"/>
        <v>696.84453965865646</v>
      </c>
      <c r="BI130" s="59">
        <f ca="1">AVERAGE(OFFSET($BH$3,0,0,'Données projet'!$E$11+1,1))-AVERAGE(OFFSET($H$3,0,0,'Données projet'!$E$11+1,1))</f>
        <v>300.63505444445104</v>
      </c>
      <c r="BJ130" s="59">
        <f t="shared" si="92"/>
        <v>266.32508105927997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8.7492124906389339</v>
      </c>
      <c r="BQ130" s="21">
        <f>EXP(-LN(2)/25)*BQ129+(1-EXP(-LN(2)/25))/(LN(2)/25)*Calculateur!BL130*Calculateur!BN130*VLOOKUP('Données projet'!$B$11,Paramètres!$A$1:$I$89,3,0)*0.475*44/12</f>
        <v>6.6163128800302076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15.365525370669141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5.2446581196581219</v>
      </c>
      <c r="BY130" s="12">
        <f>IF('Données projet'!$A$114&gt;35,BY129+BX130-CG129,IF(A130&lt;'Données projet'!$A$114,$BV$205^A130,IF(A130='Données projet'!$A$114,'Données projet'!$B$114,BY129+BX130-CG129)))</f>
        <v>240.62393162393116</v>
      </c>
      <c r="BZ130" s="13">
        <f>BY130*VLOOKUP('Données projet'!$B$12,Paramètres!$A$1:$I$89,3,0)*VLOOKUP('Données projet'!$B$12,Paramètres!$A$1:$I$89,5,0)</f>
        <v>228.97773333333288</v>
      </c>
      <c r="CA130" s="13">
        <f t="shared" si="93"/>
        <v>56.061586304777492</v>
      </c>
      <c r="CB130" s="20">
        <f t="shared" si="64"/>
        <v>496.44348170304221</v>
      </c>
      <c r="CC130" s="59">
        <f t="shared" si="65"/>
        <v>789.77681503637552</v>
      </c>
      <c r="CD130" s="59">
        <f ca="1">AVERAGE(OFFSET($CC$3,0,0,'Données projet'!$E$12+1,1))-AVERAGE(OFFSET($H$3,0,0,'Données projet'!$E$12+1,1))</f>
        <v>361.26385625423757</v>
      </c>
      <c r="CE130" s="59">
        <f t="shared" si="94"/>
        <v>222.05197404028576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43.113527654356531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43.113527654356531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247.00000000000017</v>
      </c>
      <c r="CU130" s="17">
        <f>CT130*VLOOKUP('Données projet'!$B$13,Paramètres!$A$1:$I$89,3,0)*VLOOKUP('Données projet'!$B$13,Paramètres!$A$1:$I$89,5,0)</f>
        <v>223.48560000000012</v>
      </c>
      <c r="CV130" s="13">
        <f t="shared" si="95"/>
        <v>54.87176918107798</v>
      </c>
      <c r="CW130" s="20">
        <f t="shared" si="67"/>
        <v>484.80575132371092</v>
      </c>
      <c r="CX130" s="59">
        <f t="shared" si="68"/>
        <v>778.13908465704424</v>
      </c>
      <c r="CY130" s="59">
        <f ca="1">AVERAGE(OFFSET($CX$3,0,0,'Données projet'!$E$13+1,1))-AVERAGE(OFFSET($H$3,0,0,'Données projet'!$E$13+1,1))</f>
        <v>302.6937347295995</v>
      </c>
      <c r="CZ130" s="59">
        <f t="shared" si="96"/>
        <v>423.44006663873375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8.8724169028001995E-2</v>
      </c>
      <c r="DG130" s="21">
        <f>EXP(-LN(2)/25)*DG129+(1-EXP(-LN(2)/25))/(LN(2)/25)*Calculateur!DB130*Calculateur!DD130*VLOOKUP('Données projet'!$B$13,Paramètres!$A$1:$I$89,3,0)*0.475*44/12</f>
        <v>0.29132831840580153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0.38005248743380354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232.73146666666622</v>
      </c>
      <c r="DQ130" s="13">
        <f t="shared" si="97"/>
        <v>56.872882063392389</v>
      </c>
      <c r="DR130" s="20">
        <f t="shared" si="70"/>
        <v>504.39424070485211</v>
      </c>
      <c r="DS130" s="59">
        <f t="shared" si="71"/>
        <v>797.72757403818537</v>
      </c>
      <c r="DT130" s="59">
        <f ca="1">AVERAGE(OFFSET($DS$3,0,0,'Données projet'!$E$14+1,1))-AVERAGE(OFFSET($H$3,0,0,'Données projet'!$E$14+1,1))</f>
        <v>366.51581861366333</v>
      </c>
      <c r="DU130" s="59">
        <f t="shared" si="98"/>
        <v>225.01415116995503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43.820306796231236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43.820306796231236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328.00000000000017</v>
      </c>
      <c r="EK130" s="17">
        <f>EJ130*VLOOKUP('Données projet'!$B$15,Paramètres!$A$1:$I$89,3,0)*VLOOKUP('Données projet'!$B$15,Paramètres!$A$1:$I$89,5,0)</f>
        <v>255.84000000000015</v>
      </c>
      <c r="EL130" s="13">
        <f t="shared" si="99"/>
        <v>61.834803371075886</v>
      </c>
      <c r="EM130" s="20">
        <f t="shared" si="73"/>
        <v>553.28361587129086</v>
      </c>
      <c r="EN130" s="59">
        <f t="shared" si="74"/>
        <v>846.61694920462423</v>
      </c>
      <c r="EO130" s="59">
        <f ca="1">AVERAGE(OFFSET($EN$3,0,0,'Données projet'!$E$15+1,1))-AVERAGE(OFFSET($H$3,0,0,'Données projet'!$E$15+1,1))</f>
        <v>288.80569134263209</v>
      </c>
      <c r="EP130" s="59">
        <f t="shared" si="100"/>
        <v>283.48738729114024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6.4448776672361561</v>
      </c>
      <c r="EW130" s="21">
        <f>EXP(-LN(2)/25)*EW129+(1-EXP(-LN(2)/25))/(LN(2)/25)*Calculateur!ER130*Calculateur!ET130*VLOOKUP('Données projet'!$B$15,Paramètres!$A$1:$I$89,3,0)*0.475*44/12</f>
        <v>3.9563695319819039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10.40124719921806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-1.0197709343628959E-13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323.17232038705157</v>
      </c>
      <c r="FK130" s="59">
        <f t="shared" si="102"/>
        <v>402.34685738619197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39.913644822465052</v>
      </c>
      <c r="FR130" s="21">
        <f>EXP(-LN(2)/25)*FR129+(1-EXP(-LN(2)/25))/(LN(2)/25)*Calculateur!FM130*Calculateur!FO130*VLOOKUP('Données projet'!$B$16,Paramètres!$A$1:$I$89,3,0)*0.475*44/12</f>
        <v>6.173092105018223</v>
      </c>
      <c r="FS130" s="21">
        <f>EXP(-LN(2)/2)*FS129+(1-EXP(-LN(2)/2))/(LN(2)/2)*FM130*FP130*VLOOKUP('Données projet'!$B$16,Paramètres!$A$1:$I$89,3,0)*0.475*44/12</f>
        <v>8.3154355224686708E-10</v>
      </c>
      <c r="FT130" s="22">
        <f t="shared" si="78"/>
        <v>46.086736928314814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328.00000000000017</v>
      </c>
      <c r="GA130" s="17">
        <f>FZ130*VLOOKUP('Données projet'!$B$17,Paramètres!$A$1:$I$89,3,0)*VLOOKUP('Données projet'!$B$17,Paramètres!$A$1:$I$89,5,0)</f>
        <v>266.07360000000017</v>
      </c>
      <c r="GB130" s="13">
        <f t="shared" si="103"/>
        <v>64.015279012301136</v>
      </c>
      <c r="GC130" s="20">
        <f t="shared" si="79"/>
        <v>574.90479761309132</v>
      </c>
      <c r="GD130" s="59">
        <f t="shared" si="80"/>
        <v>868.23813094642469</v>
      </c>
      <c r="GE130" s="59">
        <f ca="1">AVERAGE(OFFSET($GD$3,0,0,'Données projet'!$E$17+1,1))-AVERAGE(OFFSET($H$3,0,0,'Données projet'!$E$17+1,1))</f>
        <v>298.96480270023716</v>
      </c>
      <c r="GF130" s="59">
        <f t="shared" si="104"/>
        <v>293.11447542333889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8.2614338841408603</v>
      </c>
      <c r="GM130" s="21">
        <f>EXP(-LN(2)/25)*GM129+(1-EXP(-LN(2)/25))/(LN(2)/25)*Calculateur!GH130*Calculateur!GJ130*VLOOKUP('Données projet'!$B$17,Paramètres!$A$1:$I$89,3,0)*0.475*44/12</f>
        <v>5.0715136884381975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13.332947572579059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-1.4210854715202004E-13</v>
      </c>
      <c r="GV130" s="17">
        <f>GU130*VLOOKUP('Données projet'!$B$18,Paramètres!$A$1:$I$89,3,0)*VLOOKUP('Données projet'!$B$18,Paramètres!$A$1:$I$89,5,0)</f>
        <v>-8.128608897095547E-14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320.76883487964511</v>
      </c>
      <c r="HA130" s="59">
        <f t="shared" si="106"/>
        <v>290.51177680335746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65.276782032397392</v>
      </c>
      <c r="HH130" s="21">
        <f>EXP(-LN(2)/25)*HH129+(1-EXP(-LN(2)/25))/(LN(2)/25)*Calculateur!HC130*Calculateur!HE130*VLOOKUP('Données projet'!$B$18,Paramètres!$A$1:$I$89,3,0)*0.475*44/12</f>
        <v>11.955478136420655</v>
      </c>
      <c r="HI130" s="21">
        <f>EXP(-LN(2)/2)*HI129+(1-EXP(-LN(2)/2))/(LN(2)/2)*HC130*HF130*VLOOKUP('Données projet'!$B$18,Paramètres!$A$1:$I$89,3,0)*0.475*44/12</f>
        <v>8.583751870943902E-5</v>
      </c>
      <c r="HJ130" s="22">
        <f t="shared" si="84"/>
        <v>77.232346006336755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107.88050000000057</v>
      </c>
      <c r="AK131" s="13">
        <f t="shared" si="89"/>
        <v>28.83104978583652</v>
      </c>
      <c r="AL131" s="20">
        <f t="shared" si="58"/>
        <v>238.10594921033294</v>
      </c>
      <c r="AM131" s="59">
        <f t="shared" si="59"/>
        <v>531.4392825436662</v>
      </c>
      <c r="AN131" s="59">
        <f ca="1">AVERAGE(OFFSET($AM$3,0,0,'Données projet'!$E$10+1,1))-AVERAGE(OFFSET($H$3,0,0,'Données projet'!$E$10+1,1))</f>
        <v>425.47148407510412</v>
      </c>
      <c r="AO131" s="59">
        <f t="shared" si="90"/>
        <v>308.54448799922471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152.29303867103084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152.29303867103084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212.00000000000009</v>
      </c>
      <c r="BE131" s="13">
        <f>BD131*VLOOKUP('Données projet'!$B$11,Paramètres!$A$1:$I$89,3,0)*VLOOKUP('Données projet'!$B$11,Paramètres!$A$1:$I$89,5,0)</f>
        <v>185.20320000000009</v>
      </c>
      <c r="BF131" s="13">
        <f t="shared" si="91"/>
        <v>46.477875402099386</v>
      </c>
      <c r="BG131" s="20">
        <f t="shared" si="61"/>
        <v>403.5112063253232</v>
      </c>
      <c r="BH131" s="59">
        <f t="shared" si="62"/>
        <v>696.84453965865646</v>
      </c>
      <c r="BI131" s="59">
        <f ca="1">AVERAGE(OFFSET($BH$3,0,0,'Données projet'!$E$11+1,1))-AVERAGE(OFFSET($H$3,0,0,'Données projet'!$E$11+1,1))</f>
        <v>300.63505444445104</v>
      </c>
      <c r="BJ131" s="59">
        <f t="shared" si="92"/>
        <v>266.32508105927997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8.5776457701901894</v>
      </c>
      <c r="BQ131" s="21">
        <f>EXP(-LN(2)/25)*BQ130+(1-EXP(-LN(2)/25))/(LN(2)/25)*Calculateur!BL131*Calculateur!BN131*VLOOKUP('Données projet'!$B$11,Paramètres!$A$1:$I$89,3,0)*0.475*44/12</f>
        <v>6.4353894563890091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15.013035226579198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5.2446581196581219</v>
      </c>
      <c r="BY131" s="12">
        <f>IF('Données projet'!$A$114&gt;35,BY130+BX131-CG130,IF(A131&lt;'Données projet'!$A$114,$BV$205^A131,IF(A131='Données projet'!$A$114,'Données projet'!$B$114,BY130+BX131-CG130)))</f>
        <v>245.86858974358927</v>
      </c>
      <c r="BZ131" s="13">
        <f>BY131*VLOOKUP('Données projet'!$B$12,Paramètres!$A$1:$I$89,3,0)*VLOOKUP('Données projet'!$B$12,Paramètres!$A$1:$I$89,5,0)</f>
        <v>233.96854999999954</v>
      </c>
      <c r="CA131" s="13">
        <f t="shared" si="93"/>
        <v>57.139918598168187</v>
      </c>
      <c r="CB131" s="20">
        <f t="shared" si="64"/>
        <v>507.01391614180881</v>
      </c>
      <c r="CC131" s="59">
        <f t="shared" si="65"/>
        <v>800.34724947514212</v>
      </c>
      <c r="CD131" s="59">
        <f ca="1">AVERAGE(OFFSET($CC$3,0,0,'Données projet'!$E$12+1,1))-AVERAGE(OFFSET($H$3,0,0,'Données projet'!$E$12+1,1))</f>
        <v>361.26385625423757</v>
      </c>
      <c r="CE131" s="59">
        <f t="shared" si="94"/>
        <v>222.05197404028576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42.268097673709889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42.268097673709889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247.00000000000017</v>
      </c>
      <c r="CU131" s="17">
        <f>CT131*VLOOKUP('Données projet'!$B$13,Paramètres!$A$1:$I$89,3,0)*VLOOKUP('Données projet'!$B$13,Paramètres!$A$1:$I$89,5,0)</f>
        <v>223.48560000000012</v>
      </c>
      <c r="CV131" s="13">
        <f t="shared" si="95"/>
        <v>54.87176918107798</v>
      </c>
      <c r="CW131" s="20">
        <f t="shared" si="67"/>
        <v>484.80575132371092</v>
      </c>
      <c r="CX131" s="59">
        <f t="shared" si="68"/>
        <v>778.13908465704424</v>
      </c>
      <c r="CY131" s="59">
        <f ca="1">AVERAGE(OFFSET($CX$3,0,0,'Données projet'!$E$13+1,1))-AVERAGE(OFFSET($H$3,0,0,'Données projet'!$E$13+1,1))</f>
        <v>302.6937347295995</v>
      </c>
      <c r="CZ131" s="59">
        <f t="shared" si="96"/>
        <v>423.44006663873375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8.6984342189762434E-2</v>
      </c>
      <c r="DG131" s="21">
        <f>EXP(-LN(2)/25)*DG130+(1-EXP(-LN(2)/25))/(LN(2)/25)*Calculateur!DB131*Calculateur!DD131*VLOOKUP('Données projet'!$B$13,Paramètres!$A$1:$I$89,3,0)*0.475*44/12</f>
        <v>0.28336193021870448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0.3703462724084669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237.80409999999952</v>
      </c>
      <c r="DQ131" s="13">
        <f t="shared" si="97"/>
        <v>57.966819452422889</v>
      </c>
      <c r="DR131" s="20">
        <f t="shared" si="70"/>
        <v>515.13435137963563</v>
      </c>
      <c r="DS131" s="59">
        <f t="shared" si="71"/>
        <v>808.467684712969</v>
      </c>
      <c r="DT131" s="59">
        <f ca="1">AVERAGE(OFFSET($DS$3,0,0,'Données projet'!$E$14+1,1))-AVERAGE(OFFSET($H$3,0,0,'Données projet'!$E$14+1,1))</f>
        <v>366.51581861366333</v>
      </c>
      <c r="DU131" s="59">
        <f t="shared" si="98"/>
        <v>225.01415116995503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42.961017307705141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42.961017307705141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328.00000000000017</v>
      </c>
      <c r="EK131" s="17">
        <f>EJ131*VLOOKUP('Données projet'!$B$15,Paramètres!$A$1:$I$89,3,0)*VLOOKUP('Données projet'!$B$15,Paramètres!$A$1:$I$89,5,0)</f>
        <v>255.84000000000015</v>
      </c>
      <c r="EL131" s="13">
        <f t="shared" si="99"/>
        <v>61.834803371075886</v>
      </c>
      <c r="EM131" s="20">
        <f t="shared" si="73"/>
        <v>553.28361587129086</v>
      </c>
      <c r="EN131" s="59">
        <f t="shared" si="74"/>
        <v>846.61694920462423</v>
      </c>
      <c r="EO131" s="59">
        <f ca="1">AVERAGE(OFFSET($EN$3,0,0,'Données projet'!$E$15+1,1))-AVERAGE(OFFSET($H$3,0,0,'Données projet'!$E$15+1,1))</f>
        <v>288.80569134263209</v>
      </c>
      <c r="EP131" s="59">
        <f t="shared" si="100"/>
        <v>283.48738729114024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6.3184975471688789</v>
      </c>
      <c r="EW131" s="21">
        <f>EXP(-LN(2)/25)*EW130+(1-EXP(-LN(2)/25))/(LN(2)/25)*Calculateur!ER131*Calculateur!ET131*VLOOKUP('Données projet'!$B$15,Paramètres!$A$1:$I$89,3,0)*0.475*44/12</f>
        <v>3.8481823990734276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10.166679946242306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-1.0197709343628959E-13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323.17232038705157</v>
      </c>
      <c r="FK131" s="59">
        <f t="shared" si="102"/>
        <v>402.34685738619197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39.13096259241599</v>
      </c>
      <c r="FR131" s="21">
        <f>EXP(-LN(2)/25)*FR130+(1-EXP(-LN(2)/25))/(LN(2)/25)*Calculateur!FM131*Calculateur!FO131*VLOOKUP('Données projet'!$B$16,Paramètres!$A$1:$I$89,3,0)*0.475*44/12</f>
        <v>6.0042885767776948</v>
      </c>
      <c r="FS131" s="21">
        <f>EXP(-LN(2)/2)*FS130+(1-EXP(-LN(2)/2))/(LN(2)/2)*FM131*FP131*VLOOKUP('Données projet'!$B$16,Paramètres!$A$1:$I$89,3,0)*0.475*44/12</f>
        <v>5.8799008464570988E-10</v>
      </c>
      <c r="FT131" s="22">
        <f t="shared" si="78"/>
        <v>45.135251169781675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328.00000000000017</v>
      </c>
      <c r="GA131" s="17">
        <f>FZ131*VLOOKUP('Données projet'!$B$17,Paramètres!$A$1:$I$89,3,0)*VLOOKUP('Données projet'!$B$17,Paramètres!$A$1:$I$89,5,0)</f>
        <v>266.07360000000017</v>
      </c>
      <c r="GB131" s="13">
        <f t="shared" si="103"/>
        <v>64.015279012301136</v>
      </c>
      <c r="GC131" s="20">
        <f t="shared" si="79"/>
        <v>574.90479761309132</v>
      </c>
      <c r="GD131" s="59">
        <f t="shared" si="80"/>
        <v>868.23813094642469</v>
      </c>
      <c r="GE131" s="59">
        <f ca="1">AVERAGE(OFFSET($GD$3,0,0,'Données projet'!$E$17+1,1))-AVERAGE(OFFSET($H$3,0,0,'Données projet'!$E$17+1,1))</f>
        <v>298.96480270023716</v>
      </c>
      <c r="GF131" s="59">
        <f t="shared" si="104"/>
        <v>293.11447542333889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8.09943220464997</v>
      </c>
      <c r="GM131" s="21">
        <f>EXP(-LN(2)/25)*GM130+(1-EXP(-LN(2)/25))/(LN(2)/25)*Calculateur!GH131*Calculateur!GJ131*VLOOKUP('Données projet'!$B$17,Paramètres!$A$1:$I$89,3,0)*0.475*44/12</f>
        <v>4.932832879928541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13.032265084578512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-1.4210854715202004E-13</v>
      </c>
      <c r="GV131" s="17">
        <f>GU131*VLOOKUP('Données projet'!$B$18,Paramètres!$A$1:$I$89,3,0)*VLOOKUP('Données projet'!$B$18,Paramètres!$A$1:$I$89,5,0)</f>
        <v>-8.128608897095547E-14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320.76883487964511</v>
      </c>
      <c r="HA131" s="59">
        <f t="shared" si="106"/>
        <v>290.51177680335746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63.996744151647725</v>
      </c>
      <c r="HH131" s="21">
        <f>EXP(-LN(2)/25)*HH130+(1-EXP(-LN(2)/25))/(LN(2)/25)*Calculateur!HC131*Calculateur!HE131*VLOOKUP('Données projet'!$B$18,Paramètres!$A$1:$I$89,3,0)*0.475*44/12</f>
        <v>11.628554958068962</v>
      </c>
      <c r="HI131" s="21">
        <f>EXP(-LN(2)/2)*HI130+(1-EXP(-LN(2)/2))/(LN(2)/2)*HC131*HF131*VLOOKUP('Données projet'!$B$18,Paramètres!$A$1:$I$89,3,0)*0.475*44/12</f>
        <v>6.0696291559671483E-5</v>
      </c>
      <c r="HJ131" s="22">
        <f t="shared" si="84"/>
        <v>75.625359806008248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109.40800000000057</v>
      </c>
      <c r="AK132" s="13">
        <f t="shared" si="89"/>
        <v>29.191460979261141</v>
      </c>
      <c r="AL132" s="20">
        <f t="shared" ref="AL132:AL153" si="112">(AJ132+AK132)*0.475*44/12</f>
        <v>241.39406120554747</v>
      </c>
      <c r="AM132" s="59">
        <f t="shared" ref="AM132:AM195" si="113">AL132+(AD132+AE132)*44/12</f>
        <v>534.72739453888084</v>
      </c>
      <c r="AN132" s="59">
        <f ca="1">AVERAGE(OFFSET($AM$3,0,0,'Données projet'!$E$10+1,1))-AVERAGE(OFFSET($H$3,0,0,'Données projet'!$E$10+1,1))</f>
        <v>425.47148407510412</v>
      </c>
      <c r="AO132" s="59">
        <f t="shared" si="90"/>
        <v>308.54448799922471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149.30666507227343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149.30666507227343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212.00000000000009</v>
      </c>
      <c r="BE132" s="13">
        <f>BD132*VLOOKUP('Données projet'!$B$11,Paramètres!$A$1:$I$89,3,0)*VLOOKUP('Données projet'!$B$11,Paramètres!$A$1:$I$89,5,0)</f>
        <v>185.20320000000009</v>
      </c>
      <c r="BF132" s="13">
        <f t="shared" si="91"/>
        <v>46.477875402099386</v>
      </c>
      <c r="BG132" s="20">
        <f t="shared" ref="BG132:BG153" si="115">(BE132+BF132)*0.475*44/12</f>
        <v>403.5112063253232</v>
      </c>
      <c r="BH132" s="59">
        <f t="shared" ref="BH132:BH195" si="116">BG132+(AY132+AZ132)*44/12</f>
        <v>696.84453965865646</v>
      </c>
      <c r="BI132" s="59">
        <f ca="1">AVERAGE(OFFSET($BH$3,0,0,'Données projet'!$E$11+1,1))-AVERAGE(OFFSET($H$3,0,0,'Données projet'!$E$11+1,1))</f>
        <v>300.63505444445104</v>
      </c>
      <c r="BJ132" s="59">
        <f t="shared" si="92"/>
        <v>266.32508105927997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8.4094433684840784</v>
      </c>
      <c r="BQ132" s="21">
        <f>EXP(-LN(2)/25)*BQ131+(1-EXP(-LN(2)/25))/(LN(2)/25)*Calculateur!BL132*Calculateur!BN132*VLOOKUP('Données projet'!$B$11,Paramètres!$A$1:$I$89,3,0)*0.475*44/12</f>
        <v>6.259413393281628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14.668856761765706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5.2446581196581219</v>
      </c>
      <c r="BY132" s="12">
        <f>IF('Données projet'!$A$114&gt;35,BY131+BX132-CG131,IF(A132&lt;'Données projet'!$A$114,$BV$205^A132,IF(A132='Données projet'!$A$114,'Données projet'!$B$114,BY131+BX132-CG131)))</f>
        <v>251.11324786324738</v>
      </c>
      <c r="BZ132" s="13">
        <f>BY132*VLOOKUP('Données projet'!$B$12,Paramètres!$A$1:$I$89,3,0)*VLOOKUP('Données projet'!$B$12,Paramètres!$A$1:$I$89,5,0)</f>
        <v>238.95936666666623</v>
      </c>
      <c r="CA132" s="13">
        <f t="shared" si="93"/>
        <v>58.215576558543134</v>
      </c>
      <c r="CB132" s="20">
        <f t="shared" ref="CB132:CB153" si="118">(BZ132+CA132)*0.475*44/12</f>
        <v>517.57969278390635</v>
      </c>
      <c r="CC132" s="59">
        <f t="shared" ref="CC132:CC195" si="119">CB132+(BT132+BU132)*44/12</f>
        <v>810.91302611723972</v>
      </c>
      <c r="CD132" s="59">
        <f ca="1">AVERAGE(OFFSET($CC$3,0,0,'Données projet'!$E$12+1,1))-AVERAGE(OFFSET($H$3,0,0,'Données projet'!$E$12+1,1))</f>
        <v>361.26385625423757</v>
      </c>
      <c r="CE132" s="59">
        <f t="shared" si="94"/>
        <v>222.05197404028576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41.439246059322357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41.439246059322357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247.00000000000017</v>
      </c>
      <c r="CU132" s="17">
        <f>CT132*VLOOKUP('Données projet'!$B$13,Paramètres!$A$1:$I$89,3,0)*VLOOKUP('Données projet'!$B$13,Paramètres!$A$1:$I$89,5,0)</f>
        <v>223.48560000000012</v>
      </c>
      <c r="CV132" s="13">
        <f t="shared" si="95"/>
        <v>54.87176918107798</v>
      </c>
      <c r="CW132" s="20">
        <f t="shared" ref="CW132:CW153" si="121">(CU132+CV132)*0.475*44/12</f>
        <v>484.80575132371092</v>
      </c>
      <c r="CX132" s="59">
        <f t="shared" ref="CX132:CX195" si="122">CW132+(CO132+CP132)*44/12</f>
        <v>778.13908465704424</v>
      </c>
      <c r="CY132" s="59">
        <f ca="1">AVERAGE(OFFSET($CX$3,0,0,'Données projet'!$E$13+1,1))-AVERAGE(OFFSET($H$3,0,0,'Données projet'!$E$13+1,1))</f>
        <v>302.6937347295995</v>
      </c>
      <c r="CZ132" s="59">
        <f t="shared" si="96"/>
        <v>423.44006663873375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8.527863229463116E-2</v>
      </c>
      <c r="DG132" s="21">
        <f>EXP(-LN(2)/25)*DG131+(1-EXP(-LN(2)/25))/(LN(2)/25)*Calculateur!DB132*Calculateur!DD132*VLOOKUP('Données projet'!$B$13,Paramètres!$A$1:$I$89,3,0)*0.475*44/12</f>
        <v>0.27561338333551771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0.36089201563014889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242.87673333333288</v>
      </c>
      <c r="DQ132" s="13">
        <f t="shared" si="97"/>
        <v>59.058043806802971</v>
      </c>
      <c r="DR132" s="20">
        <f t="shared" ref="DR132:DR153" si="124">(DP132+DQ132)*0.475*44/12</f>
        <v>525.86973685240321</v>
      </c>
      <c r="DS132" s="59">
        <f t="shared" ref="DS132:DS195" si="125">DR132+(DJ132+DK132)*44/12</f>
        <v>819.20307018573658</v>
      </c>
      <c r="DT132" s="59">
        <f ca="1">AVERAGE(OFFSET($DS$3,0,0,'Données projet'!$E$14+1,1))-AVERAGE(OFFSET($H$3,0,0,'Données projet'!$E$14+1,1))</f>
        <v>366.51581861366333</v>
      </c>
      <c r="DU132" s="59">
        <f t="shared" si="98"/>
        <v>225.01415116995503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42.118577961934207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42.118577961934207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328.00000000000017</v>
      </c>
      <c r="EK132" s="17">
        <f>EJ132*VLOOKUP('Données projet'!$B$15,Paramètres!$A$1:$I$89,3,0)*VLOOKUP('Données projet'!$B$15,Paramètres!$A$1:$I$89,5,0)</f>
        <v>255.84000000000015</v>
      </c>
      <c r="EL132" s="13">
        <f t="shared" si="99"/>
        <v>61.834803371075886</v>
      </c>
      <c r="EM132" s="20">
        <f t="shared" ref="EM132:EM153" si="127">(EK132+EL132)*0.475*44/12</f>
        <v>553.28361587129086</v>
      </c>
      <c r="EN132" s="59">
        <f t="shared" ref="EN132:EN195" si="128">EM132+(EE132+EF132)*44/12</f>
        <v>846.61694920462423</v>
      </c>
      <c r="EO132" s="59">
        <f ca="1">AVERAGE(OFFSET($EN$3,0,0,'Données projet'!$E$15+1,1))-AVERAGE(OFFSET($H$3,0,0,'Données projet'!$E$15+1,1))</f>
        <v>288.80569134263209</v>
      </c>
      <c r="EP132" s="59">
        <f t="shared" si="100"/>
        <v>283.48738729114024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6.1945956641718594</v>
      </c>
      <c r="EW132" s="21">
        <f>EXP(-LN(2)/25)*EW131+(1-EXP(-LN(2)/25))/(LN(2)/25)*Calculateur!ER132*Calculateur!ET132*VLOOKUP('Données projet'!$B$15,Paramètres!$A$1:$I$89,3,0)*0.475*44/12</f>
        <v>3.7429536490036477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9.9375493131755075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-1.0197709343628959E-13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323.17232038705157</v>
      </c>
      <c r="FK132" s="59">
        <f t="shared" si="102"/>
        <v>402.34685738619197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38.363628283509172</v>
      </c>
      <c r="FR132" s="21">
        <f>EXP(-LN(2)/25)*FR131+(1-EXP(-LN(2)/25))/(LN(2)/25)*Calculateur!FM132*Calculateur!FO132*VLOOKUP('Données projet'!$B$16,Paramètres!$A$1:$I$89,3,0)*0.475*44/12</f>
        <v>5.8401009898938954</v>
      </c>
      <c r="FS132" s="21">
        <f>EXP(-LN(2)/2)*FS131+(1-EXP(-LN(2)/2))/(LN(2)/2)*FM132*FP132*VLOOKUP('Données projet'!$B$16,Paramètres!$A$1:$I$89,3,0)*0.475*44/12</f>
        <v>4.1577177612343354E-10</v>
      </c>
      <c r="FT132" s="22">
        <f t="shared" ref="FT132:FT153" si="132">SUM(FQ132:FS132)</f>
        <v>44.203729273818844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328.00000000000017</v>
      </c>
      <c r="GA132" s="17">
        <f>FZ132*VLOOKUP('Données projet'!$B$17,Paramètres!$A$1:$I$89,3,0)*VLOOKUP('Données projet'!$B$17,Paramètres!$A$1:$I$89,5,0)</f>
        <v>266.07360000000017</v>
      </c>
      <c r="GB132" s="13">
        <f t="shared" si="103"/>
        <v>64.015279012301136</v>
      </c>
      <c r="GC132" s="20">
        <f t="shared" ref="GC132:GC153" si="133">(GA132+GB132)*0.475*44/12</f>
        <v>574.90479761309132</v>
      </c>
      <c r="GD132" s="59">
        <f t="shared" ref="GD132:GD195" si="134">GC132+(FU132+FV132)*44/12</f>
        <v>868.23813094642469</v>
      </c>
      <c r="GE132" s="59">
        <f ca="1">AVERAGE(OFFSET($GD$3,0,0,'Données projet'!$E$17+1,1))-AVERAGE(OFFSET($H$3,0,0,'Données projet'!$E$17+1,1))</f>
        <v>298.96480270023716</v>
      </c>
      <c r="GF132" s="59">
        <f t="shared" si="104"/>
        <v>293.11447542333889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7.9406072792826281</v>
      </c>
      <c r="GM132" s="21">
        <f>EXP(-LN(2)/25)*GM131+(1-EXP(-LN(2)/25))/(LN(2)/25)*Calculateur!GH132*Calculateur!GJ132*VLOOKUP('Données projet'!$B$17,Paramètres!$A$1:$I$89,3,0)*0.475*44/12</f>
        <v>4.7979443054204882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12.738551584703117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-1.4210854715202004E-13</v>
      </c>
      <c r="GV132" s="17">
        <f>GU132*VLOOKUP('Données projet'!$B$18,Paramètres!$A$1:$I$89,3,0)*VLOOKUP('Données projet'!$B$18,Paramètres!$A$1:$I$89,5,0)</f>
        <v>-8.128608897095547E-14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320.76883487964511</v>
      </c>
      <c r="HA132" s="59">
        <f t="shared" si="106"/>
        <v>290.51177680335746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62.741807032993542</v>
      </c>
      <c r="HH132" s="21">
        <f>EXP(-LN(2)/25)*HH131+(1-EXP(-LN(2)/25))/(LN(2)/25)*Calculateur!HC132*Calculateur!HE132*VLOOKUP('Données projet'!$B$18,Paramètres!$A$1:$I$89,3,0)*0.475*44/12</f>
        <v>11.310571511221438</v>
      </c>
      <c r="HI132" s="21">
        <f>EXP(-LN(2)/2)*HI131+(1-EXP(-LN(2)/2))/(LN(2)/2)*HC132*HF132*VLOOKUP('Données projet'!$B$18,Paramètres!$A$1:$I$89,3,0)*0.475*44/12</f>
        <v>4.2918759354719517E-5</v>
      </c>
      <c r="HJ132" s="22">
        <f t="shared" ref="HJ132:HJ153" si="138">SUM(HG132:HI132)</f>
        <v>74.052421462974323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110.93550000000057</v>
      </c>
      <c r="AK133" s="13">
        <f t="shared" ref="AK133:AK153" si="143">EXP(-1.0587+0.8836*LN(AJ133)+0.284)</f>
        <v>29.551286917234709</v>
      </c>
      <c r="AL133" s="20">
        <f t="shared" si="112"/>
        <v>244.6811538808515</v>
      </c>
      <c r="AM133" s="59">
        <f t="shared" si="113"/>
        <v>538.01448721418478</v>
      </c>
      <c r="AN133" s="59">
        <f ca="1">AVERAGE(OFFSET($AM$3,0,0,'Données projet'!$E$10+1,1))-AVERAGE(OFFSET($H$3,0,0,'Données projet'!$E$10+1,1))</f>
        <v>425.47148407510412</v>
      </c>
      <c r="AO133" s="59">
        <f t="shared" ref="AO133:AO196" si="144">$AO$3</f>
        <v>308.54448799922471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146.37885243827961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146.37885243827961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212.00000000000009</v>
      </c>
      <c r="BE133" s="13">
        <f>BD133*VLOOKUP('Données projet'!$B$11,Paramètres!$A$1:$I$89,3,0)*VLOOKUP('Données projet'!$B$11,Paramètres!$A$1:$I$89,5,0)</f>
        <v>185.20320000000009</v>
      </c>
      <c r="BF133" s="13">
        <f t="shared" ref="BF133:BF153" si="145">EXP(-1.0587+0.8836*LN(BE133)+0.284)</f>
        <v>46.477875402099386</v>
      </c>
      <c r="BG133" s="20">
        <f t="shared" si="115"/>
        <v>403.5112063253232</v>
      </c>
      <c r="BH133" s="59">
        <f t="shared" si="116"/>
        <v>696.84453965865646</v>
      </c>
      <c r="BI133" s="59">
        <f ca="1">AVERAGE(OFFSET($BH$3,0,0,'Données projet'!$E$11+1,1))-AVERAGE(OFFSET($H$3,0,0,'Données projet'!$E$11+1,1))</f>
        <v>300.63505444445104</v>
      </c>
      <c r="BJ133" s="59">
        <f t="shared" ref="BJ133:BJ196" si="146">$BJ$3</f>
        <v>266.32508105927997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8.2445393132820879</v>
      </c>
      <c r="BQ133" s="21">
        <f>EXP(-LN(2)/25)*BQ132+(1-EXP(-LN(2)/25))/(LN(2)/25)*Calculateur!BL133*Calculateur!BN133*VLOOKUP('Données projet'!$B$11,Paramètres!$A$1:$I$89,3,0)*0.475*44/12</f>
        <v>6.088249404874098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14.332788718156186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5.2446581196581219</v>
      </c>
      <c r="BY133" s="12">
        <f>IF('Données projet'!$A$114&gt;35,BY132+BX133-CG132,IF(A133&lt;'Données projet'!$A$114,$BV$205^A133,IF(A133='Données projet'!$A$114,'Données projet'!$B$114,BY132+BX133-CG132)))</f>
        <v>256.35790598290549</v>
      </c>
      <c r="BZ133" s="13">
        <f>BY133*VLOOKUP('Données projet'!$B$12,Paramètres!$A$1:$I$89,3,0)*VLOOKUP('Données projet'!$B$12,Paramètres!$A$1:$I$89,5,0)</f>
        <v>243.95018333333286</v>
      </c>
      <c r="CA133" s="13">
        <f t="shared" ref="CA133:CA153" si="147">EXP(-1.0587+0.8836*LN(BZ133)+0.284)</f>
        <v>59.288622475973931</v>
      </c>
      <c r="CB133" s="20">
        <f t="shared" si="118"/>
        <v>528.14092011787591</v>
      </c>
      <c r="CC133" s="59">
        <f t="shared" si="119"/>
        <v>821.47425345120928</v>
      </c>
      <c r="CD133" s="59">
        <f ca="1">AVERAGE(OFFSET($CC$3,0,0,'Données projet'!$E$12+1,1))-AVERAGE(OFFSET($H$3,0,0,'Données projet'!$E$12+1,1))</f>
        <v>361.26385625423757</v>
      </c>
      <c r="CE133" s="59">
        <f t="shared" ref="CE133:CE196" si="148">$CE$3</f>
        <v>222.05197404028576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40.626647719543399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40.626647719543399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247.00000000000017</v>
      </c>
      <c r="CU133" s="17">
        <f>CT133*VLOOKUP('Données projet'!$B$13,Paramètres!$A$1:$I$89,3,0)*VLOOKUP('Données projet'!$B$13,Paramètres!$A$1:$I$89,5,0)</f>
        <v>223.48560000000012</v>
      </c>
      <c r="CV133" s="13">
        <f t="shared" ref="CV133:CV153" si="149">EXP(-1.0587+0.8836*LN(CU133)+0.284)</f>
        <v>54.87176918107798</v>
      </c>
      <c r="CW133" s="20">
        <f t="shared" si="121"/>
        <v>484.80575132371092</v>
      </c>
      <c r="CX133" s="59">
        <f t="shared" si="122"/>
        <v>778.13908465704424</v>
      </c>
      <c r="CY133" s="59">
        <f ca="1">AVERAGE(OFFSET($CX$3,0,0,'Données projet'!$E$13+1,1))-AVERAGE(OFFSET($H$3,0,0,'Données projet'!$E$13+1,1))</f>
        <v>302.6937347295995</v>
      </c>
      <c r="CZ133" s="59">
        <f t="shared" ref="CZ133:CZ196" si="150">$CZ$3</f>
        <v>423.44006663873375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8.3606370330163104E-2</v>
      </c>
      <c r="DG133" s="21">
        <f>EXP(-LN(2)/25)*DG132+(1-EXP(-LN(2)/25))/(LN(2)/25)*Calculateur!DB133*Calculateur!DD133*VLOOKUP('Données projet'!$B$13,Paramètres!$A$1:$I$89,3,0)*0.475*44/12</f>
        <v>0.2680767208743301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0.3516830912044932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247.94936666666621</v>
      </c>
      <c r="DQ133" s="13">
        <f t="shared" ref="DQ133:DQ153" si="151">EXP(-1.0587+0.8836*LN(DP133)+0.284)</f>
        <v>60.14661831803555</v>
      </c>
      <c r="DR133" s="20">
        <f t="shared" si="124"/>
        <v>536.60050718168884</v>
      </c>
      <c r="DS133" s="59">
        <f t="shared" si="125"/>
        <v>829.93384051502221</v>
      </c>
      <c r="DT133" s="59">
        <f ca="1">AVERAGE(OFFSET($DS$3,0,0,'Données projet'!$E$14+1,1))-AVERAGE(OFFSET($H$3,0,0,'Données projet'!$E$14+1,1))</f>
        <v>366.51581861366333</v>
      </c>
      <c r="DU133" s="59">
        <f t="shared" ref="DU133:DU196" si="152">$DU$3</f>
        <v>225.01415116995503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41.292658337896576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41.292658337896576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328.00000000000017</v>
      </c>
      <c r="EK133" s="17">
        <f>EJ133*VLOOKUP('Données projet'!$B$15,Paramètres!$A$1:$I$89,3,0)*VLOOKUP('Données projet'!$B$15,Paramètres!$A$1:$I$89,5,0)</f>
        <v>255.84000000000015</v>
      </c>
      <c r="EL133" s="13">
        <f t="shared" ref="EL133:EL153" si="153">EXP(-1.0587+0.8836*LN(EK133)+0.284)</f>
        <v>61.834803371075886</v>
      </c>
      <c r="EM133" s="20">
        <f t="shared" si="127"/>
        <v>553.28361587129086</v>
      </c>
      <c r="EN133" s="59">
        <f t="shared" si="128"/>
        <v>846.61694920462423</v>
      </c>
      <c r="EO133" s="59">
        <f ca="1">AVERAGE(OFFSET($EN$3,0,0,'Données projet'!$E$15+1,1))-AVERAGE(OFFSET($H$3,0,0,'Données projet'!$E$15+1,1))</f>
        <v>288.80569134263209</v>
      </c>
      <c r="EP133" s="59">
        <f t="shared" ref="EP133:EP196" si="154">$EP$3</f>
        <v>283.48738729114024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6.0731234215277254</v>
      </c>
      <c r="EW133" s="21">
        <f>EXP(-LN(2)/25)*EW132+(1-EXP(-LN(2)/25))/(LN(2)/25)*Calculateur!ER133*Calculateur!ET133*VLOOKUP('Données projet'!$B$15,Paramètres!$A$1:$I$89,3,0)*0.475*44/12</f>
        <v>3.6406023846382651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9.713725806165991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-1.0197709343628959E-13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323.17232038705157</v>
      </c>
      <c r="FK133" s="59">
        <f t="shared" ref="FK133:FK196" si="156">$FK$3</f>
        <v>402.34685738619197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37.6113409323723</v>
      </c>
      <c r="FR133" s="21">
        <f>EXP(-LN(2)/25)*FR132+(1-EXP(-LN(2)/25))/(LN(2)/25)*Calculateur!FM133*Calculateur!FO133*VLOOKUP('Données projet'!$B$16,Paramètres!$A$1:$I$89,3,0)*0.475*44/12</f>
        <v>5.6804031212076831</v>
      </c>
      <c r="FS133" s="21">
        <f>EXP(-LN(2)/2)*FS132+(1-EXP(-LN(2)/2))/(LN(2)/2)*FM133*FP133*VLOOKUP('Données projet'!$B$16,Paramètres!$A$1:$I$89,3,0)*0.475*44/12</f>
        <v>2.9399504232285494E-10</v>
      </c>
      <c r="FT133" s="22">
        <f t="shared" si="132"/>
        <v>43.291744053873977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328.00000000000017</v>
      </c>
      <c r="GA133" s="17">
        <f>FZ133*VLOOKUP('Données projet'!$B$17,Paramètres!$A$1:$I$89,3,0)*VLOOKUP('Données projet'!$B$17,Paramètres!$A$1:$I$89,5,0)</f>
        <v>266.07360000000017</v>
      </c>
      <c r="GB133" s="13">
        <f t="shared" ref="GB133:GB153" si="157">EXP(-1.0587+0.8836*LN(GA133)+0.284)</f>
        <v>64.015279012301136</v>
      </c>
      <c r="GC133" s="20">
        <f t="shared" si="133"/>
        <v>574.90479761309132</v>
      </c>
      <c r="GD133" s="59">
        <f t="shared" si="134"/>
        <v>868.23813094642469</v>
      </c>
      <c r="GE133" s="59">
        <f ca="1">AVERAGE(OFFSET($GD$3,0,0,'Données projet'!$E$17+1,1))-AVERAGE(OFFSET($H$3,0,0,'Données projet'!$E$17+1,1))</f>
        <v>298.96480270023716</v>
      </c>
      <c r="GF133" s="59">
        <f t="shared" ref="GF133:GF196" si="158">$GF$3</f>
        <v>293.11447542333889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7.7848968138281007</v>
      </c>
      <c r="GM133" s="21">
        <f>EXP(-LN(2)/25)*GM132+(1-EXP(-LN(2)/25))/(LN(2)/25)*Calculateur!GH133*Calculateur!GJ133*VLOOKUP('Données projet'!$B$17,Paramètres!$A$1:$I$89,3,0)*0.475*44/12</f>
        <v>4.66674426607584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12.45164107990394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-1.4210854715202004E-13</v>
      </c>
      <c r="GV133" s="17">
        <f>GU133*VLOOKUP('Données projet'!$B$18,Paramètres!$A$1:$I$89,3,0)*VLOOKUP('Données projet'!$B$18,Paramètres!$A$1:$I$89,5,0)</f>
        <v>-8.128608897095547E-14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320.76883487964511</v>
      </c>
      <c r="HA133" s="59">
        <f t="shared" ref="HA133:HA196" si="160">$HA$3</f>
        <v>290.51177680335746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61.511478465800103</v>
      </c>
      <c r="HH133" s="21">
        <f>EXP(-LN(2)/25)*HH132+(1-EXP(-LN(2)/25))/(LN(2)/25)*Calculateur!HC133*Calculateur!HE133*VLOOKUP('Données projet'!$B$18,Paramètres!$A$1:$I$89,3,0)*0.475*44/12</f>
        <v>11.001283338449984</v>
      </c>
      <c r="HI133" s="21">
        <f>EXP(-LN(2)/2)*HI132+(1-EXP(-LN(2)/2))/(LN(2)/2)*HC133*HF133*VLOOKUP('Données projet'!$B$18,Paramètres!$A$1:$I$89,3,0)*0.475*44/12</f>
        <v>3.0348145779835745E-5</v>
      </c>
      <c r="HJ133" s="22">
        <f t="shared" si="138"/>
        <v>72.512792152395875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112.46300000000058</v>
      </c>
      <c r="AK134" s="13">
        <f t="shared" si="143"/>
        <v>29.910536589672557</v>
      </c>
      <c r="AL134" s="20">
        <f t="shared" si="112"/>
        <v>247.96724289368069</v>
      </c>
      <c r="AM134" s="59">
        <f t="shared" si="113"/>
        <v>541.30057622701406</v>
      </c>
      <c r="AN134" s="59">
        <f ca="1">AVERAGE(OFFSET($AM$3,0,0,'Données projet'!$E$10+1,1))-AVERAGE(OFFSET($H$3,0,0,'Données projet'!$E$10+1,1))</f>
        <v>425.47148407510412</v>
      </c>
      <c r="AO134" s="59">
        <f t="shared" si="144"/>
        <v>308.54448799922471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191.62203984280035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191.62203984280035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212.00000000000009</v>
      </c>
      <c r="BE134" s="13">
        <f>BD134*VLOOKUP('Données projet'!$B$11,Paramètres!$A$1:$I$89,3,0)*VLOOKUP('Données projet'!$B$11,Paramètres!$A$1:$I$89,5,0)</f>
        <v>185.20320000000009</v>
      </c>
      <c r="BF134" s="13">
        <f t="shared" si="145"/>
        <v>46.477875402099386</v>
      </c>
      <c r="BG134" s="20">
        <f t="shared" si="115"/>
        <v>403.5112063253232</v>
      </c>
      <c r="BH134" s="59">
        <f t="shared" si="116"/>
        <v>696.84453965865646</v>
      </c>
      <c r="BI134" s="59">
        <f ca="1">AVERAGE(OFFSET($BH$3,0,0,'Données projet'!$E$11+1,1))-AVERAGE(OFFSET($H$3,0,0,'Données projet'!$E$11+1,1))</f>
        <v>300.63505444445104</v>
      </c>
      <c r="BJ134" s="59">
        <f t="shared" si="146"/>
        <v>266.32508105927997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8.0828689260210673</v>
      </c>
      <c r="BQ134" s="21">
        <f>EXP(-LN(2)/25)*BQ133+(1-EXP(-LN(2)/25))/(LN(2)/25)*Calculateur!BL134*Calculateur!BN134*VLOOKUP('Données projet'!$B$11,Paramètres!$A$1:$I$89,3,0)*0.475*44/12</f>
        <v>5.9217659047306945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14.004634830751762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5.2446581196581219</v>
      </c>
      <c r="BY134" s="12">
        <f>IF('Données projet'!$A$114&gt;35,BY133+BX134-CG133,IF(A134&lt;'Données projet'!$A$114,$BV$205^A134,IF(A134='Données projet'!$A$114,'Données projet'!$B$114,BY133+BX134-CG133)))</f>
        <v>261.60256410256363</v>
      </c>
      <c r="BZ134" s="13">
        <f>BY134*VLOOKUP('Données projet'!$B$12,Paramètres!$A$1:$I$89,3,0)*VLOOKUP('Données projet'!$B$12,Paramètres!$A$1:$I$89,5,0)</f>
        <v>248.94099999999958</v>
      </c>
      <c r="CA134" s="13">
        <f t="shared" si="147"/>
        <v>60.359115946139042</v>
      </c>
      <c r="CB134" s="20">
        <f t="shared" si="118"/>
        <v>538.69770193952468</v>
      </c>
      <c r="CC134" s="59">
        <f t="shared" si="119"/>
        <v>832.03103527285793</v>
      </c>
      <c r="CD134" s="59">
        <f ca="1">AVERAGE(OFFSET($CC$3,0,0,'Données projet'!$E$12+1,1))-AVERAGE(OFFSET($H$3,0,0,'Données projet'!$E$12+1,1))</f>
        <v>361.26385625423757</v>
      </c>
      <c r="CE134" s="59">
        <f t="shared" si="148"/>
        <v>222.05197404028576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39.829983937571463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39.829983937571463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247.00000000000017</v>
      </c>
      <c r="CU134" s="17">
        <f>CT134*VLOOKUP('Données projet'!$B$13,Paramètres!$A$1:$I$89,3,0)*VLOOKUP('Données projet'!$B$13,Paramètres!$A$1:$I$89,5,0)</f>
        <v>223.48560000000012</v>
      </c>
      <c r="CV134" s="13">
        <f t="shared" si="149"/>
        <v>54.87176918107798</v>
      </c>
      <c r="CW134" s="20">
        <f t="shared" si="121"/>
        <v>484.80575132371092</v>
      </c>
      <c r="CX134" s="59">
        <f t="shared" si="122"/>
        <v>778.13908465704424</v>
      </c>
      <c r="CY134" s="59">
        <f ca="1">AVERAGE(OFFSET($CX$3,0,0,'Données projet'!$E$13+1,1))-AVERAGE(OFFSET($H$3,0,0,'Données projet'!$E$13+1,1))</f>
        <v>302.6937347295995</v>
      </c>
      <c r="CZ134" s="59">
        <f t="shared" si="150"/>
        <v>423.44006663873375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8.1966900402839188E-2</v>
      </c>
      <c r="DG134" s="21">
        <f>EXP(-LN(2)/25)*DG133+(1-EXP(-LN(2)/25))/(LN(2)/25)*Calculateur!DB134*Calculateur!DD134*VLOOKUP('Données projet'!$B$13,Paramètres!$A$1:$I$89,3,0)*0.475*44/12</f>
        <v>0.2607461488444795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0.34271304924731871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253.02199999999957</v>
      </c>
      <c r="DQ134" s="13">
        <f t="shared" si="151"/>
        <v>61.232603444238507</v>
      </c>
      <c r="DR134" s="20">
        <f t="shared" si="124"/>
        <v>547.32676766538123</v>
      </c>
      <c r="DS134" s="59">
        <f t="shared" si="125"/>
        <v>840.6601009987146</v>
      </c>
      <c r="DT134" s="59">
        <f ca="1">AVERAGE(OFFSET($DS$3,0,0,'Données projet'!$E$14+1,1))-AVERAGE(OFFSET($H$3,0,0,'Données projet'!$E$14+1,1))</f>
        <v>366.51581861366333</v>
      </c>
      <c r="DU134" s="59">
        <f t="shared" si="152"/>
        <v>225.01415116995503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40.482934493925093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40.482934493925093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328.00000000000017</v>
      </c>
      <c r="EK134" s="17">
        <f>EJ134*VLOOKUP('Données projet'!$B$15,Paramètres!$A$1:$I$89,3,0)*VLOOKUP('Données projet'!$B$15,Paramètres!$A$1:$I$89,5,0)</f>
        <v>255.84000000000015</v>
      </c>
      <c r="EL134" s="13">
        <f t="shared" si="153"/>
        <v>61.834803371075886</v>
      </c>
      <c r="EM134" s="20">
        <f t="shared" si="127"/>
        <v>553.28361587129086</v>
      </c>
      <c r="EN134" s="59">
        <f t="shared" si="128"/>
        <v>846.61694920462423</v>
      </c>
      <c r="EO134" s="59">
        <f ca="1">AVERAGE(OFFSET($EN$3,0,0,'Données projet'!$E$15+1,1))-AVERAGE(OFFSET($H$3,0,0,'Données projet'!$E$15+1,1))</f>
        <v>288.80569134263209</v>
      </c>
      <c r="EP134" s="59">
        <f t="shared" si="154"/>
        <v>283.48738729114024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5.9540331754710909</v>
      </c>
      <c r="EW134" s="21">
        <f>EXP(-LN(2)/25)*EW133+(1-EXP(-LN(2)/25))/(LN(2)/25)*Calculateur!ER134*Calculateur!ET134*VLOOKUP('Données projet'!$B$15,Paramètres!$A$1:$I$89,3,0)*0.475*44/12</f>
        <v>3.5410499209793729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9.4950830964504647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-1.0197709343628959E-13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323.17232038705157</v>
      </c>
      <c r="FK134" s="59">
        <f t="shared" si="156"/>
        <v>402.34685738619197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36.87380547734125</v>
      </c>
      <c r="FR134" s="21">
        <f>EXP(-LN(2)/25)*FR133+(1-EXP(-LN(2)/25))/(LN(2)/25)*Calculateur!FM134*Calculateur!FO134*VLOOKUP('Données projet'!$B$16,Paramètres!$A$1:$I$89,3,0)*0.475*44/12</f>
        <v>5.5250721991388412</v>
      </c>
      <c r="FS134" s="21">
        <f>EXP(-LN(2)/2)*FS133+(1-EXP(-LN(2)/2))/(LN(2)/2)*FM134*FP134*VLOOKUP('Données projet'!$B$16,Paramètres!$A$1:$I$89,3,0)*0.475*44/12</f>
        <v>2.0788588806171677E-10</v>
      </c>
      <c r="FT134" s="22">
        <f t="shared" si="132"/>
        <v>42.398877676687974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328.00000000000017</v>
      </c>
      <c r="GA134" s="17">
        <f>FZ134*VLOOKUP('Données projet'!$B$17,Paramètres!$A$1:$I$89,3,0)*VLOOKUP('Données projet'!$B$17,Paramètres!$A$1:$I$89,5,0)</f>
        <v>266.07360000000017</v>
      </c>
      <c r="GB134" s="13">
        <f t="shared" si="157"/>
        <v>64.015279012301136</v>
      </c>
      <c r="GC134" s="20">
        <f t="shared" si="133"/>
        <v>574.90479761309132</v>
      </c>
      <c r="GD134" s="59">
        <f t="shared" si="134"/>
        <v>868.23813094642469</v>
      </c>
      <c r="GE134" s="59">
        <f ca="1">AVERAGE(OFFSET($GD$3,0,0,'Données projet'!$E$17+1,1))-AVERAGE(OFFSET($H$3,0,0,'Données projet'!$E$17+1,1))</f>
        <v>298.96480270023716</v>
      </c>
      <c r="GF134" s="59">
        <f t="shared" si="158"/>
        <v>293.11447542333889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7.632239735627131</v>
      </c>
      <c r="GM134" s="21">
        <f>EXP(-LN(2)/25)*GM133+(1-EXP(-LN(2)/25))/(LN(2)/25)*Calculateur!GH134*Calculateur!GJ134*VLOOKUP('Données projet'!$B$17,Paramètres!$A$1:$I$89,3,0)*0.475*44/12</f>
        <v>4.5391318987065814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12.171371634333713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-1.4210854715202004E-13</v>
      </c>
      <c r="GV134" s="17">
        <f>GU134*VLOOKUP('Données projet'!$B$18,Paramètres!$A$1:$I$89,3,0)*VLOOKUP('Données projet'!$B$18,Paramètres!$A$1:$I$89,5,0)</f>
        <v>-8.128608897095547E-14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320.76883487964511</v>
      </c>
      <c r="HA134" s="59">
        <f t="shared" si="160"/>
        <v>290.51177680335746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60.305275891383005</v>
      </c>
      <c r="HH134" s="21">
        <f>EXP(-LN(2)/25)*HH133+(1-EXP(-LN(2)/25))/(LN(2)/25)*Calculateur!HC134*Calculateur!HE134*VLOOKUP('Données projet'!$B$18,Paramètres!$A$1:$I$89,3,0)*0.475*44/12</f>
        <v>10.700452667027722</v>
      </c>
      <c r="HI134" s="21">
        <f>EXP(-LN(2)/2)*HI133+(1-EXP(-LN(2)/2))/(LN(2)/2)*HC134*HF134*VLOOKUP('Données projet'!$B$18,Paramètres!$A$1:$I$89,3,0)*0.475*44/12</f>
        <v>2.1459379677359762E-5</v>
      </c>
      <c r="HJ134" s="22">
        <f t="shared" si="138"/>
        <v>71.005750017790405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5.763922672485933E-13</v>
      </c>
      <c r="AK135" s="13">
        <f t="shared" si="143"/>
        <v>7.0619171555808457E-12</v>
      </c>
      <c r="AL135" s="20">
        <f t="shared" si="112"/>
        <v>1.3303388911427938E-11</v>
      </c>
      <c r="AM135" s="59">
        <f t="shared" si="113"/>
        <v>293.33333333334662</v>
      </c>
      <c r="AN135" s="59">
        <f ca="1">AVERAGE(OFFSET($AM$3,0,0,'Données projet'!$E$10+1,1))-AVERAGE(OFFSET($H$3,0,0,'Données projet'!$E$10+1,1))</f>
        <v>425.47148407510412</v>
      </c>
      <c r="AO135" s="59">
        <f t="shared" si="144"/>
        <v>308.54448799922471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187.8644485193866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187.8644485193866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212.00000000000009</v>
      </c>
      <c r="BE135" s="13">
        <f>BD135*VLOOKUP('Données projet'!$B$11,Paramètres!$A$1:$I$89,3,0)*VLOOKUP('Données projet'!$B$11,Paramètres!$A$1:$I$89,5,0)</f>
        <v>185.20320000000009</v>
      </c>
      <c r="BF135" s="13">
        <f t="shared" si="145"/>
        <v>46.477875402099386</v>
      </c>
      <c r="BG135" s="20">
        <f t="shared" si="115"/>
        <v>403.5112063253232</v>
      </c>
      <c r="BH135" s="59">
        <f t="shared" si="116"/>
        <v>696.84453965865646</v>
      </c>
      <c r="BI135" s="59">
        <f ca="1">AVERAGE(OFFSET($BH$3,0,0,'Données projet'!$E$11+1,1))-AVERAGE(OFFSET($H$3,0,0,'Données projet'!$E$11+1,1))</f>
        <v>300.63505444445104</v>
      </c>
      <c r="BJ135" s="59">
        <f t="shared" si="146"/>
        <v>266.32508105927997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7.9243687964450356</v>
      </c>
      <c r="BQ135" s="21">
        <f>EXP(-LN(2)/25)*BQ134+(1-EXP(-LN(2)/25))/(LN(2)/25)*Calculateur!BL135*Calculateur!BN135*VLOOKUP('Données projet'!$B$11,Paramètres!$A$1:$I$89,3,0)*0.475*44/12</f>
        <v>5.7598349046536992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13.684203701098735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5.2446581196581219</v>
      </c>
      <c r="BY135" s="12">
        <f>IF('Données projet'!$A$114&gt;35,BY134+BX135-CG134,IF(A135&lt;'Données projet'!$A$114,$BV$205^A135,IF(A135='Données projet'!$A$114,'Données projet'!$B$114,BY134+BX135-CG134)))</f>
        <v>266.84722222222177</v>
      </c>
      <c r="BZ135" s="13">
        <f>BY135*VLOOKUP('Données projet'!$B$12,Paramètres!$A$1:$I$89,3,0)*VLOOKUP('Données projet'!$B$12,Paramètres!$A$1:$I$89,5,0)</f>
        <v>253.93181666666626</v>
      </c>
      <c r="CA135" s="13">
        <f t="shared" si="147"/>
        <v>61.427114038513189</v>
      </c>
      <c r="CB135" s="20">
        <f t="shared" si="118"/>
        <v>549.25013764485414</v>
      </c>
      <c r="CC135" s="59">
        <f t="shared" si="119"/>
        <v>842.58347097818751</v>
      </c>
      <c r="CD135" s="59">
        <f ca="1">AVERAGE(OFFSET($CC$3,0,0,'Données projet'!$E$12+1,1))-AVERAGE(OFFSET($H$3,0,0,'Données projet'!$E$12+1,1))</f>
        <v>361.26385625423757</v>
      </c>
      <c r="CE135" s="59">
        <f t="shared" si="148"/>
        <v>222.05197404028576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39.048942246447062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39.048942246447062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247.00000000000017</v>
      </c>
      <c r="CU135" s="17">
        <f>CT135*VLOOKUP('Données projet'!$B$13,Paramètres!$A$1:$I$89,3,0)*VLOOKUP('Données projet'!$B$13,Paramètres!$A$1:$I$89,5,0)</f>
        <v>223.48560000000012</v>
      </c>
      <c r="CV135" s="13">
        <f t="shared" si="149"/>
        <v>54.87176918107798</v>
      </c>
      <c r="CW135" s="20">
        <f t="shared" si="121"/>
        <v>484.80575132371092</v>
      </c>
      <c r="CX135" s="59">
        <f t="shared" si="122"/>
        <v>778.13908465704424</v>
      </c>
      <c r="CY135" s="59">
        <f ca="1">AVERAGE(OFFSET($CX$3,0,0,'Données projet'!$E$13+1,1))-AVERAGE(OFFSET($H$3,0,0,'Données projet'!$E$13+1,1))</f>
        <v>302.6937347295995</v>
      </c>
      <c r="CZ135" s="59">
        <f t="shared" si="150"/>
        <v>423.44006663873375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8.0359579480812168E-2</v>
      </c>
      <c r="DG135" s="21">
        <f>EXP(-LN(2)/25)*DG134+(1-EXP(-LN(2)/25))/(LN(2)/25)*Calculateur!DB135*Calculateur!DD135*VLOOKUP('Données projet'!$B$13,Paramètres!$A$1:$I$89,3,0)*0.475*44/12</f>
        <v>0.25361603169228319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0.33397561117309538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258.09463333333292</v>
      </c>
      <c r="DQ135" s="13">
        <f t="shared" si="151"/>
        <v>62.316057080767997</v>
      </c>
      <c r="DR135" s="20">
        <f t="shared" si="124"/>
        <v>558.0486191378925</v>
      </c>
      <c r="DS135" s="59">
        <f t="shared" si="125"/>
        <v>851.38195247122576</v>
      </c>
      <c r="DT135" s="59">
        <f ca="1">AVERAGE(OFFSET($DS$3,0,0,'Données projet'!$E$14+1,1))-AVERAGE(OFFSET($H$3,0,0,'Données projet'!$E$14+1,1))</f>
        <v>366.51581861366333</v>
      </c>
      <c r="DU135" s="59">
        <f t="shared" si="152"/>
        <v>225.01415116995503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39.689088840651117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39.689088840651117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328.00000000000017</v>
      </c>
      <c r="EK135" s="17">
        <f>EJ135*VLOOKUP('Données projet'!$B$15,Paramètres!$A$1:$I$89,3,0)*VLOOKUP('Données projet'!$B$15,Paramètres!$A$1:$I$89,5,0)</f>
        <v>255.84000000000015</v>
      </c>
      <c r="EL135" s="13">
        <f t="shared" si="153"/>
        <v>61.834803371075886</v>
      </c>
      <c r="EM135" s="20">
        <f t="shared" si="127"/>
        <v>553.28361587129086</v>
      </c>
      <c r="EN135" s="59">
        <f t="shared" si="128"/>
        <v>846.61694920462423</v>
      </c>
      <c r="EO135" s="59">
        <f ca="1">AVERAGE(OFFSET($EN$3,0,0,'Données projet'!$E$15+1,1))-AVERAGE(OFFSET($H$3,0,0,'Données projet'!$E$15+1,1))</f>
        <v>288.80569134263209</v>
      </c>
      <c r="EP135" s="59">
        <f t="shared" si="154"/>
        <v>283.48738729114024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5.8372782165017494</v>
      </c>
      <c r="EW135" s="21">
        <f>EXP(-LN(2)/25)*EW134+(1-EXP(-LN(2)/25))/(LN(2)/25)*Calculateur!ER135*Calculateur!ET135*VLOOKUP('Données projet'!$B$15,Paramètres!$A$1:$I$89,3,0)*0.475*44/12</f>
        <v>3.4442197246744697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9.2814979411762195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-1.0197709343628959E-13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323.17232038705157</v>
      </c>
      <c r="FK135" s="59">
        <f t="shared" si="156"/>
        <v>402.34685738619197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36.15073264273115</v>
      </c>
      <c r="FR135" s="21">
        <f>EXP(-LN(2)/25)*FR134+(1-EXP(-LN(2)/25))/(LN(2)/25)*Calculateur!FM135*Calculateur!FO135*VLOOKUP('Données projet'!$B$16,Paramètres!$A$1:$I$89,3,0)*0.475*44/12</f>
        <v>5.3739888093024701</v>
      </c>
      <c r="FS135" s="21">
        <f>EXP(-LN(2)/2)*FS134+(1-EXP(-LN(2)/2))/(LN(2)/2)*FM135*FP135*VLOOKUP('Données projet'!$B$16,Paramètres!$A$1:$I$89,3,0)*0.475*44/12</f>
        <v>1.4699752116142747E-10</v>
      </c>
      <c r="FT135" s="22">
        <f t="shared" si="132"/>
        <v>41.524721452180614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328.00000000000017</v>
      </c>
      <c r="GA135" s="17">
        <f>FZ135*VLOOKUP('Données projet'!$B$17,Paramètres!$A$1:$I$89,3,0)*VLOOKUP('Données projet'!$B$17,Paramètres!$A$1:$I$89,5,0)</f>
        <v>266.07360000000017</v>
      </c>
      <c r="GB135" s="13">
        <f t="shared" si="157"/>
        <v>64.015279012301136</v>
      </c>
      <c r="GC135" s="20">
        <f t="shared" si="133"/>
        <v>574.90479761309132</v>
      </c>
      <c r="GD135" s="59">
        <f t="shared" si="134"/>
        <v>868.23813094642469</v>
      </c>
      <c r="GE135" s="59">
        <f ca="1">AVERAGE(OFFSET($GD$3,0,0,'Données projet'!$E$17+1,1))-AVERAGE(OFFSET($H$3,0,0,'Données projet'!$E$17+1,1))</f>
        <v>298.96480270023716</v>
      </c>
      <c r="GF135" s="59">
        <f t="shared" si="158"/>
        <v>293.11447542333889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7.4825761696180582</v>
      </c>
      <c r="GM135" s="21">
        <f>EXP(-LN(2)/25)*GM134+(1-EXP(-LN(2)/25))/(LN(2)/25)*Calculateur!GH135*Calculateur!GJ135*VLOOKUP('Données projet'!$B$17,Paramètres!$A$1:$I$89,3,0)*0.475*44/12</f>
        <v>4.4150090982338774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11.897585267851936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-1.4210854715202004E-13</v>
      </c>
      <c r="GV135" s="17">
        <f>GU135*VLOOKUP('Données projet'!$B$18,Paramètres!$A$1:$I$89,3,0)*VLOOKUP('Données projet'!$B$18,Paramètres!$A$1:$I$89,5,0)</f>
        <v>-8.128608897095547E-14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320.76883487964511</v>
      </c>
      <c r="HA135" s="59">
        <f t="shared" si="160"/>
        <v>290.51177680335746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59.122726213739298</v>
      </c>
      <c r="HH135" s="21">
        <f>EXP(-LN(2)/25)*HH134+(1-EXP(-LN(2)/25))/(LN(2)/25)*Calculateur!HC135*Calculateur!HE135*VLOOKUP('Données projet'!$B$18,Paramètres!$A$1:$I$89,3,0)*0.475*44/12</f>
        <v>10.407848226135499</v>
      </c>
      <c r="HI135" s="21">
        <f>EXP(-LN(2)/2)*HI134+(1-EXP(-LN(2)/2))/(LN(2)/2)*HC135*HF135*VLOOKUP('Données projet'!$B$18,Paramètres!$A$1:$I$89,3,0)*0.475*44/12</f>
        <v>1.5174072889917876E-5</v>
      </c>
      <c r="HJ135" s="22">
        <f t="shared" si="138"/>
        <v>69.530589613947683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5.763922672485933E-13</v>
      </c>
      <c r="AK136" s="13">
        <f t="shared" si="143"/>
        <v>7.0619171555808457E-12</v>
      </c>
      <c r="AL136" s="20">
        <f t="shared" si="112"/>
        <v>1.3303388911427938E-11</v>
      </c>
      <c r="AM136" s="59">
        <f t="shared" si="113"/>
        <v>293.33333333334662</v>
      </c>
      <c r="AN136" s="59">
        <f ca="1">AVERAGE(OFFSET($AM$3,0,0,'Données projet'!$E$10+1,1))-AVERAGE(OFFSET($H$3,0,0,'Données projet'!$E$10+1,1))</f>
        <v>425.47148407510412</v>
      </c>
      <c r="AO136" s="59">
        <f t="shared" si="144"/>
        <v>308.54448799922471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184.18054126992061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184.18054126992061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212.00000000000009</v>
      </c>
      <c r="BE136" s="13">
        <f>BD136*VLOOKUP('Données projet'!$B$11,Paramètres!$A$1:$I$89,3,0)*VLOOKUP('Données projet'!$B$11,Paramètres!$A$1:$I$89,5,0)</f>
        <v>185.20320000000009</v>
      </c>
      <c r="BF136" s="13">
        <f t="shared" si="145"/>
        <v>46.477875402099386</v>
      </c>
      <c r="BG136" s="20">
        <f t="shared" si="115"/>
        <v>403.5112063253232</v>
      </c>
      <c r="BH136" s="59">
        <f t="shared" si="116"/>
        <v>696.84453965865646</v>
      </c>
      <c r="BI136" s="59">
        <f ca="1">AVERAGE(OFFSET($BH$3,0,0,'Données projet'!$E$11+1,1))-AVERAGE(OFFSET($H$3,0,0,'Données projet'!$E$11+1,1))</f>
        <v>300.63505444445104</v>
      </c>
      <c r="BJ136" s="59">
        <f t="shared" si="146"/>
        <v>266.32508105927997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7.7689767577344568</v>
      </c>
      <c r="BQ136" s="21">
        <f>EXP(-LN(2)/25)*BQ135+(1-EXP(-LN(2)/25))/(LN(2)/25)*Calculateur!BL136*Calculateur!BN136*VLOOKUP('Données projet'!$B$11,Paramètres!$A$1:$I$89,3,0)*0.475*44/12</f>
        <v>5.6023319162893905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13.371308674023847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5.2446581196581219</v>
      </c>
      <c r="BY136" s="12">
        <f>IF('Données projet'!$A$114&gt;35,BY135+BX136-CG135,IF(A136&lt;'Données projet'!$A$114,$BV$205^A136,IF(A136='Données projet'!$A$114,'Données projet'!$B$114,BY135+BX136-CG135)))</f>
        <v>272.09188034187991</v>
      </c>
      <c r="BZ136" s="13">
        <f>BY136*VLOOKUP('Données projet'!$B$12,Paramètres!$A$1:$I$89,3,0)*VLOOKUP('Données projet'!$B$12,Paramètres!$A$1:$I$89,5,0)</f>
        <v>258.92263333333295</v>
      </c>
      <c r="CA136" s="13">
        <f t="shared" si="147"/>
        <v>62.492671450961254</v>
      </c>
      <c r="CB136" s="20">
        <f t="shared" si="118"/>
        <v>559.79832249931235</v>
      </c>
      <c r="CC136" s="59">
        <f t="shared" si="119"/>
        <v>853.13165583264572</v>
      </c>
      <c r="CD136" s="59">
        <f ca="1">AVERAGE(OFFSET($CC$3,0,0,'Données projet'!$E$12+1,1))-AVERAGE(OFFSET($H$3,0,0,'Données projet'!$E$12+1,1))</f>
        <v>361.26385625423757</v>
      </c>
      <c r="CE136" s="59">
        <f t="shared" si="148"/>
        <v>222.05197404028576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38.283216306497224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38.283216306497224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247.00000000000017</v>
      </c>
      <c r="CU136" s="17">
        <f>CT136*VLOOKUP('Données projet'!$B$13,Paramètres!$A$1:$I$89,3,0)*VLOOKUP('Données projet'!$B$13,Paramètres!$A$1:$I$89,5,0)</f>
        <v>223.48560000000012</v>
      </c>
      <c r="CV136" s="13">
        <f t="shared" si="149"/>
        <v>54.87176918107798</v>
      </c>
      <c r="CW136" s="20">
        <f t="shared" si="121"/>
        <v>484.80575132371092</v>
      </c>
      <c r="CX136" s="59">
        <f t="shared" si="122"/>
        <v>778.13908465704424</v>
      </c>
      <c r="CY136" s="59">
        <f ca="1">AVERAGE(OFFSET($CX$3,0,0,'Données projet'!$E$13+1,1))-AVERAGE(OFFSET($H$3,0,0,'Données projet'!$E$13+1,1))</f>
        <v>302.6937347295995</v>
      </c>
      <c r="CZ136" s="59">
        <f t="shared" si="150"/>
        <v>423.44006663873375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7.8783777141697139E-2</v>
      </c>
      <c r="DG136" s="21">
        <f>EXP(-LN(2)/25)*DG135+(1-EXP(-LN(2)/25))/(LN(2)/25)*Calculateur!DB136*Calculateur!DD136*VLOOKUP('Données projet'!$B$13,Paramètres!$A$1:$I$89,3,0)*0.475*44/12</f>
        <v>0.24668088796857024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0.32546466511026739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263.16726666666625</v>
      </c>
      <c r="DQ136" s="13">
        <f t="shared" si="151"/>
        <v>63.39703471704955</v>
      </c>
      <c r="DR136" s="20">
        <f t="shared" si="124"/>
        <v>568.76615824330497</v>
      </c>
      <c r="DS136" s="59">
        <f t="shared" si="125"/>
        <v>862.09949157663823</v>
      </c>
      <c r="DT136" s="59">
        <f ca="1">AVERAGE(OFFSET($DS$3,0,0,'Données projet'!$E$14+1,1))-AVERAGE(OFFSET($H$3,0,0,'Données projet'!$E$14+1,1))</f>
        <v>366.51581861366333</v>
      </c>
      <c r="DU136" s="59">
        <f t="shared" si="152"/>
        <v>225.01415116995503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38.910810016439804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38.910810016439804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328.00000000000017</v>
      </c>
      <c r="EK136" s="17">
        <f>EJ136*VLOOKUP('Données projet'!$B$15,Paramètres!$A$1:$I$89,3,0)*VLOOKUP('Données projet'!$B$15,Paramètres!$A$1:$I$89,5,0)</f>
        <v>255.84000000000015</v>
      </c>
      <c r="EL136" s="13">
        <f t="shared" si="153"/>
        <v>61.834803371075886</v>
      </c>
      <c r="EM136" s="20">
        <f t="shared" si="127"/>
        <v>553.28361587129086</v>
      </c>
      <c r="EN136" s="59">
        <f t="shared" si="128"/>
        <v>846.61694920462423</v>
      </c>
      <c r="EO136" s="59">
        <f ca="1">AVERAGE(OFFSET($EN$3,0,0,'Données projet'!$E$15+1,1))-AVERAGE(OFFSET($H$3,0,0,'Données projet'!$E$15+1,1))</f>
        <v>288.80569134263209</v>
      </c>
      <c r="EP136" s="59">
        <f t="shared" si="154"/>
        <v>283.48738729114024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5.7228127510643034</v>
      </c>
      <c r="EW136" s="21">
        <f>EXP(-LN(2)/25)*EW135+(1-EXP(-LN(2)/25))/(LN(2)/25)*Calculateur!ER136*Calculateur!ET136*VLOOKUP('Données projet'!$B$15,Paramètres!$A$1:$I$89,3,0)*0.475*44/12</f>
        <v>3.350037355179603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9.0728501062439069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-1.0197709343628959E-13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323.17232038705157</v>
      </c>
      <c r="FK136" s="59">
        <f t="shared" si="156"/>
        <v>402.34685738619197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35.44183882537687</v>
      </c>
      <c r="FR136" s="21">
        <f>EXP(-LN(2)/25)*FR135+(1-EXP(-LN(2)/25))/(LN(2)/25)*Calculateur!FM136*Calculateur!FO136*VLOOKUP('Données projet'!$B$16,Paramètres!$A$1:$I$89,3,0)*0.475*44/12</f>
        <v>5.227036802706305</v>
      </c>
      <c r="FS136" s="21">
        <f>EXP(-LN(2)/2)*FS135+(1-EXP(-LN(2)/2))/(LN(2)/2)*FM136*FP136*VLOOKUP('Données projet'!$B$16,Paramètres!$A$1:$I$89,3,0)*0.475*44/12</f>
        <v>1.0394294403085838E-10</v>
      </c>
      <c r="FT136" s="22">
        <f t="shared" si="132"/>
        <v>40.668875628187116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328.00000000000017</v>
      </c>
      <c r="GA136" s="17">
        <f>FZ136*VLOOKUP('Données projet'!$B$17,Paramètres!$A$1:$I$89,3,0)*VLOOKUP('Données projet'!$B$17,Paramètres!$A$1:$I$89,5,0)</f>
        <v>266.07360000000017</v>
      </c>
      <c r="GB136" s="13">
        <f t="shared" si="157"/>
        <v>64.015279012301136</v>
      </c>
      <c r="GC136" s="20">
        <f t="shared" si="133"/>
        <v>574.90479761309132</v>
      </c>
      <c r="GD136" s="59">
        <f t="shared" si="134"/>
        <v>868.23813094642469</v>
      </c>
      <c r="GE136" s="59">
        <f ca="1">AVERAGE(OFFSET($GD$3,0,0,'Données projet'!$E$17+1,1))-AVERAGE(OFFSET($H$3,0,0,'Données projet'!$E$17+1,1))</f>
        <v>298.96480270023716</v>
      </c>
      <c r="GF136" s="59">
        <f t="shared" si="158"/>
        <v>293.11447542333889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7.3358474148526618</v>
      </c>
      <c r="GM136" s="21">
        <f>EXP(-LN(2)/25)*GM135+(1-EXP(-LN(2)/25))/(LN(2)/25)*Calculateur!GH136*Calculateur!GJ136*VLOOKUP('Données projet'!$B$17,Paramètres!$A$1:$I$89,3,0)*0.475*44/12</f>
        <v>4.2942804422674339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11.630127857120096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-1.4210854715202004E-13</v>
      </c>
      <c r="GV136" s="17">
        <f>GU136*VLOOKUP('Données projet'!$B$18,Paramètres!$A$1:$I$89,3,0)*VLOOKUP('Données projet'!$B$18,Paramètres!$A$1:$I$89,5,0)</f>
        <v>-8.128608897095547E-14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320.76883487964511</v>
      </c>
      <c r="HA136" s="59">
        <f t="shared" si="160"/>
        <v>290.51177680335746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57.963365613990106</v>
      </c>
      <c r="HH136" s="21">
        <f>EXP(-LN(2)/25)*HH135+(1-EXP(-LN(2)/25))/(LN(2)/25)*Calculateur!HC136*Calculateur!HE136*VLOOKUP('Données projet'!$B$18,Paramètres!$A$1:$I$89,3,0)*0.475*44/12</f>
        <v>10.123245069066874</v>
      </c>
      <c r="HI136" s="21">
        <f>EXP(-LN(2)/2)*HI135+(1-EXP(-LN(2)/2))/(LN(2)/2)*HC136*HF136*VLOOKUP('Données projet'!$B$18,Paramètres!$A$1:$I$89,3,0)*0.475*44/12</f>
        <v>1.0729689838679883E-5</v>
      </c>
      <c r="HJ136" s="22">
        <f t="shared" si="138"/>
        <v>68.086621412746808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5.763922672485933E-13</v>
      </c>
      <c r="AK137" s="13">
        <f t="shared" si="143"/>
        <v>7.0619171555808457E-12</v>
      </c>
      <c r="AL137" s="20">
        <f t="shared" si="112"/>
        <v>1.3303388911427938E-11</v>
      </c>
      <c r="AM137" s="59">
        <f t="shared" si="113"/>
        <v>293.33333333334662</v>
      </c>
      <c r="AN137" s="59">
        <f ca="1">AVERAGE(OFFSET($AM$3,0,0,'Données projet'!$E$10+1,1))-AVERAGE(OFFSET($H$3,0,0,'Données projet'!$E$10+1,1))</f>
        <v>425.47148407510412</v>
      </c>
      <c r="AO137" s="59">
        <f t="shared" si="144"/>
        <v>308.54448799922471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180.56887319465508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180.56887319465508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212.00000000000009</v>
      </c>
      <c r="BE137" s="13">
        <f>BD137*VLOOKUP('Données projet'!$B$11,Paramètres!$A$1:$I$89,3,0)*VLOOKUP('Données projet'!$B$11,Paramètres!$A$1:$I$89,5,0)</f>
        <v>185.20320000000009</v>
      </c>
      <c r="BF137" s="13">
        <f t="shared" si="145"/>
        <v>46.477875402099386</v>
      </c>
      <c r="BG137" s="20">
        <f t="shared" si="115"/>
        <v>403.5112063253232</v>
      </c>
      <c r="BH137" s="59">
        <f t="shared" si="116"/>
        <v>696.84453965865646</v>
      </c>
      <c r="BI137" s="59">
        <f ca="1">AVERAGE(OFFSET($BH$3,0,0,'Données projet'!$E$11+1,1))-AVERAGE(OFFSET($H$3,0,0,'Données projet'!$E$11+1,1))</f>
        <v>300.63505444445104</v>
      </c>
      <c r="BJ137" s="59">
        <f t="shared" si="146"/>
        <v>266.32508105927997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7.6166318621232074</v>
      </c>
      <c r="BQ137" s="21">
        <f>EXP(-LN(2)/25)*BQ136+(1-EXP(-LN(2)/25))/(LN(2)/25)*Calculateur!BL137*Calculateur!BN137*VLOOKUP('Données projet'!$B$11,Paramètres!$A$1:$I$89,3,0)*0.475*44/12</f>
        <v>5.4491358554246263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13.065767717547834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5.2446581196581219</v>
      </c>
      <c r="BY137" s="12">
        <f>IF('Données projet'!$A$114&gt;35,BY136+BX137-CG136,IF(A137&lt;'Données projet'!$A$114,$BV$205^A137,IF(A137='Données projet'!$A$114,'Données projet'!$B$114,BY136+BX137-CG136)))</f>
        <v>277.33653846153805</v>
      </c>
      <c r="BZ137" s="13">
        <f>BY137*VLOOKUP('Données projet'!$B$12,Paramètres!$A$1:$I$89,3,0)*VLOOKUP('Données projet'!$B$12,Paramètres!$A$1:$I$89,5,0)</f>
        <v>263.91344999999961</v>
      </c>
      <c r="CA137" s="13">
        <f t="shared" si="147"/>
        <v>63.555840652075076</v>
      </c>
      <c r="CB137" s="20">
        <f t="shared" si="118"/>
        <v>570.34234788569677</v>
      </c>
      <c r="CC137" s="59">
        <f t="shared" si="119"/>
        <v>863.67568121903014</v>
      </c>
      <c r="CD137" s="59">
        <f ca="1">AVERAGE(OFFSET($CC$3,0,0,'Données projet'!$E$12+1,1))-AVERAGE(OFFSET($H$3,0,0,'Données projet'!$E$12+1,1))</f>
        <v>361.26385625423757</v>
      </c>
      <c r="CE137" s="59">
        <f t="shared" si="148"/>
        <v>222.05197404028576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37.532505785183091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37.532505785183091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247.00000000000017</v>
      </c>
      <c r="CU137" s="17">
        <f>CT137*VLOOKUP('Données projet'!$B$13,Paramètres!$A$1:$I$89,3,0)*VLOOKUP('Données projet'!$B$13,Paramètres!$A$1:$I$89,5,0)</f>
        <v>223.48560000000012</v>
      </c>
      <c r="CV137" s="13">
        <f t="shared" si="149"/>
        <v>54.87176918107798</v>
      </c>
      <c r="CW137" s="20">
        <f t="shared" si="121"/>
        <v>484.80575132371092</v>
      </c>
      <c r="CX137" s="59">
        <f t="shared" si="122"/>
        <v>778.13908465704424</v>
      </c>
      <c r="CY137" s="59">
        <f ca="1">AVERAGE(OFFSET($CX$3,0,0,'Données projet'!$E$13+1,1))-AVERAGE(OFFSET($H$3,0,0,'Données projet'!$E$13+1,1))</f>
        <v>302.6937347295995</v>
      </c>
      <c r="CZ137" s="59">
        <f t="shared" si="150"/>
        <v>423.44006663873375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7.723887532530764E-2</v>
      </c>
      <c r="DG137" s="21">
        <f>EXP(-LN(2)/25)*DG136+(1-EXP(-LN(2)/25))/(LN(2)/25)*Calculateur!DB137*Calculateur!DD137*VLOOKUP('Données projet'!$B$13,Paramètres!$A$1:$I$89,3,0)*0.475*44/12</f>
        <v>0.23993538611468559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0.31717426143999322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268.23989999999964</v>
      </c>
      <c r="DQ137" s="13">
        <f t="shared" si="151"/>
        <v>64.475589580974699</v>
      </c>
      <c r="DR137" s="20">
        <f t="shared" si="124"/>
        <v>579.47947768686356</v>
      </c>
      <c r="DS137" s="59">
        <f t="shared" si="125"/>
        <v>872.81281102019693</v>
      </c>
      <c r="DT137" s="59">
        <f ca="1">AVERAGE(OFFSET($DS$3,0,0,'Données projet'!$E$14+1,1))-AVERAGE(OFFSET($H$3,0,0,'Données projet'!$E$14+1,1))</f>
        <v>366.51581861366333</v>
      </c>
      <c r="DU137" s="59">
        <f t="shared" si="152"/>
        <v>225.01415116995503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38.147792765268065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38.147792765268065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328.00000000000017</v>
      </c>
      <c r="EK137" s="17">
        <f>EJ137*VLOOKUP('Données projet'!$B$15,Paramètres!$A$1:$I$89,3,0)*VLOOKUP('Données projet'!$B$15,Paramètres!$A$1:$I$89,5,0)</f>
        <v>255.84000000000015</v>
      </c>
      <c r="EL137" s="13">
        <f t="shared" si="153"/>
        <v>61.834803371075886</v>
      </c>
      <c r="EM137" s="20">
        <f t="shared" si="127"/>
        <v>553.28361587129086</v>
      </c>
      <c r="EN137" s="59">
        <f t="shared" si="128"/>
        <v>846.61694920462423</v>
      </c>
      <c r="EO137" s="59">
        <f ca="1">AVERAGE(OFFSET($EN$3,0,0,'Données projet'!$E$15+1,1))-AVERAGE(OFFSET($H$3,0,0,'Données projet'!$E$15+1,1))</f>
        <v>288.80569134263209</v>
      </c>
      <c r="EP137" s="59">
        <f t="shared" si="154"/>
        <v>283.48738729114024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5.6105918835870456</v>
      </c>
      <c r="EW137" s="21">
        <f>EXP(-LN(2)/25)*EW136+(1-EXP(-LN(2)/25))/(LN(2)/25)*Calculateur!ER137*Calculateur!ET137*VLOOKUP('Données projet'!$B$15,Paramètres!$A$1:$I$89,3,0)*0.475*44/12</f>
        <v>3.2584304075314088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8.8690222911184549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-1.0197709343628959E-13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323.17232038705157</v>
      </c>
      <c r="FK137" s="59">
        <f t="shared" si="156"/>
        <v>402.34685738619197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34.746845983398373</v>
      </c>
      <c r="FR137" s="21">
        <f>EXP(-LN(2)/25)*FR136+(1-EXP(-LN(2)/25))/(LN(2)/25)*Calculateur!FM137*Calculateur!FO137*VLOOKUP('Données projet'!$B$16,Paramètres!$A$1:$I$89,3,0)*0.475*44/12</f>
        <v>5.0841032064583818</v>
      </c>
      <c r="FS137" s="21">
        <f>EXP(-LN(2)/2)*FS136+(1-EXP(-LN(2)/2))/(LN(2)/2)*FM137*FP137*VLOOKUP('Données projet'!$B$16,Paramètres!$A$1:$I$89,3,0)*0.475*44/12</f>
        <v>7.3498760580713735E-11</v>
      </c>
      <c r="FT137" s="22">
        <f t="shared" si="132"/>
        <v>39.830949189930251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328.00000000000017</v>
      </c>
      <c r="GA137" s="17">
        <f>FZ137*VLOOKUP('Données projet'!$B$17,Paramètres!$A$1:$I$89,3,0)*VLOOKUP('Données projet'!$B$17,Paramètres!$A$1:$I$89,5,0)</f>
        <v>266.07360000000017</v>
      </c>
      <c r="GB137" s="13">
        <f t="shared" si="157"/>
        <v>64.015279012301136</v>
      </c>
      <c r="GC137" s="20">
        <f t="shared" si="133"/>
        <v>574.90479761309132</v>
      </c>
      <c r="GD137" s="59">
        <f t="shared" si="134"/>
        <v>868.23813094642469</v>
      </c>
      <c r="GE137" s="59">
        <f ca="1">AVERAGE(OFFSET($GD$3,0,0,'Données projet'!$E$17+1,1))-AVERAGE(OFFSET($H$3,0,0,'Données projet'!$E$17+1,1))</f>
        <v>298.96480270023716</v>
      </c>
      <c r="GF137" s="59">
        <f t="shared" si="158"/>
        <v>293.11447542333889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7.1919959214725111</v>
      </c>
      <c r="GM137" s="21">
        <f>EXP(-LN(2)/25)*GM136+(1-EXP(-LN(2)/25))/(LN(2)/25)*Calculateur!GH137*Calculateur!GJ137*VLOOKUP('Données projet'!$B$17,Paramètres!$A$1:$I$89,3,0)*0.475*44/12</f>
        <v>4.1768531177472372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11.368849039219748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-1.4210854715202004E-13</v>
      </c>
      <c r="GV137" s="17">
        <f>GU137*VLOOKUP('Données projet'!$B$18,Paramètres!$A$1:$I$89,3,0)*VLOOKUP('Données projet'!$B$18,Paramètres!$A$1:$I$89,5,0)</f>
        <v>-8.128608897095547E-14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320.76883487964511</v>
      </c>
      <c r="HA137" s="59">
        <f t="shared" si="160"/>
        <v>290.51177680335746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56.826739368461851</v>
      </c>
      <c r="HH137" s="21">
        <f>EXP(-LN(2)/25)*HH136+(1-EXP(-LN(2)/25))/(LN(2)/25)*Calculateur!HC137*Calculateur!HE137*VLOOKUP('Données projet'!$B$18,Paramètres!$A$1:$I$89,3,0)*0.475*44/12</f>
        <v>9.8464244002949197</v>
      </c>
      <c r="HI137" s="21">
        <f>EXP(-LN(2)/2)*HI136+(1-EXP(-LN(2)/2))/(LN(2)/2)*HC137*HF137*VLOOKUP('Données projet'!$B$18,Paramètres!$A$1:$I$89,3,0)*0.475*44/12</f>
        <v>7.5870364449589387E-6</v>
      </c>
      <c r="HJ137" s="22">
        <f t="shared" si="138"/>
        <v>66.673171355793215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5.763922672485933E-13</v>
      </c>
      <c r="AK138" s="13">
        <f t="shared" si="143"/>
        <v>7.0619171555808457E-12</v>
      </c>
      <c r="AL138" s="20">
        <f t="shared" si="112"/>
        <v>1.3303388911427938E-11</v>
      </c>
      <c r="AM138" s="59">
        <f t="shared" si="113"/>
        <v>293.33333333334662</v>
      </c>
      <c r="AN138" s="59">
        <f ca="1">AVERAGE(OFFSET($AM$3,0,0,'Données projet'!$E$10+1,1))-AVERAGE(OFFSET($H$3,0,0,'Données projet'!$E$10+1,1))</f>
        <v>425.47148407510412</v>
      </c>
      <c r="AO138" s="59">
        <f t="shared" si="144"/>
        <v>308.54448799922471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177.0280277274455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177.0280277274455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212.00000000000009</v>
      </c>
      <c r="BE138" s="13">
        <f>BD138*VLOOKUP('Données projet'!$B$11,Paramètres!$A$1:$I$89,3,0)*VLOOKUP('Données projet'!$B$11,Paramètres!$A$1:$I$89,5,0)</f>
        <v>185.20320000000009</v>
      </c>
      <c r="BF138" s="13">
        <f t="shared" si="145"/>
        <v>46.477875402099386</v>
      </c>
      <c r="BG138" s="20">
        <f t="shared" si="115"/>
        <v>403.5112063253232</v>
      </c>
      <c r="BH138" s="59">
        <f t="shared" si="116"/>
        <v>696.84453965865646</v>
      </c>
      <c r="BI138" s="59">
        <f ca="1">AVERAGE(OFFSET($BH$3,0,0,'Données projet'!$E$11+1,1))-AVERAGE(OFFSET($H$3,0,0,'Données projet'!$E$11+1,1))</f>
        <v>300.63505444445104</v>
      </c>
      <c r="BJ138" s="59">
        <f t="shared" si="146"/>
        <v>266.32508105927997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7.4672743569936841</v>
      </c>
      <c r="BQ138" s="21">
        <f>EXP(-LN(2)/25)*BQ137+(1-EXP(-LN(2)/25))/(LN(2)/25)*Calculateur!BL138*Calculateur!BN138*VLOOKUP('Données projet'!$B$11,Paramètres!$A$1:$I$89,3,0)*0.475*44/12</f>
        <v>5.3001289489004391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12.767403305894124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5.2446581196581219</v>
      </c>
      <c r="BY138" s="12">
        <f>IF('Données projet'!$A$114&gt;35,BY137+BX138-CG137,IF(A138&lt;'Données projet'!$A$114,$BV$205^A138,IF(A138='Données projet'!$A$114,'Données projet'!$B$114,BY137+BX138-CG137)))</f>
        <v>282.5811965811962</v>
      </c>
      <c r="BZ138" s="13">
        <f>BY138*VLOOKUP('Données projet'!$B$12,Paramètres!$A$1:$I$89,3,0)*VLOOKUP('Données projet'!$B$12,Paramètres!$A$1:$I$89,5,0)</f>
        <v>268.90426666666633</v>
      </c>
      <c r="CA138" s="13">
        <f t="shared" si="147"/>
        <v>64.616672012439665</v>
      </c>
      <c r="CB138" s="20">
        <f t="shared" si="118"/>
        <v>580.8823015327763</v>
      </c>
      <c r="CC138" s="59">
        <f t="shared" si="119"/>
        <v>874.21563486610967</v>
      </c>
      <c r="CD138" s="59">
        <f ca="1">AVERAGE(OFFSET($CC$3,0,0,'Données projet'!$E$12+1,1))-AVERAGE(OFFSET($H$3,0,0,'Données projet'!$E$12+1,1))</f>
        <v>361.26385625423757</v>
      </c>
      <c r="CE138" s="59">
        <f t="shared" si="148"/>
        <v>222.05197404028576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36.796516239303728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36.796516239303728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247.00000000000017</v>
      </c>
      <c r="CU138" s="17">
        <f>CT138*VLOOKUP('Données projet'!$B$13,Paramètres!$A$1:$I$89,3,0)*VLOOKUP('Données projet'!$B$13,Paramètres!$A$1:$I$89,5,0)</f>
        <v>223.48560000000012</v>
      </c>
      <c r="CV138" s="13">
        <f t="shared" si="149"/>
        <v>54.87176918107798</v>
      </c>
      <c r="CW138" s="20">
        <f t="shared" si="121"/>
        <v>484.80575132371092</v>
      </c>
      <c r="CX138" s="59">
        <f t="shared" si="122"/>
        <v>778.13908465704424</v>
      </c>
      <c r="CY138" s="59">
        <f ca="1">AVERAGE(OFFSET($CX$3,0,0,'Données projet'!$E$13+1,1))-AVERAGE(OFFSET($H$3,0,0,'Données projet'!$E$13+1,1))</f>
        <v>302.6937347295995</v>
      </c>
      <c r="CZ138" s="59">
        <f t="shared" si="150"/>
        <v>423.44006663873375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7.5724268091240471E-2</v>
      </c>
      <c r="DG138" s="21">
        <f>EXP(-LN(2)/25)*DG137+(1-EXP(-LN(2)/25))/(LN(2)/25)*Calculateur!DB138*Calculateur!DD138*VLOOKUP('Données projet'!$B$13,Paramètres!$A$1:$I$89,3,0)*0.475*44/12</f>
        <v>0.23337434036372595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0.30909860845496639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273.31253333333296</v>
      </c>
      <c r="DQ138" s="13">
        <f t="shared" si="151"/>
        <v>65.55177277206684</v>
      </c>
      <c r="DR138" s="20">
        <f t="shared" si="124"/>
        <v>590.18866646690458</v>
      </c>
      <c r="DS138" s="59">
        <f t="shared" si="125"/>
        <v>883.52199980023784</v>
      </c>
      <c r="DT138" s="59">
        <f ca="1">AVERAGE(OFFSET($DS$3,0,0,'Données projet'!$E$14+1,1))-AVERAGE(OFFSET($H$3,0,0,'Données projet'!$E$14+1,1))</f>
        <v>366.51581861366333</v>
      </c>
      <c r="DU138" s="59">
        <f t="shared" si="152"/>
        <v>225.01415116995503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37.399737816997238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37.399737816997238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328.00000000000017</v>
      </c>
      <c r="EK138" s="17">
        <f>EJ138*VLOOKUP('Données projet'!$B$15,Paramètres!$A$1:$I$89,3,0)*VLOOKUP('Données projet'!$B$15,Paramètres!$A$1:$I$89,5,0)</f>
        <v>255.84000000000015</v>
      </c>
      <c r="EL138" s="13">
        <f t="shared" si="153"/>
        <v>61.834803371075886</v>
      </c>
      <c r="EM138" s="20">
        <f t="shared" si="127"/>
        <v>553.28361587129086</v>
      </c>
      <c r="EN138" s="59">
        <f t="shared" si="128"/>
        <v>846.61694920462423</v>
      </c>
      <c r="EO138" s="59">
        <f ca="1">AVERAGE(OFFSET($EN$3,0,0,'Données projet'!$E$15+1,1))-AVERAGE(OFFSET($H$3,0,0,'Données projet'!$E$15+1,1))</f>
        <v>288.80569134263209</v>
      </c>
      <c r="EP138" s="59">
        <f t="shared" si="154"/>
        <v>283.48738729114024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5.5005715988730461</v>
      </c>
      <c r="EW138" s="21">
        <f>EXP(-LN(2)/25)*EW137+(1-EXP(-LN(2)/25))/(LN(2)/25)*Calculateur!ER138*Calculateur!ET138*VLOOKUP('Données projet'!$B$15,Paramètres!$A$1:$I$89,3,0)*0.475*44/12</f>
        <v>3.1693284566840547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8.6699000555571004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-1.0197709343628959E-13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323.17232038705157</v>
      </c>
      <c r="FK138" s="59">
        <f t="shared" si="156"/>
        <v>402.34685738619197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34.065481527147298</v>
      </c>
      <c r="FR138" s="21">
        <f>EXP(-LN(2)/25)*FR137+(1-EXP(-LN(2)/25))/(LN(2)/25)*Calculateur!FM138*Calculateur!FO138*VLOOKUP('Données projet'!$B$16,Paramètres!$A$1:$I$89,3,0)*0.475*44/12</f>
        <v>4.9450781369164094</v>
      </c>
      <c r="FS138" s="21">
        <f>EXP(-LN(2)/2)*FS137+(1-EXP(-LN(2)/2))/(LN(2)/2)*FM138*FP138*VLOOKUP('Données projet'!$B$16,Paramètres!$A$1:$I$89,3,0)*0.475*44/12</f>
        <v>5.1971472015429192E-11</v>
      </c>
      <c r="FT138" s="22">
        <f t="shared" si="132"/>
        <v>39.010559664115675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328.00000000000017</v>
      </c>
      <c r="GA138" s="17">
        <f>FZ138*VLOOKUP('Données projet'!$B$17,Paramètres!$A$1:$I$89,3,0)*VLOOKUP('Données projet'!$B$17,Paramètres!$A$1:$I$89,5,0)</f>
        <v>266.07360000000017</v>
      </c>
      <c r="GB138" s="13">
        <f t="shared" si="157"/>
        <v>64.015279012301136</v>
      </c>
      <c r="GC138" s="20">
        <f t="shared" si="133"/>
        <v>574.90479761309132</v>
      </c>
      <c r="GD138" s="59">
        <f t="shared" si="134"/>
        <v>868.23813094642469</v>
      </c>
      <c r="GE138" s="59">
        <f ca="1">AVERAGE(OFFSET($GD$3,0,0,'Données projet'!$E$17+1,1))-AVERAGE(OFFSET($H$3,0,0,'Données projet'!$E$17+1,1))</f>
        <v>298.96480270023716</v>
      </c>
      <c r="GF138" s="59">
        <f t="shared" si="158"/>
        <v>293.11447542333889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7.0509652681367978</v>
      </c>
      <c r="GM138" s="21">
        <f>EXP(-LN(2)/25)*GM137+(1-EXP(-LN(2)/25))/(LN(2)/25)*Calculateur!GH138*Calculateur!GJ138*VLOOKUP('Données projet'!$B$17,Paramètres!$A$1:$I$89,3,0)*0.475*44/12</f>
        <v>4.0626368495912795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11.113602117728078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-1.4210854715202004E-13</v>
      </c>
      <c r="GV138" s="17">
        <f>GU138*VLOOKUP('Données projet'!$B$18,Paramètres!$A$1:$I$89,3,0)*VLOOKUP('Données projet'!$B$18,Paramètres!$A$1:$I$89,5,0)</f>
        <v>-8.128608897095547E-14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320.76883487964511</v>
      </c>
      <c r="HA138" s="59">
        <f t="shared" si="160"/>
        <v>290.51177680335746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55.712401670334849</v>
      </c>
      <c r="HH138" s="21">
        <f>EXP(-LN(2)/25)*HH137+(1-EXP(-LN(2)/25))/(LN(2)/25)*Calculateur!HC138*Calculateur!HE138*VLOOKUP('Données projet'!$B$18,Paramètres!$A$1:$I$89,3,0)*0.475*44/12</f>
        <v>9.5771734072678996</v>
      </c>
      <c r="HI138" s="21">
        <f>EXP(-LN(2)/2)*HI137+(1-EXP(-LN(2)/2))/(LN(2)/2)*HC138*HF138*VLOOKUP('Données projet'!$B$18,Paramètres!$A$1:$I$89,3,0)*0.475*44/12</f>
        <v>5.3648449193399421E-6</v>
      </c>
      <c r="HJ138" s="22">
        <f t="shared" si="138"/>
        <v>65.289580442447672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5.763922672485933E-13</v>
      </c>
      <c r="AK139" s="13">
        <f t="shared" si="143"/>
        <v>7.0619171555808457E-12</v>
      </c>
      <c r="AL139" s="20">
        <f t="shared" si="112"/>
        <v>1.3303388911427938E-11</v>
      </c>
      <c r="AM139" s="59">
        <f t="shared" si="113"/>
        <v>293.33333333334662</v>
      </c>
      <c r="AN139" s="59">
        <f ca="1">AVERAGE(OFFSET($AM$3,0,0,'Données projet'!$E$10+1,1))-AVERAGE(OFFSET($H$3,0,0,'Données projet'!$E$10+1,1))</f>
        <v>425.47148407510412</v>
      </c>
      <c r="AO139" s="59">
        <f t="shared" si="144"/>
        <v>308.54448799922471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173.55661608014543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173.55661608014543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212.00000000000009</v>
      </c>
      <c r="BE139" s="13">
        <f>BD139*VLOOKUP('Données projet'!$B$11,Paramètres!$A$1:$I$89,3,0)*VLOOKUP('Données projet'!$B$11,Paramètres!$A$1:$I$89,5,0)</f>
        <v>185.20320000000009</v>
      </c>
      <c r="BF139" s="13">
        <f t="shared" si="145"/>
        <v>46.477875402099386</v>
      </c>
      <c r="BG139" s="20">
        <f t="shared" si="115"/>
        <v>403.5112063253232</v>
      </c>
      <c r="BH139" s="59">
        <f t="shared" si="116"/>
        <v>696.84453965865646</v>
      </c>
      <c r="BI139" s="59">
        <f ca="1">AVERAGE(OFFSET($BH$3,0,0,'Données projet'!$E$11+1,1))-AVERAGE(OFFSET($H$3,0,0,'Données projet'!$E$11+1,1))</f>
        <v>300.63505444445104</v>
      </c>
      <c r="BJ139" s="59">
        <f t="shared" si="146"/>
        <v>266.32508105927997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7.3208456614406678</v>
      </c>
      <c r="BQ139" s="21">
        <f>EXP(-LN(2)/25)*BQ138+(1-EXP(-LN(2)/25))/(LN(2)/25)*Calculateur!BL139*Calculateur!BN139*VLOOKUP('Données projet'!$B$11,Paramètres!$A$1:$I$89,3,0)*0.475*44/12</f>
        <v>5.155196644071089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12.476042305511758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5.2446581196581219</v>
      </c>
      <c r="BY139" s="12">
        <f>IF('Données projet'!$A$114&gt;35,BY138+BX139-CG138,IF(A139&lt;'Données projet'!$A$114,$BV$205^A139,IF(A139='Données projet'!$A$114,'Données projet'!$B$114,BY138+BX139-CG138)))</f>
        <v>287.82585470085434</v>
      </c>
      <c r="BZ139" s="13">
        <f>BY139*VLOOKUP('Données projet'!$B$12,Paramètres!$A$1:$I$89,3,0)*VLOOKUP('Données projet'!$B$12,Paramètres!$A$1:$I$89,5,0)</f>
        <v>273.89508333333299</v>
      </c>
      <c r="CA139" s="13">
        <f t="shared" si="147"/>
        <v>65.67521392587814</v>
      </c>
      <c r="CB139" s="20">
        <f t="shared" si="118"/>
        <v>591.41826772645936</v>
      </c>
      <c r="CC139" s="59">
        <f t="shared" si="119"/>
        <v>884.75160105979262</v>
      </c>
      <c r="CD139" s="59">
        <f ca="1">AVERAGE(OFFSET($CC$3,0,0,'Données projet'!$E$12+1,1))-AVERAGE(OFFSET($H$3,0,0,'Données projet'!$E$12+1,1))</f>
        <v>361.26385625423757</v>
      </c>
      <c r="CE139" s="59">
        <f t="shared" si="148"/>
        <v>222.05197404028576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36.074958999509761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36.074958999509761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247.00000000000017</v>
      </c>
      <c r="CU139" s="17">
        <f>CT139*VLOOKUP('Données projet'!$B$13,Paramètres!$A$1:$I$89,3,0)*VLOOKUP('Données projet'!$B$13,Paramètres!$A$1:$I$89,5,0)</f>
        <v>223.48560000000012</v>
      </c>
      <c r="CV139" s="13">
        <f t="shared" si="149"/>
        <v>54.87176918107798</v>
      </c>
      <c r="CW139" s="20">
        <f t="shared" si="121"/>
        <v>484.80575132371092</v>
      </c>
      <c r="CX139" s="59">
        <f t="shared" si="122"/>
        <v>778.13908465704424</v>
      </c>
      <c r="CY139" s="59">
        <f ca="1">AVERAGE(OFFSET($CX$3,0,0,'Données projet'!$E$13+1,1))-AVERAGE(OFFSET($H$3,0,0,'Données projet'!$E$13+1,1))</f>
        <v>302.6937347295995</v>
      </c>
      <c r="CZ139" s="59">
        <f t="shared" si="150"/>
        <v>423.44006663873375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7.4239361381214175E-2</v>
      </c>
      <c r="DG139" s="21">
        <f>EXP(-LN(2)/25)*DG138+(1-EXP(-LN(2)/25))/(LN(2)/25)*Calculateur!DB139*Calculateur!DD139*VLOOKUP('Données projet'!$B$13,Paramètres!$A$1:$I$89,3,0)*0.475*44/12</f>
        <v>0.22699270675385669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0.30123206813507086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278.38516666666629</v>
      </c>
      <c r="DQ139" s="13">
        <f t="shared" si="151"/>
        <v>66.625633384480764</v>
      </c>
      <c r="DR139" s="20">
        <f t="shared" si="124"/>
        <v>600.89381008908106</v>
      </c>
      <c r="DS139" s="59">
        <f t="shared" si="125"/>
        <v>894.22714342241443</v>
      </c>
      <c r="DT139" s="59">
        <f ca="1">AVERAGE(OFFSET($DS$3,0,0,'Données projet'!$E$14+1,1))-AVERAGE(OFFSET($H$3,0,0,'Données projet'!$E$14+1,1))</f>
        <v>366.51581861366333</v>
      </c>
      <c r="DU139" s="59">
        <f t="shared" si="152"/>
        <v>225.01415116995503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36.666351769993533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36.666351769993533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328.00000000000017</v>
      </c>
      <c r="EK139" s="17">
        <f>EJ139*VLOOKUP('Données projet'!$B$15,Paramètres!$A$1:$I$89,3,0)*VLOOKUP('Données projet'!$B$15,Paramètres!$A$1:$I$89,5,0)</f>
        <v>255.84000000000015</v>
      </c>
      <c r="EL139" s="13">
        <f t="shared" si="153"/>
        <v>61.834803371075886</v>
      </c>
      <c r="EM139" s="20">
        <f t="shared" si="127"/>
        <v>553.28361587129086</v>
      </c>
      <c r="EN139" s="59">
        <f t="shared" si="128"/>
        <v>846.61694920462423</v>
      </c>
      <c r="EO139" s="59">
        <f ca="1">AVERAGE(OFFSET($EN$3,0,0,'Données projet'!$E$15+1,1))-AVERAGE(OFFSET($H$3,0,0,'Données projet'!$E$15+1,1))</f>
        <v>288.80569134263209</v>
      </c>
      <c r="EP139" s="59">
        <f t="shared" si="154"/>
        <v>283.48738729114024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5.3927087448365407</v>
      </c>
      <c r="EW139" s="21">
        <f>EXP(-LN(2)/25)*EW138+(1-EXP(-LN(2)/25))/(LN(2)/25)*Calculateur!ER139*Calculateur!ET139*VLOOKUP('Données projet'!$B$15,Paramètres!$A$1:$I$89,3,0)*0.475*44/12</f>
        <v>3.0826630033682894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8.4753717482048305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-1.0197709343628959E-13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323.17232038705157</v>
      </c>
      <c r="FK139" s="59">
        <f t="shared" si="156"/>
        <v>402.34685738619197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33.397478212292022</v>
      </c>
      <c r="FR139" s="21">
        <f>EXP(-LN(2)/25)*FR138+(1-EXP(-LN(2)/25))/(LN(2)/25)*Calculateur!FM139*Calculateur!FO139*VLOOKUP('Données projet'!$B$16,Paramètres!$A$1:$I$89,3,0)*0.475*44/12</f>
        <v>4.8098547152120732</v>
      </c>
      <c r="FS139" s="21">
        <f>EXP(-LN(2)/2)*FS138+(1-EXP(-LN(2)/2))/(LN(2)/2)*FM139*FP139*VLOOKUP('Données projet'!$B$16,Paramètres!$A$1:$I$89,3,0)*0.475*44/12</f>
        <v>3.6749380290356867E-11</v>
      </c>
      <c r="FT139" s="22">
        <f t="shared" si="132"/>
        <v>38.207332927540847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328.00000000000017</v>
      </c>
      <c r="GA139" s="17">
        <f>FZ139*VLOOKUP('Données projet'!$B$17,Paramètres!$A$1:$I$89,3,0)*VLOOKUP('Données projet'!$B$17,Paramètres!$A$1:$I$89,5,0)</f>
        <v>266.07360000000017</v>
      </c>
      <c r="GB139" s="13">
        <f t="shared" si="157"/>
        <v>64.015279012301136</v>
      </c>
      <c r="GC139" s="20">
        <f t="shared" si="133"/>
        <v>574.90479761309132</v>
      </c>
      <c r="GD139" s="59">
        <f t="shared" si="134"/>
        <v>868.23813094642469</v>
      </c>
      <c r="GE139" s="59">
        <f ca="1">AVERAGE(OFFSET($GD$3,0,0,'Données projet'!$E$17+1,1))-AVERAGE(OFFSET($H$3,0,0,'Données projet'!$E$17+1,1))</f>
        <v>298.96480270023716</v>
      </c>
      <c r="GF139" s="59">
        <f t="shared" si="158"/>
        <v>293.11447542333889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6.9127001398927934</v>
      </c>
      <c r="GM139" s="21">
        <f>EXP(-LN(2)/25)*GM138+(1-EXP(-LN(2)/25))/(LN(2)/25)*Calculateur!GH139*Calculateur!GJ139*VLOOKUP('Données projet'!$B$17,Paramètres!$A$1:$I$89,3,0)*0.475*44/12</f>
        <v>3.9515438312944191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10.864243971187213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-1.4210854715202004E-13</v>
      </c>
      <c r="GV139" s="17">
        <f>GU139*VLOOKUP('Données projet'!$B$18,Paramètres!$A$1:$I$89,3,0)*VLOOKUP('Données projet'!$B$18,Paramètres!$A$1:$I$89,5,0)</f>
        <v>-8.128608897095547E-14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320.76883487964511</v>
      </c>
      <c r="HA139" s="59">
        <f t="shared" si="160"/>
        <v>290.51177680335746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54.619915454789236</v>
      </c>
      <c r="HH139" s="21">
        <f>EXP(-LN(2)/25)*HH138+(1-EXP(-LN(2)/25))/(LN(2)/25)*Calculateur!HC139*Calculateur!HE139*VLOOKUP('Données projet'!$B$18,Paramètres!$A$1:$I$89,3,0)*0.475*44/12</f>
        <v>9.315285096804498</v>
      </c>
      <c r="HI139" s="21">
        <f>EXP(-LN(2)/2)*HI138+(1-EXP(-LN(2)/2))/(LN(2)/2)*HC139*HF139*VLOOKUP('Données projet'!$B$18,Paramètres!$A$1:$I$89,3,0)*0.475*44/12</f>
        <v>3.7935182224794698E-6</v>
      </c>
      <c r="HJ139" s="22">
        <f t="shared" si="138"/>
        <v>63.935204345111963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5.763922672485933E-13</v>
      </c>
      <c r="AK140" s="13">
        <f t="shared" si="143"/>
        <v>7.0619171555808457E-12</v>
      </c>
      <c r="AL140" s="20">
        <f t="shared" si="112"/>
        <v>1.3303388911427938E-11</v>
      </c>
      <c r="AM140" s="59">
        <f t="shared" si="113"/>
        <v>293.33333333334662</v>
      </c>
      <c r="AN140" s="59">
        <f ca="1">AVERAGE(OFFSET($AM$3,0,0,'Données projet'!$E$10+1,1))-AVERAGE(OFFSET($H$3,0,0,'Données projet'!$E$10+1,1))</f>
        <v>425.47148407510412</v>
      </c>
      <c r="AO140" s="59">
        <f t="shared" si="144"/>
        <v>308.54448799922471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170.15327669789687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170.15327669789687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212.00000000000009</v>
      </c>
      <c r="BE140" s="13">
        <f>BD140*VLOOKUP('Données projet'!$B$11,Paramètres!$A$1:$I$89,3,0)*VLOOKUP('Données projet'!$B$11,Paramètres!$A$1:$I$89,5,0)</f>
        <v>185.20320000000009</v>
      </c>
      <c r="BF140" s="13">
        <f t="shared" si="145"/>
        <v>46.477875402099386</v>
      </c>
      <c r="BG140" s="20">
        <f t="shared" si="115"/>
        <v>403.5112063253232</v>
      </c>
      <c r="BH140" s="59">
        <f t="shared" si="116"/>
        <v>696.84453965865646</v>
      </c>
      <c r="BI140" s="59">
        <f ca="1">AVERAGE(OFFSET($BH$3,0,0,'Données projet'!$E$11+1,1))-AVERAGE(OFFSET($H$3,0,0,'Données projet'!$E$11+1,1))</f>
        <v>300.63505444445104</v>
      </c>
      <c r="BJ140" s="59">
        <f t="shared" si="146"/>
        <v>266.32508105927997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7.1772883432947605</v>
      </c>
      <c r="BQ140" s="21">
        <f>EXP(-LN(2)/25)*BQ139+(1-EXP(-LN(2)/25))/(LN(2)/25)*Calculateur!BL140*Calculateur!BN140*VLOOKUP('Données projet'!$B$11,Paramètres!$A$1:$I$89,3,0)*0.475*44/12</f>
        <v>5.0142275207389559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12.191515864033716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293.07051282051282</v>
      </c>
      <c r="BW140" s="12">
        <f>VLOOKUP(A140,'Données projet'!$A$113:$I$133,9,0)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projet'!$A$114&gt;35,BY139+BX140-CG139,IF(A140&lt;'Données projet'!$A$114,$BV$205^A140,IF(A140='Données projet'!$A$114,'Données projet'!$B$114,BY139+BX140-CG139)))</f>
        <v>293.07051282051248</v>
      </c>
      <c r="BZ140" s="13">
        <f>BY140*VLOOKUP('Données projet'!$B$12,Paramètres!$A$1:$I$89,3,0)*VLOOKUP('Données projet'!$B$12,Paramètres!$A$1:$I$89,5,0)</f>
        <v>278.88589999999965</v>
      </c>
      <c r="CA140" s="13">
        <f t="shared" si="147"/>
        <v>66.731512921610161</v>
      </c>
      <c r="CB140" s="20">
        <f t="shared" si="118"/>
        <v>601.95032750513701</v>
      </c>
      <c r="CC140" s="59">
        <f t="shared" si="119"/>
        <v>895.28366083847027</v>
      </c>
      <c r="CD140" s="59">
        <f ca="1">AVERAGE(OFFSET($CC$3,0,0,'Données projet'!$E$12+1,1))-AVERAGE(OFFSET($H$3,0,0,'Données projet'!$E$12+1,1))</f>
        <v>361.26385625423757</v>
      </c>
      <c r="CE140" s="59">
        <f t="shared" si="148"/>
        <v>222.05197404028576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51.160256410256409</v>
      </c>
      <c r="CH140" s="16">
        <f>IF(ISNA(VLOOKUP(A140,'Données projet'!$A$113:$I$133,5,0)),0%,VLOOKUP(A140,'Données projet'!$A$113:$I$133,5,0)*VLOOKUP('Données projet'!$B$12,Paramètres!$A$1:$I$89,7,0))</f>
        <v>0.30099999999999999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51.567019038851939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51.567019038851939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247.00000000000017</v>
      </c>
      <c r="CU140" s="17">
        <f>CT140*VLOOKUP('Données projet'!$B$13,Paramètres!$A$1:$I$89,3,0)*VLOOKUP('Données projet'!$B$13,Paramètres!$A$1:$I$89,5,0)</f>
        <v>223.48560000000012</v>
      </c>
      <c r="CV140" s="13">
        <f t="shared" si="149"/>
        <v>54.87176918107798</v>
      </c>
      <c r="CW140" s="20">
        <f t="shared" si="121"/>
        <v>484.80575132371092</v>
      </c>
      <c r="CX140" s="59">
        <f t="shared" si="122"/>
        <v>778.13908465704424</v>
      </c>
      <c r="CY140" s="59">
        <f ca="1">AVERAGE(OFFSET($CX$3,0,0,'Données projet'!$E$13+1,1))-AVERAGE(OFFSET($H$3,0,0,'Données projet'!$E$13+1,1))</f>
        <v>302.6937347295995</v>
      </c>
      <c r="CZ140" s="59">
        <f t="shared" si="150"/>
        <v>423.44006663873375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7.2783572786067827E-2</v>
      </c>
      <c r="DG140" s="21">
        <f>EXP(-LN(2)/25)*DG139+(1-EXP(-LN(2)/25))/(LN(2)/25)*Calculateur!DB140*Calculateur!DD140*VLOOKUP('Données projet'!$B$13,Paramètres!$A$1:$I$89,3,0)*0.475*44/12</f>
        <v>0.22078557925064482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0.29356915203671263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283.45779999999968</v>
      </c>
      <c r="DQ140" s="13">
        <f t="shared" si="151"/>
        <v>67.697218620784142</v>
      </c>
      <c r="DR140" s="20">
        <f t="shared" si="124"/>
        <v>611.59499076453187</v>
      </c>
      <c r="DS140" s="59">
        <f t="shared" si="125"/>
        <v>904.92832409786524</v>
      </c>
      <c r="DT140" s="59">
        <f ca="1">AVERAGE(OFFSET($DS$3,0,0,'Données projet'!$E$14+1,1))-AVERAGE(OFFSET($H$3,0,0,'Données projet'!$E$14+1,1))</f>
        <v>366.51581861366333</v>
      </c>
      <c r="DU140" s="59">
        <f t="shared" si="152"/>
        <v>225.01415116995503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0.30099999999999999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52.41238000670198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52.41238000670198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328.00000000000017</v>
      </c>
      <c r="EK140" s="17">
        <f>EJ140*VLOOKUP('Données projet'!$B$15,Paramètres!$A$1:$I$89,3,0)*VLOOKUP('Données projet'!$B$15,Paramètres!$A$1:$I$89,5,0)</f>
        <v>255.84000000000015</v>
      </c>
      <c r="EL140" s="13">
        <f t="shared" si="153"/>
        <v>61.834803371075886</v>
      </c>
      <c r="EM140" s="20">
        <f t="shared" si="127"/>
        <v>553.28361587129086</v>
      </c>
      <c r="EN140" s="59">
        <f t="shared" si="128"/>
        <v>846.61694920462423</v>
      </c>
      <c r="EO140" s="59">
        <f ca="1">AVERAGE(OFFSET($EN$3,0,0,'Données projet'!$E$15+1,1))-AVERAGE(OFFSET($H$3,0,0,'Données projet'!$E$15+1,1))</f>
        <v>288.80569134263209</v>
      </c>
      <c r="EP140" s="59">
        <f t="shared" si="154"/>
        <v>283.48738729114024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5.2869610155778464</v>
      </c>
      <c r="EW140" s="21">
        <f>EXP(-LN(2)/25)*EW139+(1-EXP(-LN(2)/25))/(LN(2)/25)*Calculateur!ER140*Calculateur!ET140*VLOOKUP('Données projet'!$B$15,Paramètres!$A$1:$I$89,3,0)*0.475*44/12</f>
        <v>2.9983674214309817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8.2853284370088289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-1.0197709343628959E-13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323.17232038705157</v>
      </c>
      <c r="FK140" s="59">
        <f t="shared" si="156"/>
        <v>402.34685738619197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32.742574034999272</v>
      </c>
      <c r="FR140" s="21">
        <f>EXP(-LN(2)/25)*FR139+(1-EXP(-LN(2)/25))/(LN(2)/25)*Calculateur!FM140*Calculateur!FO140*VLOOKUP('Données projet'!$B$16,Paramètres!$A$1:$I$89,3,0)*0.475*44/12</f>
        <v>4.6783289850853329</v>
      </c>
      <c r="FS140" s="21">
        <f>EXP(-LN(2)/2)*FS139+(1-EXP(-LN(2)/2))/(LN(2)/2)*FM140*FP140*VLOOKUP('Données projet'!$B$16,Paramètres!$A$1:$I$89,3,0)*0.475*44/12</f>
        <v>2.5985736007714596E-11</v>
      </c>
      <c r="FT140" s="22">
        <f t="shared" si="132"/>
        <v>37.420903020110593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328.00000000000017</v>
      </c>
      <c r="GA140" s="17">
        <f>FZ140*VLOOKUP('Données projet'!$B$17,Paramètres!$A$1:$I$89,3,0)*VLOOKUP('Données projet'!$B$17,Paramètres!$A$1:$I$89,5,0)</f>
        <v>266.07360000000017</v>
      </c>
      <c r="GB140" s="13">
        <f t="shared" si="157"/>
        <v>64.015279012301136</v>
      </c>
      <c r="GC140" s="20">
        <f t="shared" si="133"/>
        <v>574.90479761309132</v>
      </c>
      <c r="GD140" s="59">
        <f t="shared" si="134"/>
        <v>868.23813094642469</v>
      </c>
      <c r="GE140" s="59">
        <f ca="1">AVERAGE(OFFSET($GD$3,0,0,'Données projet'!$E$17+1,1))-AVERAGE(OFFSET($H$3,0,0,'Données projet'!$E$17+1,1))</f>
        <v>298.96480270023716</v>
      </c>
      <c r="GF140" s="59">
        <f t="shared" si="158"/>
        <v>293.11447542333889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6.7771463064802528</v>
      </c>
      <c r="GM140" s="21">
        <f>EXP(-LN(2)/25)*GM139+(1-EXP(-LN(2)/25))/(LN(2)/25)*Calculateur!GH140*Calculateur!GJ140*VLOOKUP('Données projet'!$B$17,Paramètres!$A$1:$I$89,3,0)*0.475*44/12</f>
        <v>3.8434886574250147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10.620634963905268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-1.4210854715202004E-13</v>
      </c>
      <c r="GV140" s="17">
        <f>GU140*VLOOKUP('Données projet'!$B$18,Paramètres!$A$1:$I$89,3,0)*VLOOKUP('Données projet'!$B$18,Paramètres!$A$1:$I$89,5,0)</f>
        <v>-8.128608897095547E-14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320.76883487964511</v>
      </c>
      <c r="HA140" s="59">
        <f t="shared" si="160"/>
        <v>290.51177680335746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53.54885222757968</v>
      </c>
      <c r="HH140" s="21">
        <f>EXP(-LN(2)/25)*HH139+(1-EXP(-LN(2)/25))/(LN(2)/25)*Calculateur!HC140*Calculateur!HE140*VLOOKUP('Données projet'!$B$18,Paramètres!$A$1:$I$89,3,0)*0.475*44/12</f>
        <v>9.0605581359628253</v>
      </c>
      <c r="HI140" s="21">
        <f>EXP(-LN(2)/2)*HI139+(1-EXP(-LN(2)/2))/(LN(2)/2)*HC140*HF140*VLOOKUP('Données projet'!$B$18,Paramètres!$A$1:$I$89,3,0)*0.475*44/12</f>
        <v>2.6824224596699715E-6</v>
      </c>
      <c r="HJ140" s="22">
        <f t="shared" si="138"/>
        <v>62.60941304596497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5.763922672485933E-13</v>
      </c>
      <c r="AK141" s="13">
        <f t="shared" si="143"/>
        <v>7.0619171555808457E-12</v>
      </c>
      <c r="AL141" s="20">
        <f t="shared" si="112"/>
        <v>1.3303388911427938E-11</v>
      </c>
      <c r="AM141" s="59">
        <f t="shared" si="113"/>
        <v>293.33333333334662</v>
      </c>
      <c r="AN141" s="59">
        <f ca="1">AVERAGE(OFFSET($AM$3,0,0,'Données projet'!$E$10+1,1))-AVERAGE(OFFSET($H$3,0,0,'Données projet'!$E$10+1,1))</f>
        <v>425.47148407510412</v>
      </c>
      <c r="AO141" s="59">
        <f t="shared" si="144"/>
        <v>308.54448799922471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166.81667472510216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166.81667472510216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212.00000000000009</v>
      </c>
      <c r="BE141" s="13">
        <f>BD141*VLOOKUP('Données projet'!$B$11,Paramètres!$A$1:$I$89,3,0)*VLOOKUP('Données projet'!$B$11,Paramètres!$A$1:$I$89,5,0)</f>
        <v>185.20320000000009</v>
      </c>
      <c r="BF141" s="13">
        <f t="shared" si="145"/>
        <v>46.477875402099386</v>
      </c>
      <c r="BG141" s="20">
        <f t="shared" si="115"/>
        <v>403.5112063253232</v>
      </c>
      <c r="BH141" s="59">
        <f t="shared" si="116"/>
        <v>696.84453965865646</v>
      </c>
      <c r="BI141" s="59">
        <f ca="1">AVERAGE(OFFSET($BH$3,0,0,'Données projet'!$E$11+1,1))-AVERAGE(OFFSET($H$3,0,0,'Données projet'!$E$11+1,1))</f>
        <v>300.63505444445104</v>
      </c>
      <c r="BJ141" s="59">
        <f t="shared" si="146"/>
        <v>266.32508105927997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7.0365460965963766</v>
      </c>
      <c r="BQ141" s="21">
        <f>EXP(-LN(2)/25)*BQ140+(1-EXP(-LN(2)/25))/(LN(2)/25)*Calculateur!BL141*Calculateur!BN141*VLOOKUP('Données projet'!$B$11,Paramètres!$A$1:$I$89,3,0)*0.475*44/12</f>
        <v>4.8771132054975839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11.913659302093961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5.1063034188034209</v>
      </c>
      <c r="BY141" s="12">
        <f>IF('Données projet'!$A$114&gt;35,BY140+BX141-CG140,IF(A141&lt;'Données projet'!$A$114,$BV$205^A141,IF(A141='Données projet'!$A$114,'Données projet'!$B$114,BY140+BX141-CG140)))</f>
        <v>247.01655982905947</v>
      </c>
      <c r="BZ141" s="13">
        <f>BY141*VLOOKUP('Données projet'!$B$12,Paramètres!$A$1:$I$89,3,0)*VLOOKUP('Données projet'!$B$12,Paramètres!$A$1:$I$89,5,0)</f>
        <v>235.06095833333299</v>
      </c>
      <c r="CA141" s="13">
        <f t="shared" si="147"/>
        <v>57.375588987703289</v>
      </c>
      <c r="CB141" s="20">
        <f t="shared" si="118"/>
        <v>509.32698658413818</v>
      </c>
      <c r="CC141" s="59">
        <f t="shared" si="119"/>
        <v>802.6603199174715</v>
      </c>
      <c r="CD141" s="59">
        <f ca="1">AVERAGE(OFFSET($CC$3,0,0,'Données projet'!$E$12+1,1))-AVERAGE(OFFSET($H$3,0,0,'Données projet'!$E$12+1,1))</f>
        <v>361.26385625423757</v>
      </c>
      <c r="CE141" s="59">
        <f t="shared" si="148"/>
        <v>222.05197404028576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50.555821248275961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50.555821248275961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247.00000000000017</v>
      </c>
      <c r="CU141" s="17">
        <f>CT141*VLOOKUP('Données projet'!$B$13,Paramètres!$A$1:$I$89,3,0)*VLOOKUP('Données projet'!$B$13,Paramètres!$A$1:$I$89,5,0)</f>
        <v>223.48560000000012</v>
      </c>
      <c r="CV141" s="13">
        <f t="shared" si="149"/>
        <v>54.87176918107798</v>
      </c>
      <c r="CW141" s="20">
        <f t="shared" si="121"/>
        <v>484.80575132371092</v>
      </c>
      <c r="CX141" s="59">
        <f t="shared" si="122"/>
        <v>778.13908465704424</v>
      </c>
      <c r="CY141" s="59">
        <f ca="1">AVERAGE(OFFSET($CX$3,0,0,'Données projet'!$E$13+1,1))-AVERAGE(OFFSET($H$3,0,0,'Données projet'!$E$13+1,1))</f>
        <v>302.6937347295995</v>
      </c>
      <c r="CZ141" s="59">
        <f t="shared" si="150"/>
        <v>423.44006663873375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7.1356331317328936E-2</v>
      </c>
      <c r="DG141" s="21">
        <f>EXP(-LN(2)/25)*DG140+(1-EXP(-LN(2)/25))/(LN(2)/25)*Calculateur!DB141*Calculateur!DD141*VLOOKUP('Données projet'!$B$13,Paramètres!$A$1:$I$89,3,0)*0.475*44/12</f>
        <v>0.21474818597542694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0.28610451729275588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238.91441666666631</v>
      </c>
      <c r="DQ141" s="13">
        <f t="shared" si="151"/>
        <v>58.205900348154188</v>
      </c>
      <c r="DR141" s="20">
        <f t="shared" si="124"/>
        <v>517.4845521341457</v>
      </c>
      <c r="DS141" s="59">
        <f t="shared" si="125"/>
        <v>810.81788546747907</v>
      </c>
      <c r="DT141" s="59">
        <f ca="1">AVERAGE(OFFSET($DS$3,0,0,'Données projet'!$E$14+1,1))-AVERAGE(OFFSET($H$3,0,0,'Données projet'!$E$14+1,1))</f>
        <v>366.51581861366333</v>
      </c>
      <c r="DU141" s="59">
        <f t="shared" si="152"/>
        <v>225.01415116995503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51.384605203165741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51.384605203165741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328.00000000000017</v>
      </c>
      <c r="EK141" s="17">
        <f>EJ141*VLOOKUP('Données projet'!$B$15,Paramètres!$A$1:$I$89,3,0)*VLOOKUP('Données projet'!$B$15,Paramètres!$A$1:$I$89,5,0)</f>
        <v>255.84000000000015</v>
      </c>
      <c r="EL141" s="13">
        <f t="shared" si="153"/>
        <v>61.834803371075886</v>
      </c>
      <c r="EM141" s="20">
        <f t="shared" si="127"/>
        <v>553.28361587129086</v>
      </c>
      <c r="EN141" s="59">
        <f t="shared" si="128"/>
        <v>846.61694920462423</v>
      </c>
      <c r="EO141" s="59">
        <f ca="1">AVERAGE(OFFSET($EN$3,0,0,'Données projet'!$E$15+1,1))-AVERAGE(OFFSET($H$3,0,0,'Données projet'!$E$15+1,1))</f>
        <v>288.80569134263209</v>
      </c>
      <c r="EP141" s="59">
        <f t="shared" si="154"/>
        <v>283.48738729114024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5.1832869347901687</v>
      </c>
      <c r="EW141" s="21">
        <f>EXP(-LN(2)/25)*EW140+(1-EXP(-LN(2)/25))/(LN(2)/25)*Calculateur!ER141*Calculateur!ET141*VLOOKUP('Données projet'!$B$15,Paramètres!$A$1:$I$89,3,0)*0.475*44/12</f>
        <v>2.9163769066146616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8.0996638414048299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-1.0197709343628959E-13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323.17232038705157</v>
      </c>
      <c r="FK141" s="59">
        <f t="shared" si="156"/>
        <v>402.34685738619197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32.100512129171129</v>
      </c>
      <c r="FR141" s="21">
        <f>EXP(-LN(2)/25)*FR140+(1-EXP(-LN(2)/25))/(LN(2)/25)*Calculateur!FM141*Calculateur!FO141*VLOOKUP('Données projet'!$B$16,Paramètres!$A$1:$I$89,3,0)*0.475*44/12</f>
        <v>4.550399832965546</v>
      </c>
      <c r="FS141" s="21">
        <f>EXP(-LN(2)/2)*FS140+(1-EXP(-LN(2)/2))/(LN(2)/2)*FM141*FP141*VLOOKUP('Données projet'!$B$16,Paramètres!$A$1:$I$89,3,0)*0.475*44/12</f>
        <v>1.8374690145178434E-11</v>
      </c>
      <c r="FT141" s="22">
        <f t="shared" si="132"/>
        <v>36.65091196215505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328.00000000000017</v>
      </c>
      <c r="GA141" s="17">
        <f>FZ141*VLOOKUP('Données projet'!$B$17,Paramètres!$A$1:$I$89,3,0)*VLOOKUP('Données projet'!$B$17,Paramètres!$A$1:$I$89,5,0)</f>
        <v>266.07360000000017</v>
      </c>
      <c r="GB141" s="13">
        <f t="shared" si="157"/>
        <v>64.015279012301136</v>
      </c>
      <c r="GC141" s="20">
        <f t="shared" si="133"/>
        <v>574.90479761309132</v>
      </c>
      <c r="GD141" s="59">
        <f t="shared" si="134"/>
        <v>868.23813094642469</v>
      </c>
      <c r="GE141" s="59">
        <f ca="1">AVERAGE(OFFSET($GD$3,0,0,'Données projet'!$E$17+1,1))-AVERAGE(OFFSET($H$3,0,0,'Données projet'!$E$17+1,1))</f>
        <v>298.96480270023716</v>
      </c>
      <c r="GF141" s="59">
        <f t="shared" si="158"/>
        <v>293.11447542333889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6.6442506010612581</v>
      </c>
      <c r="GM141" s="21">
        <f>EXP(-LN(2)/25)*GM140+(1-EXP(-LN(2)/25))/(LN(2)/25)*Calculateur!GH141*Calculateur!GJ141*VLOOKUP('Données projet'!$B$17,Paramètres!$A$1:$I$89,3,0)*0.475*44/12</f>
        <v>3.7383882579674435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10.382638859028702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-1.4210854715202004E-13</v>
      </c>
      <c r="GV141" s="17">
        <f>GU141*VLOOKUP('Données projet'!$B$18,Paramètres!$A$1:$I$89,3,0)*VLOOKUP('Données projet'!$B$18,Paramètres!$A$1:$I$89,5,0)</f>
        <v>-8.128608897095547E-14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320.76883487964511</v>
      </c>
      <c r="HA141" s="59">
        <f t="shared" si="160"/>
        <v>290.51177680335746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52.498791896971639</v>
      </c>
      <c r="HH141" s="21">
        <f>EXP(-LN(2)/25)*HH140+(1-EXP(-LN(2)/25))/(LN(2)/25)*Calculateur!HC141*Calculateur!HE141*VLOOKUP('Données projet'!$B$18,Paramètres!$A$1:$I$89,3,0)*0.475*44/12</f>
        <v>8.8127966972608771</v>
      </c>
      <c r="HI141" s="21">
        <f>EXP(-LN(2)/2)*HI140+(1-EXP(-LN(2)/2))/(LN(2)/2)*HC141*HF141*VLOOKUP('Données projet'!$B$18,Paramètres!$A$1:$I$89,3,0)*0.475*44/12</f>
        <v>1.8967591112397353E-6</v>
      </c>
      <c r="HJ141" s="22">
        <f t="shared" si="138"/>
        <v>61.311590490991627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5.763922672485933E-13</v>
      </c>
      <c r="AK142" s="13">
        <f t="shared" si="143"/>
        <v>7.0619171555808457E-12</v>
      </c>
      <c r="AL142" s="20">
        <f t="shared" si="112"/>
        <v>1.3303388911427938E-11</v>
      </c>
      <c r="AM142" s="59">
        <f t="shared" si="113"/>
        <v>293.33333333334662</v>
      </c>
      <c r="AN142" s="59">
        <f ca="1">AVERAGE(OFFSET($AM$3,0,0,'Données projet'!$E$10+1,1))-AVERAGE(OFFSET($H$3,0,0,'Données projet'!$E$10+1,1))</f>
        <v>425.47148407510412</v>
      </c>
      <c r="AO142" s="59">
        <f t="shared" si="144"/>
        <v>308.54448799922471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163.54550148186769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163.54550148186769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212.00000000000009</v>
      </c>
      <c r="BE142" s="13">
        <f>BD142*VLOOKUP('Données projet'!$B$11,Paramètres!$A$1:$I$89,3,0)*VLOOKUP('Données projet'!$B$11,Paramètres!$A$1:$I$89,5,0)</f>
        <v>185.20320000000009</v>
      </c>
      <c r="BF142" s="13">
        <f t="shared" si="145"/>
        <v>46.477875402099386</v>
      </c>
      <c r="BG142" s="20">
        <f t="shared" si="115"/>
        <v>403.5112063253232</v>
      </c>
      <c r="BH142" s="59">
        <f t="shared" si="116"/>
        <v>696.84453965865646</v>
      </c>
      <c r="BI142" s="59">
        <f ca="1">AVERAGE(OFFSET($BH$3,0,0,'Données projet'!$E$11+1,1))-AVERAGE(OFFSET($H$3,0,0,'Données projet'!$E$11+1,1))</f>
        <v>300.63505444445104</v>
      </c>
      <c r="BJ142" s="59">
        <f t="shared" si="146"/>
        <v>266.32508105927997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6.8985637195114533</v>
      </c>
      <c r="BQ142" s="21">
        <f>EXP(-LN(2)/25)*BQ141+(1-EXP(-LN(2)/25))/(LN(2)/25)*Calculateur!BL142*Calculateur!BN142*VLOOKUP('Données projet'!$B$11,Paramètres!$A$1:$I$89,3,0)*0.475*44/12</f>
        <v>4.7437482884170157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11.642312007928469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5.1063034188034209</v>
      </c>
      <c r="BY142" s="12">
        <f>IF('Données projet'!$A$114&gt;35,BY141+BX142-CG141,IF(A142&lt;'Données projet'!$A$114,$BV$205^A142,IF(A142='Données projet'!$A$114,'Données projet'!$B$114,BY141+BX142-CG141)))</f>
        <v>252.12286324786288</v>
      </c>
      <c r="BZ142" s="13">
        <f>BY142*VLOOKUP('Données projet'!$B$12,Paramètres!$A$1:$I$89,3,0)*VLOOKUP('Données projet'!$B$12,Paramètres!$A$1:$I$89,5,0)</f>
        <v>239.9201166666663</v>
      </c>
      <c r="CA142" s="13">
        <f t="shared" si="147"/>
        <v>58.422342860916359</v>
      </c>
      <c r="CB142" s="20">
        <f t="shared" si="118"/>
        <v>519.6131170105399</v>
      </c>
      <c r="CC142" s="59">
        <f t="shared" si="119"/>
        <v>812.94645034387327</v>
      </c>
      <c r="CD142" s="59">
        <f ca="1">AVERAGE(OFFSET($CC$3,0,0,'Données projet'!$E$12+1,1))-AVERAGE(OFFSET($H$3,0,0,'Données projet'!$E$12+1,1))</f>
        <v>361.26385625423757</v>
      </c>
      <c r="CE142" s="59">
        <f t="shared" si="148"/>
        <v>222.05197404028576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49.564452429603428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49.564452429603428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247.00000000000017</v>
      </c>
      <c r="CU142" s="17">
        <f>CT142*VLOOKUP('Données projet'!$B$13,Paramètres!$A$1:$I$89,3,0)*VLOOKUP('Données projet'!$B$13,Paramètres!$A$1:$I$89,5,0)</f>
        <v>223.48560000000012</v>
      </c>
      <c r="CV142" s="13">
        <f t="shared" si="149"/>
        <v>54.87176918107798</v>
      </c>
      <c r="CW142" s="20">
        <f t="shared" si="121"/>
        <v>484.80575132371092</v>
      </c>
      <c r="CX142" s="59">
        <f t="shared" si="122"/>
        <v>778.13908465704424</v>
      </c>
      <c r="CY142" s="59">
        <f ca="1">AVERAGE(OFFSET($CX$3,0,0,'Données projet'!$E$13+1,1))-AVERAGE(OFFSET($H$3,0,0,'Données projet'!$E$13+1,1))</f>
        <v>302.6937347295995</v>
      </c>
      <c r="CZ142" s="59">
        <f t="shared" si="150"/>
        <v>423.44006663873375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6.9957077183260677E-2</v>
      </c>
      <c r="DG142" s="21">
        <f>EXP(-LN(2)/25)*DG141+(1-EXP(-LN(2)/25))/(LN(2)/25)*Calculateur!DB142*Calculateur!DD142*VLOOKUP('Données projet'!$B$13,Paramètres!$A$1:$I$89,3,0)*0.475*44/12</f>
        <v>0.20887588553681261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0.2788329627200733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243.85323333333301</v>
      </c>
      <c r="DQ142" s="13">
        <f t="shared" si="151"/>
        <v>59.267802329610895</v>
      </c>
      <c r="DR142" s="20">
        <f t="shared" si="124"/>
        <v>527.93580377962724</v>
      </c>
      <c r="DS142" s="59">
        <f t="shared" si="125"/>
        <v>821.26913711296061</v>
      </c>
      <c r="DT142" s="59">
        <f ca="1">AVERAGE(OFFSET($DS$3,0,0,'Données projet'!$E$14+1,1))-AVERAGE(OFFSET($H$3,0,0,'Données projet'!$E$14+1,1))</f>
        <v>366.51581861366333</v>
      </c>
      <c r="DU142" s="59">
        <f t="shared" si="152"/>
        <v>225.01415116995503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50.376984436646119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50.376984436646119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328.00000000000017</v>
      </c>
      <c r="EK142" s="17">
        <f>EJ142*VLOOKUP('Données projet'!$B$15,Paramètres!$A$1:$I$89,3,0)*VLOOKUP('Données projet'!$B$15,Paramètres!$A$1:$I$89,5,0)</f>
        <v>255.84000000000015</v>
      </c>
      <c r="EL142" s="13">
        <f t="shared" si="153"/>
        <v>61.834803371075886</v>
      </c>
      <c r="EM142" s="20">
        <f t="shared" si="127"/>
        <v>553.28361587129086</v>
      </c>
      <c r="EN142" s="59">
        <f t="shared" si="128"/>
        <v>846.61694920462423</v>
      </c>
      <c r="EO142" s="59">
        <f ca="1">AVERAGE(OFFSET($EN$3,0,0,'Données projet'!$E$15+1,1))-AVERAGE(OFFSET($H$3,0,0,'Données projet'!$E$15+1,1))</f>
        <v>288.80569134263209</v>
      </c>
      <c r="EP142" s="59">
        <f t="shared" si="154"/>
        <v>283.48738729114024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5.0816458394917925</v>
      </c>
      <c r="EW142" s="21">
        <f>EXP(-LN(2)/25)*EW141+(1-EXP(-LN(2)/25))/(LN(2)/25)*Calculateur!ER142*Calculateur!ET142*VLOOKUP('Données projet'!$B$15,Paramètres!$A$1:$I$89,3,0)*0.475*44/12</f>
        <v>2.8366284267376876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7.9182742662294796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-1.0197709343628959E-13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323.17232038705157</v>
      </c>
      <c r="FK142" s="59">
        <f t="shared" si="156"/>
        <v>402.34685738619197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31.471040665697178</v>
      </c>
      <c r="FR142" s="21">
        <f>EXP(-LN(2)/25)*FR141+(1-EXP(-LN(2)/25))/(LN(2)/25)*Calculateur!FM142*Calculateur!FO142*VLOOKUP('Données projet'!$B$16,Paramètres!$A$1:$I$89,3,0)*0.475*44/12</f>
        <v>4.4259689102379758</v>
      </c>
      <c r="FS142" s="21">
        <f>EXP(-LN(2)/2)*FS141+(1-EXP(-LN(2)/2))/(LN(2)/2)*FM142*FP142*VLOOKUP('Données projet'!$B$16,Paramètres!$A$1:$I$89,3,0)*0.475*44/12</f>
        <v>1.2992868003857298E-11</v>
      </c>
      <c r="FT142" s="22">
        <f t="shared" si="132"/>
        <v>35.897009575948147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328.00000000000017</v>
      </c>
      <c r="GA142" s="17">
        <f>FZ142*VLOOKUP('Données projet'!$B$17,Paramètres!$A$1:$I$89,3,0)*VLOOKUP('Données projet'!$B$17,Paramètres!$A$1:$I$89,5,0)</f>
        <v>266.07360000000017</v>
      </c>
      <c r="GB142" s="13">
        <f t="shared" si="157"/>
        <v>64.015279012301136</v>
      </c>
      <c r="GC142" s="20">
        <f t="shared" si="133"/>
        <v>574.90479761309132</v>
      </c>
      <c r="GD142" s="59">
        <f t="shared" si="134"/>
        <v>868.23813094642469</v>
      </c>
      <c r="GE142" s="59">
        <f ca="1">AVERAGE(OFFSET($GD$3,0,0,'Données projet'!$E$17+1,1))-AVERAGE(OFFSET($H$3,0,0,'Données projet'!$E$17+1,1))</f>
        <v>298.96480270023716</v>
      </c>
      <c r="GF142" s="59">
        <f t="shared" si="158"/>
        <v>293.11447542333889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6.5139608993671532</v>
      </c>
      <c r="GM142" s="21">
        <f>EXP(-LN(2)/25)*GM141+(1-EXP(-LN(2)/25))/(LN(2)/25)*Calculateur!GH142*Calculateur!GJ142*VLOOKUP('Données projet'!$B$17,Paramètres!$A$1:$I$89,3,0)*0.475*44/12</f>
        <v>3.6361618344600295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10.150122733827182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-1.4210854715202004E-13</v>
      </c>
      <c r="GV142" s="17">
        <f>GU142*VLOOKUP('Données projet'!$B$18,Paramètres!$A$1:$I$89,3,0)*VLOOKUP('Données projet'!$B$18,Paramètres!$A$1:$I$89,5,0)</f>
        <v>-8.128608897095547E-14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320.76883487964511</v>
      </c>
      <c r="HA142" s="59">
        <f t="shared" si="160"/>
        <v>290.51177680335746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51.469322608973258</v>
      </c>
      <c r="HH142" s="21">
        <f>EXP(-LN(2)/25)*HH141+(1-EXP(-LN(2)/25))/(LN(2)/25)*Calculateur!HC142*Calculateur!HE142*VLOOKUP('Données projet'!$B$18,Paramètres!$A$1:$I$89,3,0)*0.475*44/12</f>
        <v>8.5718103081294412</v>
      </c>
      <c r="HI142" s="21">
        <f>EXP(-LN(2)/2)*HI141+(1-EXP(-LN(2)/2))/(LN(2)/2)*HC142*HF142*VLOOKUP('Données projet'!$B$18,Paramètres!$A$1:$I$89,3,0)*0.475*44/12</f>
        <v>1.341211229834986E-6</v>
      </c>
      <c r="HJ142" s="22">
        <f t="shared" si="138"/>
        <v>60.041134258313932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5.763922672485933E-13</v>
      </c>
      <c r="AK143" s="13">
        <f t="shared" si="143"/>
        <v>7.0619171555808457E-12</v>
      </c>
      <c r="AL143" s="20">
        <f t="shared" si="112"/>
        <v>1.3303388911427938E-11</v>
      </c>
      <c r="AM143" s="59">
        <f t="shared" si="113"/>
        <v>293.33333333334662</v>
      </c>
      <c r="AN143" s="59">
        <f ca="1">AVERAGE(OFFSET($AM$3,0,0,'Données projet'!$E$10+1,1))-AVERAGE(OFFSET($H$3,0,0,'Données projet'!$E$10+1,1))</f>
        <v>425.47148407510412</v>
      </c>
      <c r="AO143" s="59">
        <f t="shared" si="144"/>
        <v>308.54448799922471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160.33847395071439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160.33847395071439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212.00000000000009</v>
      </c>
      <c r="BE143" s="13">
        <f>BD143*VLOOKUP('Données projet'!$B$11,Paramètres!$A$1:$I$89,3,0)*VLOOKUP('Données projet'!$B$11,Paramètres!$A$1:$I$89,5,0)</f>
        <v>185.20320000000009</v>
      </c>
      <c r="BF143" s="13">
        <f t="shared" si="145"/>
        <v>46.477875402099386</v>
      </c>
      <c r="BG143" s="20">
        <f t="shared" si="115"/>
        <v>403.5112063253232</v>
      </c>
      <c r="BH143" s="59">
        <f t="shared" si="116"/>
        <v>696.84453965865646</v>
      </c>
      <c r="BI143" s="59">
        <f ca="1">AVERAGE(OFFSET($BH$3,0,0,'Données projet'!$E$11+1,1))-AVERAGE(OFFSET($H$3,0,0,'Données projet'!$E$11+1,1))</f>
        <v>300.63505444445104</v>
      </c>
      <c r="BJ143" s="59">
        <f t="shared" si="146"/>
        <v>266.32508105927997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6.7632870926802262</v>
      </c>
      <c r="BQ143" s="21">
        <f>EXP(-LN(2)/25)*BQ142+(1-EXP(-LN(2)/25))/(LN(2)/25)*Calculateur!BL143*Calculateur!BN143*VLOOKUP('Données projet'!$B$11,Paramètres!$A$1:$I$89,3,0)*0.475*44/12</f>
        <v>4.614030242007372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11.377317334687598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5.1063034188034209</v>
      </c>
      <c r="BY143" s="12">
        <f>IF('Données projet'!$A$114&gt;35,BY142+BX143-CG142,IF(A143&lt;'Données projet'!$A$114,$BV$205^A143,IF(A143='Données projet'!$A$114,'Données projet'!$B$114,BY142+BX143-CG142)))</f>
        <v>257.22916666666629</v>
      </c>
      <c r="BZ143" s="13">
        <f>BY143*VLOOKUP('Données projet'!$B$12,Paramètres!$A$1:$I$89,3,0)*VLOOKUP('Données projet'!$B$12,Paramètres!$A$1:$I$89,5,0)</f>
        <v>244.77927499999961</v>
      </c>
      <c r="CA143" s="13">
        <f t="shared" si="147"/>
        <v>59.466631764852885</v>
      </c>
      <c r="CB143" s="20">
        <f t="shared" si="118"/>
        <v>529.89495428211808</v>
      </c>
      <c r="CC143" s="59">
        <f t="shared" si="119"/>
        <v>823.22828761545134</v>
      </c>
      <c r="CD143" s="59">
        <f ca="1">AVERAGE(OFFSET($CC$3,0,0,'Données projet'!$E$12+1,1))-AVERAGE(OFFSET($H$3,0,0,'Données projet'!$E$12+1,1))</f>
        <v>361.26385625423757</v>
      </c>
      <c r="CE143" s="59">
        <f t="shared" si="148"/>
        <v>222.05197404028576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48.592523748789787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48.592523748789787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247.00000000000017</v>
      </c>
      <c r="CU143" s="17">
        <f>CT143*VLOOKUP('Données projet'!$B$13,Paramètres!$A$1:$I$89,3,0)*VLOOKUP('Données projet'!$B$13,Paramètres!$A$1:$I$89,5,0)</f>
        <v>223.48560000000012</v>
      </c>
      <c r="CV143" s="13">
        <f t="shared" si="149"/>
        <v>54.87176918107798</v>
      </c>
      <c r="CW143" s="20">
        <f t="shared" si="121"/>
        <v>484.80575132371092</v>
      </c>
      <c r="CX143" s="59">
        <f t="shared" si="122"/>
        <v>778.13908465704424</v>
      </c>
      <c r="CY143" s="59">
        <f ca="1">AVERAGE(OFFSET($CX$3,0,0,'Données projet'!$E$13+1,1))-AVERAGE(OFFSET($H$3,0,0,'Données projet'!$E$13+1,1))</f>
        <v>302.6937347295995</v>
      </c>
      <c r="CZ143" s="59">
        <f t="shared" si="150"/>
        <v>423.44006663873375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6.858526156930074E-2</v>
      </c>
      <c r="DG143" s="21">
        <f>EXP(-LN(2)/25)*DG142+(1-EXP(-LN(2)/25))/(LN(2)/25)*Calculateur!DB143*Calculateur!DD143*VLOOKUP('Données projet'!$B$13,Paramètres!$A$1:$I$89,3,0)*0.475*44/12</f>
        <v>0.20316416346250304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0.27174942503180377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248.79204999999965</v>
      </c>
      <c r="DQ143" s="13">
        <f t="shared" si="151"/>
        <v>60.327203669965584</v>
      </c>
      <c r="DR143" s="20">
        <f t="shared" si="124"/>
        <v>538.38270014185616</v>
      </c>
      <c r="DS143" s="59">
        <f t="shared" si="125"/>
        <v>831.71603347518953</v>
      </c>
      <c r="DT143" s="59">
        <f ca="1">AVERAGE(OFFSET($DS$3,0,0,'Données projet'!$E$14+1,1))-AVERAGE(OFFSET($H$3,0,0,'Données projet'!$E$14+1,1))</f>
        <v>366.51581861366333</v>
      </c>
      <c r="DU143" s="59">
        <f t="shared" si="152"/>
        <v>225.01415116995503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49.389122498769964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49.389122498769964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328.00000000000017</v>
      </c>
      <c r="EK143" s="17">
        <f>EJ143*VLOOKUP('Données projet'!$B$15,Paramètres!$A$1:$I$89,3,0)*VLOOKUP('Données projet'!$B$15,Paramètres!$A$1:$I$89,5,0)</f>
        <v>255.84000000000015</v>
      </c>
      <c r="EL143" s="13">
        <f t="shared" si="153"/>
        <v>61.834803371075886</v>
      </c>
      <c r="EM143" s="20">
        <f t="shared" si="127"/>
        <v>553.28361587129086</v>
      </c>
      <c r="EN143" s="59">
        <f t="shared" si="128"/>
        <v>846.61694920462423</v>
      </c>
      <c r="EO143" s="59">
        <f ca="1">AVERAGE(OFFSET($EN$3,0,0,'Données projet'!$E$15+1,1))-AVERAGE(OFFSET($H$3,0,0,'Données projet'!$E$15+1,1))</f>
        <v>288.80569134263209</v>
      </c>
      <c r="EP143" s="59">
        <f t="shared" si="154"/>
        <v>283.48738729114024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4.9819978640772709</v>
      </c>
      <c r="EW143" s="21">
        <f>EXP(-LN(2)/25)*EW142+(1-EXP(-LN(2)/25))/(LN(2)/25)*Calculateur!ER143*Calculateur!ET143*VLOOKUP('Données projet'!$B$15,Paramètres!$A$1:$I$89,3,0)*0.475*44/12</f>
        <v>2.7590606732367395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7.7410585373140108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-1.0197709343628959E-13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323.17232038705157</v>
      </c>
      <c r="FK143" s="59">
        <f t="shared" si="156"/>
        <v>402.34685738619197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30.85391275368227</v>
      </c>
      <c r="FR143" s="21">
        <f>EXP(-LN(2)/25)*FR142+(1-EXP(-LN(2)/25))/(LN(2)/25)*Calculateur!FM143*Calculateur!FO143*VLOOKUP('Données projet'!$B$16,Paramètres!$A$1:$I$89,3,0)*0.475*44/12</f>
        <v>4.3049405576359288</v>
      </c>
      <c r="FS143" s="21">
        <f>EXP(-LN(2)/2)*FS142+(1-EXP(-LN(2)/2))/(LN(2)/2)*FM143*FP143*VLOOKUP('Données projet'!$B$16,Paramètres!$A$1:$I$89,3,0)*0.475*44/12</f>
        <v>9.1873450725892168E-12</v>
      </c>
      <c r="FT143" s="22">
        <f t="shared" si="132"/>
        <v>35.158853311327384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328.00000000000017</v>
      </c>
      <c r="GA143" s="17">
        <f>FZ143*VLOOKUP('Données projet'!$B$17,Paramètres!$A$1:$I$89,3,0)*VLOOKUP('Données projet'!$B$17,Paramètres!$A$1:$I$89,5,0)</f>
        <v>266.07360000000017</v>
      </c>
      <c r="GB143" s="13">
        <f t="shared" si="157"/>
        <v>64.015279012301136</v>
      </c>
      <c r="GC143" s="20">
        <f t="shared" si="133"/>
        <v>574.90479761309132</v>
      </c>
      <c r="GD143" s="59">
        <f t="shared" si="134"/>
        <v>868.23813094642469</v>
      </c>
      <c r="GE143" s="59">
        <f ca="1">AVERAGE(OFFSET($GD$3,0,0,'Données projet'!$E$17+1,1))-AVERAGE(OFFSET($H$3,0,0,'Données projet'!$E$17+1,1))</f>
        <v>298.96480270023716</v>
      </c>
      <c r="GF143" s="59">
        <f t="shared" si="158"/>
        <v>293.11447542333889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6.3862260992543982</v>
      </c>
      <c r="GM143" s="21">
        <f>EXP(-LN(2)/25)*GM142+(1-EXP(-LN(2)/25))/(LN(2)/25)*Calculateur!GH143*Calculateur!GJ143*VLOOKUP('Données projet'!$B$17,Paramètres!$A$1:$I$89,3,0)*0.475*44/12</f>
        <v>3.5367307978792795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9.9229568971336768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-1.4210854715202004E-13</v>
      </c>
      <c r="GV143" s="17">
        <f>GU143*VLOOKUP('Données projet'!$B$18,Paramètres!$A$1:$I$89,3,0)*VLOOKUP('Données projet'!$B$18,Paramètres!$A$1:$I$89,5,0)</f>
        <v>-8.128608897095547E-14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320.76883487964511</v>
      </c>
      <c r="HA143" s="59">
        <f t="shared" si="160"/>
        <v>290.51177680335746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50.460040585798261</v>
      </c>
      <c r="HH143" s="21">
        <f>EXP(-LN(2)/25)*HH142+(1-EXP(-LN(2)/25))/(LN(2)/25)*Calculateur!HC143*Calculateur!HE143*VLOOKUP('Données projet'!$B$18,Paramètres!$A$1:$I$89,3,0)*0.475*44/12</f>
        <v>8.3374137044817278</v>
      </c>
      <c r="HI143" s="21">
        <f>EXP(-LN(2)/2)*HI142+(1-EXP(-LN(2)/2))/(LN(2)/2)*HC143*HF143*VLOOKUP('Données projet'!$B$18,Paramètres!$A$1:$I$89,3,0)*0.475*44/12</f>
        <v>9.4837955561986776E-7</v>
      </c>
      <c r="HJ143" s="22">
        <f t="shared" si="138"/>
        <v>58.797455238659545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5.763922672485933E-13</v>
      </c>
      <c r="AK144" s="13">
        <f t="shared" si="143"/>
        <v>7.0619171555808457E-12</v>
      </c>
      <c r="AL144" s="20">
        <f t="shared" si="112"/>
        <v>1.3303388911427938E-11</v>
      </c>
      <c r="AM144" s="59">
        <f t="shared" si="113"/>
        <v>293.33333333334662</v>
      </c>
      <c r="AN144" s="59">
        <f ca="1">AVERAGE(OFFSET($AM$3,0,0,'Données projet'!$E$10+1,1))-AVERAGE(OFFSET($H$3,0,0,'Données projet'!$E$10+1,1))</f>
        <v>425.47148407510412</v>
      </c>
      <c r="AO144" s="59">
        <f t="shared" si="144"/>
        <v>308.54448799922471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157.19433427335335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157.19433427335335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212.00000000000009</v>
      </c>
      <c r="BE144" s="13">
        <f>BD144*VLOOKUP('Données projet'!$B$11,Paramètres!$A$1:$I$89,3,0)*VLOOKUP('Données projet'!$B$11,Paramètres!$A$1:$I$89,5,0)</f>
        <v>185.20320000000009</v>
      </c>
      <c r="BF144" s="13">
        <f t="shared" si="145"/>
        <v>46.477875402099386</v>
      </c>
      <c r="BG144" s="20">
        <f t="shared" si="115"/>
        <v>403.5112063253232</v>
      </c>
      <c r="BH144" s="59">
        <f t="shared" si="116"/>
        <v>696.84453965865646</v>
      </c>
      <c r="BI144" s="59">
        <f ca="1">AVERAGE(OFFSET($BH$3,0,0,'Données projet'!$E$11+1,1))-AVERAGE(OFFSET($H$3,0,0,'Données projet'!$E$11+1,1))</f>
        <v>300.63505444445104</v>
      </c>
      <c r="BJ144" s="59">
        <f t="shared" si="146"/>
        <v>266.32508105927997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6.6306631579905639</v>
      </c>
      <c r="BQ144" s="21">
        <f>EXP(-LN(2)/25)*BQ143+(1-EXP(-LN(2)/25))/(LN(2)/25)*Calculateur!BL144*Calculateur!BN144*VLOOKUP('Données projet'!$B$11,Paramètres!$A$1:$I$89,3,0)*0.475*44/12</f>
        <v>4.4878593423983757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11.11852250038894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5.1063034188034209</v>
      </c>
      <c r="BY144" s="12">
        <f>IF('Données projet'!$A$114&gt;35,BY143+BX144-CG143,IF(A144&lt;'Données projet'!$A$114,$BV$205^A144,IF(A144='Données projet'!$A$114,'Données projet'!$B$114,BY143+BX144-CG143)))</f>
        <v>262.33547008546969</v>
      </c>
      <c r="BZ144" s="13">
        <f>BY144*VLOOKUP('Données projet'!$B$12,Paramètres!$A$1:$I$89,3,0)*VLOOKUP('Données projet'!$B$12,Paramètres!$A$1:$I$89,5,0)</f>
        <v>249.63843333333296</v>
      </c>
      <c r="CA144" s="13">
        <f t="shared" si="147"/>
        <v>60.508510271988001</v>
      </c>
      <c r="CB144" s="20">
        <f t="shared" si="118"/>
        <v>540.17259344593401</v>
      </c>
      <c r="CC144" s="59">
        <f t="shared" si="119"/>
        <v>833.50592677926738</v>
      </c>
      <c r="CD144" s="59">
        <f ca="1">AVERAGE(OFFSET($CC$3,0,0,'Données projet'!$E$12+1,1))-AVERAGE(OFFSET($H$3,0,0,'Données projet'!$E$12+1,1))</f>
        <v>361.26385625423757</v>
      </c>
      <c r="CE144" s="59">
        <f t="shared" si="148"/>
        <v>222.05197404028576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47.639653996588947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47.639653996588947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247.00000000000017</v>
      </c>
      <c r="CU144" s="17">
        <f>CT144*VLOOKUP('Données projet'!$B$13,Paramètres!$A$1:$I$89,3,0)*VLOOKUP('Données projet'!$B$13,Paramètres!$A$1:$I$89,5,0)</f>
        <v>223.48560000000012</v>
      </c>
      <c r="CV144" s="13">
        <f t="shared" si="149"/>
        <v>54.87176918107798</v>
      </c>
      <c r="CW144" s="20">
        <f t="shared" si="121"/>
        <v>484.80575132371092</v>
      </c>
      <c r="CX144" s="59">
        <f t="shared" si="122"/>
        <v>778.13908465704424</v>
      </c>
      <c r="CY144" s="59">
        <f ca="1">AVERAGE(OFFSET($CX$3,0,0,'Données projet'!$E$13+1,1))-AVERAGE(OFFSET($H$3,0,0,'Données projet'!$E$13+1,1))</f>
        <v>302.6937347295995</v>
      </c>
      <c r="CZ144" s="59">
        <f t="shared" si="150"/>
        <v>423.44006663873375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6.7240346422805658E-2</v>
      </c>
      <c r="DG144" s="21">
        <f>EXP(-LN(2)/25)*DG143+(1-EXP(-LN(2)/25))/(LN(2)/25)*Calculateur!DB144*Calculateur!DD144*VLOOKUP('Données projet'!$B$13,Paramètres!$A$1:$I$89,3,0)*0.475*44/12</f>
        <v>0.19760862872868187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0.26484897515148753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253.73086666666632</v>
      </c>
      <c r="DQ144" s="13">
        <f t="shared" si="151"/>
        <v>61.38415973143946</v>
      </c>
      <c r="DR144" s="20">
        <f t="shared" si="124"/>
        <v>548.82533764336756</v>
      </c>
      <c r="DS144" s="59">
        <f t="shared" si="125"/>
        <v>842.15867097670093</v>
      </c>
      <c r="DT144" s="59">
        <f ca="1">AVERAGE(OFFSET($DS$3,0,0,'Données projet'!$E$14+1,1))-AVERAGE(OFFSET($H$3,0,0,'Données projet'!$E$14+1,1))</f>
        <v>366.51581861366333</v>
      </c>
      <c r="DU144" s="59">
        <f t="shared" si="152"/>
        <v>225.01415116995503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48.420631930959274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48.420631930959274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328.00000000000017</v>
      </c>
      <c r="EK144" s="17">
        <f>EJ144*VLOOKUP('Données projet'!$B$15,Paramètres!$A$1:$I$89,3,0)*VLOOKUP('Données projet'!$B$15,Paramètres!$A$1:$I$89,5,0)</f>
        <v>255.84000000000015</v>
      </c>
      <c r="EL144" s="13">
        <f t="shared" si="153"/>
        <v>61.834803371075886</v>
      </c>
      <c r="EM144" s="20">
        <f t="shared" si="127"/>
        <v>553.28361587129086</v>
      </c>
      <c r="EN144" s="59">
        <f t="shared" si="128"/>
        <v>846.61694920462423</v>
      </c>
      <c r="EO144" s="59">
        <f ca="1">AVERAGE(OFFSET($EN$3,0,0,'Données projet'!$E$15+1,1))-AVERAGE(OFFSET($H$3,0,0,'Données projet'!$E$15+1,1))</f>
        <v>288.80569134263209</v>
      </c>
      <c r="EP144" s="59">
        <f t="shared" si="154"/>
        <v>283.48738729114024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4.8843039246813644</v>
      </c>
      <c r="EW144" s="21">
        <f>EXP(-LN(2)/25)*EW143+(1-EXP(-LN(2)/25))/(LN(2)/25)*Calculateur!ER144*Calculateur!ET144*VLOOKUP('Données projet'!$B$15,Paramètres!$A$1:$I$89,3,0)*0.475*44/12</f>
        <v>2.683614014034386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7.56791793871575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-1.0197709343628959E-13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323.17232038705157</v>
      </c>
      <c r="FK144" s="59">
        <f t="shared" si="156"/>
        <v>402.34685738619197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30.248886343611115</v>
      </c>
      <c r="FR144" s="21">
        <f>EXP(-LN(2)/25)*FR143+(1-EXP(-LN(2)/25))/(LN(2)/25)*Calculateur!FM144*Calculateur!FO144*VLOOKUP('Données projet'!$B$16,Paramètres!$A$1:$I$89,3,0)*0.475*44/12</f>
        <v>4.1872217317003892</v>
      </c>
      <c r="FS144" s="21">
        <f>EXP(-LN(2)/2)*FS143+(1-EXP(-LN(2)/2))/(LN(2)/2)*FM144*FP144*VLOOKUP('Données projet'!$B$16,Paramètres!$A$1:$I$89,3,0)*0.475*44/12</f>
        <v>6.496434001928649E-12</v>
      </c>
      <c r="FT144" s="22">
        <f t="shared" si="132"/>
        <v>34.436108075317996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328.00000000000017</v>
      </c>
      <c r="GA144" s="17">
        <f>FZ144*VLOOKUP('Données projet'!$B$17,Paramètres!$A$1:$I$89,3,0)*VLOOKUP('Données projet'!$B$17,Paramètres!$A$1:$I$89,5,0)</f>
        <v>266.07360000000017</v>
      </c>
      <c r="GB144" s="13">
        <f t="shared" si="157"/>
        <v>64.015279012301136</v>
      </c>
      <c r="GC144" s="20">
        <f t="shared" si="133"/>
        <v>574.90479761309132</v>
      </c>
      <c r="GD144" s="59">
        <f t="shared" si="134"/>
        <v>868.23813094642469</v>
      </c>
      <c r="GE144" s="59">
        <f ca="1">AVERAGE(OFFSET($GD$3,0,0,'Données projet'!$E$17+1,1))-AVERAGE(OFFSET($H$3,0,0,'Données projet'!$E$17+1,1))</f>
        <v>298.96480270023716</v>
      </c>
      <c r="GF144" s="59">
        <f t="shared" si="158"/>
        <v>293.11447542333889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6.2609961006613197</v>
      </c>
      <c r="GM144" s="21">
        <f>EXP(-LN(2)/25)*GM143+(1-EXP(-LN(2)/25))/(LN(2)/25)*Calculateur!GH144*Calculateur!GJ144*VLOOKUP('Données projet'!$B$17,Paramètres!$A$1:$I$89,3,0)*0.475*44/12</f>
        <v>3.4400187082226812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9.7010148088840005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-1.4210854715202004E-13</v>
      </c>
      <c r="GV144" s="17">
        <f>GU144*VLOOKUP('Données projet'!$B$18,Paramètres!$A$1:$I$89,3,0)*VLOOKUP('Données projet'!$B$18,Paramètres!$A$1:$I$89,5,0)</f>
        <v>-8.128608897095547E-14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320.76883487964511</v>
      </c>
      <c r="HA144" s="59">
        <f t="shared" si="160"/>
        <v>290.51177680335746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49.470549967496481</v>
      </c>
      <c r="HH144" s="21">
        <f>EXP(-LN(2)/25)*HH143+(1-EXP(-LN(2)/25))/(LN(2)/25)*Calculateur!HC144*Calculateur!HE144*VLOOKUP('Données projet'!$B$18,Paramètres!$A$1:$I$89,3,0)*0.475*44/12</f>
        <v>8.1094266882871437</v>
      </c>
      <c r="HI144" s="21">
        <f>EXP(-LN(2)/2)*HI143+(1-EXP(-LN(2)/2))/(LN(2)/2)*HC144*HF144*VLOOKUP('Données projet'!$B$18,Paramètres!$A$1:$I$89,3,0)*0.475*44/12</f>
        <v>6.7060561491749308E-7</v>
      </c>
      <c r="HJ144" s="22">
        <f t="shared" si="138"/>
        <v>57.57997732638924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5.763922672485933E-13</v>
      </c>
      <c r="AK145" s="13">
        <f t="shared" si="143"/>
        <v>7.0619171555808457E-12</v>
      </c>
      <c r="AL145" s="20">
        <f t="shared" si="112"/>
        <v>1.3303388911427938E-11</v>
      </c>
      <c r="AM145" s="59">
        <f t="shared" si="113"/>
        <v>293.33333333334662</v>
      </c>
      <c r="AN145" s="59">
        <f ca="1">AVERAGE(OFFSET($AM$3,0,0,'Données projet'!$E$10+1,1))-AVERAGE(OFFSET($H$3,0,0,'Données projet'!$E$10+1,1))</f>
        <v>425.47148407510412</v>
      </c>
      <c r="AO145" s="59">
        <f t="shared" si="144"/>
        <v>308.54448799922471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154.11184925732951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154.11184925732951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212.00000000000009</v>
      </c>
      <c r="BE145" s="13">
        <f>BD145*VLOOKUP('Données projet'!$B$11,Paramètres!$A$1:$I$89,3,0)*VLOOKUP('Données projet'!$B$11,Paramètres!$A$1:$I$89,5,0)</f>
        <v>185.20320000000009</v>
      </c>
      <c r="BF145" s="13">
        <f t="shared" si="145"/>
        <v>46.477875402099386</v>
      </c>
      <c r="BG145" s="20">
        <f t="shared" si="115"/>
        <v>403.5112063253232</v>
      </c>
      <c r="BH145" s="59">
        <f t="shared" si="116"/>
        <v>696.84453965865646</v>
      </c>
      <c r="BI145" s="59">
        <f ca="1">AVERAGE(OFFSET($BH$3,0,0,'Données projet'!$E$11+1,1))-AVERAGE(OFFSET($H$3,0,0,'Données projet'!$E$11+1,1))</f>
        <v>300.63505444445104</v>
      </c>
      <c r="BJ145" s="59">
        <f t="shared" si="146"/>
        <v>266.32508105927997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6.5006398977675532</v>
      </c>
      <c r="BQ145" s="21">
        <f>EXP(-LN(2)/25)*BQ144+(1-EXP(-LN(2)/25))/(LN(2)/25)*Calculateur!BL145*Calculateur!BN145*VLOOKUP('Données projet'!$B$11,Paramètres!$A$1:$I$89,3,0)*0.475*44/12</f>
        <v>4.3651385926742261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10.86577849044178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5.1063034188034209</v>
      </c>
      <c r="BY145" s="12">
        <f>IF('Données projet'!$A$114&gt;35,BY144+BX145-CG144,IF(A145&lt;'Données projet'!$A$114,$BV$205^A145,IF(A145='Données projet'!$A$114,'Données projet'!$B$114,BY144+BX145-CG144)))</f>
        <v>267.4417735042731</v>
      </c>
      <c r="BZ145" s="13">
        <f>BY145*VLOOKUP('Données projet'!$B$12,Paramètres!$A$1:$I$89,3,0)*VLOOKUP('Données projet'!$B$12,Paramètres!$A$1:$I$89,5,0)</f>
        <v>254.49759166666627</v>
      </c>
      <c r="CA145" s="13">
        <f t="shared" si="147"/>
        <v>61.548030708788779</v>
      </c>
      <c r="CB145" s="20">
        <f t="shared" si="118"/>
        <v>550.4461256372507</v>
      </c>
      <c r="CC145" s="59">
        <f t="shared" si="119"/>
        <v>843.77945897058407</v>
      </c>
      <c r="CD145" s="59">
        <f ca="1">AVERAGE(OFFSET($CC$3,0,0,'Données projet'!$E$12+1,1))-AVERAGE(OFFSET($H$3,0,0,'Données projet'!$E$12+1,1))</f>
        <v>361.26385625423757</v>
      </c>
      <c r="CE145" s="59">
        <f t="shared" si="148"/>
        <v>222.05197404028576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46.705469439035603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46.705469439035603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247.00000000000017</v>
      </c>
      <c r="CU145" s="17">
        <f>CT145*VLOOKUP('Données projet'!$B$13,Paramètres!$A$1:$I$89,3,0)*VLOOKUP('Données projet'!$B$13,Paramètres!$A$1:$I$89,5,0)</f>
        <v>223.48560000000012</v>
      </c>
      <c r="CV145" s="13">
        <f t="shared" si="149"/>
        <v>54.87176918107798</v>
      </c>
      <c r="CW145" s="20">
        <f t="shared" si="121"/>
        <v>484.80575132371092</v>
      </c>
      <c r="CX145" s="59">
        <f t="shared" si="122"/>
        <v>778.13908465704424</v>
      </c>
      <c r="CY145" s="59">
        <f ca="1">AVERAGE(OFFSET($CX$3,0,0,'Données projet'!$E$13+1,1))-AVERAGE(OFFSET($H$3,0,0,'Données projet'!$E$13+1,1))</f>
        <v>302.6937347295995</v>
      </c>
      <c r="CZ145" s="59">
        <f t="shared" si="150"/>
        <v>423.44006663873375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6.5921804242016102E-2</v>
      </c>
      <c r="DG145" s="21">
        <f>EXP(-LN(2)/25)*DG144+(1-EXP(-LN(2)/25))/(LN(2)/25)*Calculateur!DB145*Calculateur!DD145*VLOOKUP('Données projet'!$B$13,Paramètres!$A$1:$I$89,3,0)*0.475*44/12</f>
        <v>0.19220501038430993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0.25812681462632603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258.66968333333296</v>
      </c>
      <c r="DQ145" s="13">
        <f t="shared" si="151"/>
        <v>62.438723597742666</v>
      </c>
      <c r="DR145" s="20">
        <f t="shared" si="124"/>
        <v>559.26380873828998</v>
      </c>
      <c r="DS145" s="59">
        <f t="shared" si="125"/>
        <v>852.59714207162324</v>
      </c>
      <c r="DT145" s="59">
        <f ca="1">AVERAGE(OFFSET($DS$3,0,0,'Données projet'!$E$14+1,1))-AVERAGE(OFFSET($H$3,0,0,'Données projet'!$E$14+1,1))</f>
        <v>366.51581861366333</v>
      </c>
      <c r="DU145" s="59">
        <f t="shared" si="152"/>
        <v>225.01415116995503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47.471132872462434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47.471132872462434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328.00000000000017</v>
      </c>
      <c r="EK145" s="17">
        <f>EJ145*VLOOKUP('Données projet'!$B$15,Paramètres!$A$1:$I$89,3,0)*VLOOKUP('Données projet'!$B$15,Paramètres!$A$1:$I$89,5,0)</f>
        <v>255.84000000000015</v>
      </c>
      <c r="EL145" s="13">
        <f t="shared" si="153"/>
        <v>61.834803371075886</v>
      </c>
      <c r="EM145" s="20">
        <f t="shared" si="127"/>
        <v>553.28361587129086</v>
      </c>
      <c r="EN145" s="59">
        <f t="shared" si="128"/>
        <v>846.61694920462423</v>
      </c>
      <c r="EO145" s="59">
        <f ca="1">AVERAGE(OFFSET($EN$3,0,0,'Données projet'!$E$15+1,1))-AVERAGE(OFFSET($H$3,0,0,'Données projet'!$E$15+1,1))</f>
        <v>288.80569134263209</v>
      </c>
      <c r="EP145" s="59">
        <f t="shared" si="154"/>
        <v>283.48738729114024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4.7885257038495919</v>
      </c>
      <c r="EW145" s="21">
        <f>EXP(-LN(2)/25)*EW144+(1-EXP(-LN(2)/25))/(LN(2)/25)*Calculateur!ER145*Calculateur!ET145*VLOOKUP('Données projet'!$B$15,Paramètres!$A$1:$I$89,3,0)*0.475*44/12</f>
        <v>2.6102304476954883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7.3987561515450802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-1.0197709343628959E-13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323.17232038705157</v>
      </c>
      <c r="FK145" s="59">
        <f t="shared" si="156"/>
        <v>402.34685738619197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29.655724132411784</v>
      </c>
      <c r="FR145" s="21">
        <f>EXP(-LN(2)/25)*FR144+(1-EXP(-LN(2)/25))/(LN(2)/25)*Calculateur!FM145*Calculateur!FO145*VLOOKUP('Données projet'!$B$16,Paramètres!$A$1:$I$89,3,0)*0.475*44/12</f>
        <v>4.0727219332506213</v>
      </c>
      <c r="FS145" s="21">
        <f>EXP(-LN(2)/2)*FS144+(1-EXP(-LN(2)/2))/(LN(2)/2)*FM145*FP145*VLOOKUP('Données projet'!$B$16,Paramètres!$A$1:$I$89,3,0)*0.475*44/12</f>
        <v>4.5936725362946084E-12</v>
      </c>
      <c r="FT145" s="22">
        <f t="shared" si="132"/>
        <v>33.728446065667001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328.00000000000017</v>
      </c>
      <c r="GA145" s="17">
        <f>FZ145*VLOOKUP('Données projet'!$B$17,Paramètres!$A$1:$I$89,3,0)*VLOOKUP('Données projet'!$B$17,Paramètres!$A$1:$I$89,5,0)</f>
        <v>266.07360000000017</v>
      </c>
      <c r="GB145" s="13">
        <f t="shared" si="157"/>
        <v>64.015279012301136</v>
      </c>
      <c r="GC145" s="20">
        <f t="shared" si="133"/>
        <v>574.90479761309132</v>
      </c>
      <c r="GD145" s="59">
        <f t="shared" si="134"/>
        <v>868.23813094642469</v>
      </c>
      <c r="GE145" s="59">
        <f ca="1">AVERAGE(OFFSET($GD$3,0,0,'Données projet'!$E$17+1,1))-AVERAGE(OFFSET($H$3,0,0,'Données projet'!$E$17+1,1))</f>
        <v>298.96480270023716</v>
      </c>
      <c r="GF145" s="59">
        <f t="shared" si="158"/>
        <v>293.11447542333889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6.138221785957894</v>
      </c>
      <c r="GM145" s="21">
        <f>EXP(-LN(2)/25)*GM144+(1-EXP(-LN(2)/25))/(LN(2)/25)*Calculateur!GH145*Calculateur!GJ145*VLOOKUP('Données projet'!$B$17,Paramètres!$A$1:$I$89,3,0)*0.475*44/12</f>
        <v>3.3459512157436104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9.4841730017015049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-1.4210854715202004E-13</v>
      </c>
      <c r="GV145" s="17">
        <f>GU145*VLOOKUP('Données projet'!$B$18,Paramètres!$A$1:$I$89,3,0)*VLOOKUP('Données projet'!$B$18,Paramètres!$A$1:$I$89,5,0)</f>
        <v>-8.128608897095547E-14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320.76883487964511</v>
      </c>
      <c r="HA145" s="59">
        <f t="shared" si="160"/>
        <v>290.51177680335746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48.500462656689912</v>
      </c>
      <c r="HH145" s="21">
        <f>EXP(-LN(2)/25)*HH144+(1-EXP(-LN(2)/25))/(LN(2)/25)*Calculateur!HC145*Calculateur!HE145*VLOOKUP('Données projet'!$B$18,Paramètres!$A$1:$I$89,3,0)*0.475*44/12</f>
        <v>7.8876739890397163</v>
      </c>
      <c r="HI145" s="21">
        <f>EXP(-LN(2)/2)*HI144+(1-EXP(-LN(2)/2))/(LN(2)/2)*HC145*HF145*VLOOKUP('Données projet'!$B$18,Paramètres!$A$1:$I$89,3,0)*0.475*44/12</f>
        <v>4.7418977780993399E-7</v>
      </c>
      <c r="HJ145" s="22">
        <f t="shared" si="138"/>
        <v>56.388137119919406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5.763922672485933E-13</v>
      </c>
      <c r="AK146" s="13">
        <f t="shared" si="143"/>
        <v>7.0619171555808457E-12</v>
      </c>
      <c r="AL146" s="20">
        <f t="shared" si="112"/>
        <v>1.3303388911427938E-11</v>
      </c>
      <c r="AM146" s="59">
        <f t="shared" si="113"/>
        <v>293.33333333334662</v>
      </c>
      <c r="AN146" s="59">
        <f ca="1">AVERAGE(OFFSET($AM$3,0,0,'Données projet'!$E$10+1,1))-AVERAGE(OFFSET($H$3,0,0,'Données projet'!$E$10+1,1))</f>
        <v>425.47148407510412</v>
      </c>
      <c r="AO146" s="59">
        <f t="shared" si="144"/>
        <v>308.54448799922471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151.0898098923397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151.0898098923397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212.00000000000009</v>
      </c>
      <c r="BE146" s="13">
        <f>BD146*VLOOKUP('Données projet'!$B$11,Paramètres!$A$1:$I$89,3,0)*VLOOKUP('Données projet'!$B$11,Paramètres!$A$1:$I$89,5,0)</f>
        <v>185.20320000000009</v>
      </c>
      <c r="BF146" s="13">
        <f t="shared" si="145"/>
        <v>46.477875402099386</v>
      </c>
      <c r="BG146" s="20">
        <f t="shared" si="115"/>
        <v>403.5112063253232</v>
      </c>
      <c r="BH146" s="59">
        <f t="shared" si="116"/>
        <v>696.84453965865646</v>
      </c>
      <c r="BI146" s="59">
        <f ca="1">AVERAGE(OFFSET($BH$3,0,0,'Données projet'!$E$11+1,1))-AVERAGE(OFFSET($H$3,0,0,'Données projet'!$E$11+1,1))</f>
        <v>300.63505444445104</v>
      </c>
      <c r="BJ146" s="59">
        <f t="shared" si="146"/>
        <v>266.32508105927997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6.3731663143711579</v>
      </c>
      <c r="BQ146" s="21">
        <f>EXP(-LN(2)/25)*BQ145+(1-EXP(-LN(2)/25))/(LN(2)/25)*Calculateur!BL146*Calculateur!BN146*VLOOKUP('Données projet'!$B$11,Paramètres!$A$1:$I$89,3,0)*0.475*44/12</f>
        <v>4.2457736483048878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10.618939962676045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5.1063034188034209</v>
      </c>
      <c r="BY146" s="12">
        <f>IF('Données projet'!$A$114&gt;35,BY145+BX146-CG145,IF(A146&lt;'Données projet'!$A$114,$BV$205^A146,IF(A146='Données projet'!$A$114,'Données projet'!$B$114,BY145+BX146-CG145)))</f>
        <v>272.54807692307651</v>
      </c>
      <c r="BZ146" s="13">
        <f>BY146*VLOOKUP('Données projet'!$B$12,Paramètres!$A$1:$I$89,3,0)*VLOOKUP('Données projet'!$B$12,Paramètres!$A$1:$I$89,5,0)</f>
        <v>259.35674999999958</v>
      </c>
      <c r="CA146" s="13">
        <f t="shared" si="147"/>
        <v>62.585243289239635</v>
      </c>
      <c r="CB146" s="20">
        <f t="shared" si="118"/>
        <v>560.71563831209176</v>
      </c>
      <c r="CC146" s="59">
        <f t="shared" si="119"/>
        <v>854.04897164542513</v>
      </c>
      <c r="CD146" s="59">
        <f ca="1">AVERAGE(OFFSET($CC$3,0,0,'Données projet'!$E$12+1,1))-AVERAGE(OFFSET($H$3,0,0,'Données projet'!$E$12+1,1))</f>
        <v>361.26385625423757</v>
      </c>
      <c r="CE146" s="59">
        <f t="shared" si="148"/>
        <v>222.05197404028576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45.789603670859563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45.789603670859563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247.00000000000017</v>
      </c>
      <c r="CU146" s="17">
        <f>CT146*VLOOKUP('Données projet'!$B$13,Paramètres!$A$1:$I$89,3,0)*VLOOKUP('Données projet'!$B$13,Paramètres!$A$1:$I$89,5,0)</f>
        <v>223.48560000000012</v>
      </c>
      <c r="CV146" s="13">
        <f t="shared" si="149"/>
        <v>54.87176918107798</v>
      </c>
      <c r="CW146" s="20">
        <f t="shared" si="121"/>
        <v>484.80575132371092</v>
      </c>
      <c r="CX146" s="59">
        <f t="shared" si="122"/>
        <v>778.13908465704424</v>
      </c>
      <c r="CY146" s="59">
        <f ca="1">AVERAGE(OFFSET($CX$3,0,0,'Données projet'!$E$13+1,1))-AVERAGE(OFFSET($H$3,0,0,'Données projet'!$E$13+1,1))</f>
        <v>302.6937347295995</v>
      </c>
      <c r="CZ146" s="59">
        <f t="shared" si="150"/>
        <v>423.44006663873375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6.4629117869160507E-2</v>
      </c>
      <c r="DG146" s="21">
        <f>EXP(-LN(2)/25)*DG145+(1-EXP(-LN(2)/25))/(LN(2)/25)*Calculateur!DB146*Calculateur!DD146*VLOOKUP('Données projet'!$B$13,Paramètres!$A$1:$I$89,3,0)*0.475*44/12</f>
        <v>0.18694915426772876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0.25157827213688927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263.60849999999965</v>
      </c>
      <c r="DQ146" s="13">
        <f t="shared" si="151"/>
        <v>63.490946209531685</v>
      </c>
      <c r="DR146" s="20">
        <f t="shared" si="124"/>
        <v>569.69820214826711</v>
      </c>
      <c r="DS146" s="59">
        <f t="shared" si="125"/>
        <v>863.03153548160049</v>
      </c>
      <c r="DT146" s="59">
        <f ca="1">AVERAGE(OFFSET($DS$3,0,0,'Données projet'!$E$14+1,1))-AVERAGE(OFFSET($H$3,0,0,'Données projet'!$E$14+1,1))</f>
        <v>366.51581861366333</v>
      </c>
      <c r="DU146" s="59">
        <f t="shared" si="152"/>
        <v>225.01415116995503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46.540252911365478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46.540252911365478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328.00000000000017</v>
      </c>
      <c r="EK146" s="17">
        <f>EJ146*VLOOKUP('Données projet'!$B$15,Paramètres!$A$1:$I$89,3,0)*VLOOKUP('Données projet'!$B$15,Paramètres!$A$1:$I$89,5,0)</f>
        <v>255.84000000000015</v>
      </c>
      <c r="EL146" s="13">
        <f t="shared" si="153"/>
        <v>61.834803371075886</v>
      </c>
      <c r="EM146" s="20">
        <f t="shared" si="127"/>
        <v>553.28361587129086</v>
      </c>
      <c r="EN146" s="59">
        <f t="shared" si="128"/>
        <v>846.61694920462423</v>
      </c>
      <c r="EO146" s="59">
        <f ca="1">AVERAGE(OFFSET($EN$3,0,0,'Données projet'!$E$15+1,1))-AVERAGE(OFFSET($H$3,0,0,'Données projet'!$E$15+1,1))</f>
        <v>288.80569134263209</v>
      </c>
      <c r="EP146" s="59">
        <f t="shared" si="154"/>
        <v>283.48738729114024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4.6946256355093841</v>
      </c>
      <c r="EW146" s="21">
        <f>EXP(-LN(2)/25)*EW145+(1-EXP(-LN(2)/25))/(LN(2)/25)*Calculateur!ER146*Calculateur!ET146*VLOOKUP('Données projet'!$B$15,Paramètres!$A$1:$I$89,3,0)*0.475*44/12</f>
        <v>2.5388535588372019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7.2334791943465859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-1.0197709343628959E-13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323.17232038705157</v>
      </c>
      <c r="FK146" s="59">
        <f t="shared" si="156"/>
        <v>402.34685738619197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29.074193470380848</v>
      </c>
      <c r="FR146" s="21">
        <f>EXP(-LN(2)/25)*FR145+(1-EXP(-LN(2)/25))/(LN(2)/25)*Calculateur!FM146*Calculateur!FO146*VLOOKUP('Données projet'!$B$16,Paramètres!$A$1:$I$89,3,0)*0.475*44/12</f>
        <v>3.9613531378107449</v>
      </c>
      <c r="FS146" s="21">
        <f>EXP(-LN(2)/2)*FS145+(1-EXP(-LN(2)/2))/(LN(2)/2)*FM146*FP146*VLOOKUP('Données projet'!$B$16,Paramètres!$A$1:$I$89,3,0)*0.475*44/12</f>
        <v>3.2482170009643245E-12</v>
      </c>
      <c r="FT146" s="22">
        <f t="shared" si="132"/>
        <v>33.035546608194842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328.00000000000017</v>
      </c>
      <c r="GA146" s="17">
        <f>FZ146*VLOOKUP('Données projet'!$B$17,Paramètres!$A$1:$I$89,3,0)*VLOOKUP('Données projet'!$B$17,Paramètres!$A$1:$I$89,5,0)</f>
        <v>266.07360000000017</v>
      </c>
      <c r="GB146" s="13">
        <f t="shared" si="157"/>
        <v>64.015279012301136</v>
      </c>
      <c r="GC146" s="20">
        <f t="shared" si="133"/>
        <v>574.90479761309132</v>
      </c>
      <c r="GD146" s="59">
        <f t="shared" si="134"/>
        <v>868.23813094642469</v>
      </c>
      <c r="GE146" s="59">
        <f ca="1">AVERAGE(OFFSET($GD$3,0,0,'Données projet'!$E$17+1,1))-AVERAGE(OFFSET($H$3,0,0,'Données projet'!$E$17+1,1))</f>
        <v>298.96480270023716</v>
      </c>
      <c r="GF146" s="59">
        <f t="shared" si="158"/>
        <v>293.11447542333889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6.0178550006808651</v>
      </c>
      <c r="GM146" s="21">
        <f>EXP(-LN(2)/25)*GM145+(1-EXP(-LN(2)/25))/(LN(2)/25)*Calculateur!GH146*Calculateur!GJ146*VLOOKUP('Données projet'!$B$17,Paramètres!$A$1:$I$89,3,0)*0.475*44/12</f>
        <v>3.2544560037931745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9.2723110044740391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-1.4210854715202004E-13</v>
      </c>
      <c r="GV146" s="17">
        <f>GU146*VLOOKUP('Données projet'!$B$18,Paramètres!$A$1:$I$89,3,0)*VLOOKUP('Données projet'!$B$18,Paramètres!$A$1:$I$89,5,0)</f>
        <v>-8.128608897095547E-14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320.76883487964511</v>
      </c>
      <c r="HA146" s="59">
        <f t="shared" si="160"/>
        <v>290.51177680335746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47.549398166353427</v>
      </c>
      <c r="HH146" s="21">
        <f>EXP(-LN(2)/25)*HH145+(1-EXP(-LN(2)/25))/(LN(2)/25)*Calculateur!HC146*Calculateur!HE146*VLOOKUP('Données projet'!$B$18,Paramètres!$A$1:$I$89,3,0)*0.475*44/12</f>
        <v>7.6719851290146774</v>
      </c>
      <c r="HI146" s="21">
        <f>EXP(-LN(2)/2)*HI145+(1-EXP(-LN(2)/2))/(LN(2)/2)*HC146*HF146*VLOOKUP('Données projet'!$B$18,Paramètres!$A$1:$I$89,3,0)*0.475*44/12</f>
        <v>3.353028074587466E-7</v>
      </c>
      <c r="HJ146" s="22">
        <f t="shared" si="138"/>
        <v>55.221383630670914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5.763922672485933E-13</v>
      </c>
      <c r="AK147" s="13">
        <f t="shared" si="143"/>
        <v>7.0619171555808457E-12</v>
      </c>
      <c r="AL147" s="20">
        <f t="shared" si="112"/>
        <v>1.3303388911427938E-11</v>
      </c>
      <c r="AM147" s="59">
        <f t="shared" si="113"/>
        <v>293.33333333334662</v>
      </c>
      <c r="AN147" s="59">
        <f ca="1">AVERAGE(OFFSET($AM$3,0,0,'Données projet'!$E$10+1,1))-AVERAGE(OFFSET($H$3,0,0,'Données projet'!$E$10+1,1))</f>
        <v>425.47148407510412</v>
      </c>
      <c r="AO147" s="59">
        <f t="shared" si="144"/>
        <v>308.54448799922471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148.12703087603535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148.12703087603535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212.00000000000009</v>
      </c>
      <c r="BE147" s="13">
        <f>BD147*VLOOKUP('Données projet'!$B$11,Paramètres!$A$1:$I$89,3,0)*VLOOKUP('Données projet'!$B$11,Paramètres!$A$1:$I$89,5,0)</f>
        <v>185.20320000000009</v>
      </c>
      <c r="BF147" s="13">
        <f t="shared" si="145"/>
        <v>46.477875402099386</v>
      </c>
      <c r="BG147" s="20">
        <f t="shared" si="115"/>
        <v>403.5112063253232</v>
      </c>
      <c r="BH147" s="59">
        <f t="shared" si="116"/>
        <v>696.84453965865646</v>
      </c>
      <c r="BI147" s="59">
        <f ca="1">AVERAGE(OFFSET($BH$3,0,0,'Données projet'!$E$11+1,1))-AVERAGE(OFFSET($H$3,0,0,'Données projet'!$E$11+1,1))</f>
        <v>300.63505444445104</v>
      </c>
      <c r="BJ147" s="59">
        <f t="shared" si="146"/>
        <v>266.32508105927997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6.2481924101939574</v>
      </c>
      <c r="BQ147" s="21">
        <f>EXP(-LN(2)/25)*BQ146+(1-EXP(-LN(2)/25))/(LN(2)/25)*Calculateur!BL147*Calculateur!BN147*VLOOKUP('Données projet'!$B$11,Paramètres!$A$1:$I$89,3,0)*0.475*44/12</f>
        <v>4.1296727446164585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10.377865154810415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5.1063034188034209</v>
      </c>
      <c r="BY147" s="12">
        <f>IF('Données projet'!$A$114&gt;35,BY146+BX147-CG146,IF(A147&lt;'Données projet'!$A$114,$BV$205^A147,IF(A147='Données projet'!$A$114,'Données projet'!$B$114,BY146+BX147-CG146)))</f>
        <v>277.65438034187991</v>
      </c>
      <c r="BZ147" s="13">
        <f>BY147*VLOOKUP('Données projet'!$B$12,Paramètres!$A$1:$I$89,3,0)*VLOOKUP('Données projet'!$B$12,Paramètres!$A$1:$I$89,5,0)</f>
        <v>264.21590833333295</v>
      </c>
      <c r="CA147" s="13">
        <f t="shared" si="147"/>
        <v>63.620196238078719</v>
      </c>
      <c r="CB147" s="20">
        <f t="shared" si="118"/>
        <v>570.98121546187531</v>
      </c>
      <c r="CC147" s="59">
        <f t="shared" si="119"/>
        <v>864.31454879520857</v>
      </c>
      <c r="CD147" s="59">
        <f ca="1">AVERAGE(OFFSET($CC$3,0,0,'Données projet'!$E$12+1,1))-AVERAGE(OFFSET($H$3,0,0,'Données projet'!$E$12+1,1))</f>
        <v>361.26385625423757</v>
      </c>
      <c r="CE147" s="59">
        <f t="shared" si="148"/>
        <v>222.05197404028576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44.891697471774499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44.891697471774499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247.00000000000017</v>
      </c>
      <c r="CU147" s="17">
        <f>CT147*VLOOKUP('Données projet'!$B$13,Paramètres!$A$1:$I$89,3,0)*VLOOKUP('Données projet'!$B$13,Paramètres!$A$1:$I$89,5,0)</f>
        <v>223.48560000000012</v>
      </c>
      <c r="CV147" s="13">
        <f t="shared" si="149"/>
        <v>54.87176918107798</v>
      </c>
      <c r="CW147" s="20">
        <f t="shared" si="121"/>
        <v>484.80575132371092</v>
      </c>
      <c r="CX147" s="59">
        <f t="shared" si="122"/>
        <v>778.13908465704424</v>
      </c>
      <c r="CY147" s="59">
        <f ca="1">AVERAGE(OFFSET($CX$3,0,0,'Données projet'!$E$13+1,1))-AVERAGE(OFFSET($H$3,0,0,'Données projet'!$E$13+1,1))</f>
        <v>302.6937347295995</v>
      </c>
      <c r="CZ147" s="59">
        <f t="shared" si="150"/>
        <v>423.44006663873375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6.3361780287615785E-2</v>
      </c>
      <c r="DG147" s="21">
        <f>EXP(-LN(2)/25)*DG146+(1-EXP(-LN(2)/25))/(LN(2)/25)*Calculateur!DB147*Calculateur!DD147*VLOOKUP('Données projet'!$B$13,Paramètres!$A$1:$I$89,3,0)*0.475*44/12</f>
        <v>0.18183701981304898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0.24519880010066475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268.54731666666623</v>
      </c>
      <c r="DQ147" s="13">
        <f t="shared" si="151"/>
        <v>64.540876489429408</v>
      </c>
      <c r="DR147" s="20">
        <f t="shared" si="124"/>
        <v>580.12860308019992</v>
      </c>
      <c r="DS147" s="59">
        <f t="shared" si="125"/>
        <v>873.46193641353329</v>
      </c>
      <c r="DT147" s="59">
        <f ca="1">AVERAGE(OFFSET($DS$3,0,0,'Données projet'!$E$14+1,1))-AVERAGE(OFFSET($H$3,0,0,'Données projet'!$E$14+1,1))</f>
        <v>366.51581861366333</v>
      </c>
      <c r="DU147" s="59">
        <f t="shared" si="152"/>
        <v>225.01415116995503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45.627626938524919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45.627626938524919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328.00000000000017</v>
      </c>
      <c r="EK147" s="17">
        <f>EJ147*VLOOKUP('Données projet'!$B$15,Paramètres!$A$1:$I$89,3,0)*VLOOKUP('Données projet'!$B$15,Paramètres!$A$1:$I$89,5,0)</f>
        <v>255.84000000000015</v>
      </c>
      <c r="EL147" s="13">
        <f t="shared" si="153"/>
        <v>61.834803371075886</v>
      </c>
      <c r="EM147" s="20">
        <f t="shared" si="127"/>
        <v>553.28361587129086</v>
      </c>
      <c r="EN147" s="59">
        <f t="shared" si="128"/>
        <v>846.61694920462423</v>
      </c>
      <c r="EO147" s="59">
        <f ca="1">AVERAGE(OFFSET($EN$3,0,0,'Données projet'!$E$15+1,1))-AVERAGE(OFFSET($H$3,0,0,'Données projet'!$E$15+1,1))</f>
        <v>288.80569134263209</v>
      </c>
      <c r="EP147" s="59">
        <f t="shared" si="154"/>
        <v>283.48738729114024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4.6025668902359413</v>
      </c>
      <c r="EW147" s="21">
        <f>EXP(-LN(2)/25)*EW146+(1-EXP(-LN(2)/25))/(LN(2)/25)*Calculateur!ER147*Calculateur!ET147*VLOOKUP('Données projet'!$B$15,Paramètres!$A$1:$I$89,3,0)*0.475*44/12</f>
        <v>2.4694284747582924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7.0719953649942333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-1.0197709343628959E-13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323.17232038705157</v>
      </c>
      <c r="FK147" s="59">
        <f t="shared" si="156"/>
        <v>402.34685738619197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28.504066269933659</v>
      </c>
      <c r="FR147" s="21">
        <f>EXP(-LN(2)/25)*FR146+(1-EXP(-LN(2)/25))/(LN(2)/25)*Calculateur!FM147*Calculateur!FO147*VLOOKUP('Données projet'!$B$16,Paramètres!$A$1:$I$89,3,0)*0.475*44/12</f>
        <v>3.8530297279388024</v>
      </c>
      <c r="FS147" s="21">
        <f>EXP(-LN(2)/2)*FS146+(1-EXP(-LN(2)/2))/(LN(2)/2)*FM147*FP147*VLOOKUP('Données projet'!$B$16,Paramètres!$A$1:$I$89,3,0)*0.475*44/12</f>
        <v>2.2968362681473042E-12</v>
      </c>
      <c r="FT147" s="22">
        <f t="shared" si="132"/>
        <v>32.357095997874758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328.00000000000017</v>
      </c>
      <c r="GA147" s="17">
        <f>FZ147*VLOOKUP('Données projet'!$B$17,Paramètres!$A$1:$I$89,3,0)*VLOOKUP('Données projet'!$B$17,Paramètres!$A$1:$I$89,5,0)</f>
        <v>266.07360000000017</v>
      </c>
      <c r="GB147" s="13">
        <f t="shared" si="157"/>
        <v>64.015279012301136</v>
      </c>
      <c r="GC147" s="20">
        <f t="shared" si="133"/>
        <v>574.90479761309132</v>
      </c>
      <c r="GD147" s="59">
        <f t="shared" si="134"/>
        <v>868.23813094642469</v>
      </c>
      <c r="GE147" s="59">
        <f ca="1">AVERAGE(OFFSET($GD$3,0,0,'Données projet'!$E$17+1,1))-AVERAGE(OFFSET($H$3,0,0,'Données projet'!$E$17+1,1))</f>
        <v>298.96480270023716</v>
      </c>
      <c r="GF147" s="59">
        <f t="shared" si="158"/>
        <v>293.11447542333889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5.8998485346466287</v>
      </c>
      <c r="GM147" s="21">
        <f>EXP(-LN(2)/25)*GM146+(1-EXP(-LN(2)/25))/(LN(2)/25)*Calculateur!GH147*Calculateur!GJ147*VLOOKUP('Données projet'!$B$17,Paramètres!$A$1:$I$89,3,0)*0.475*44/12</f>
        <v>3.1654627332250471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9.0653112678716763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-1.4210854715202004E-13</v>
      </c>
      <c r="GV147" s="17">
        <f>GU147*VLOOKUP('Données projet'!$B$18,Paramètres!$A$1:$I$89,3,0)*VLOOKUP('Données projet'!$B$18,Paramètres!$A$1:$I$89,5,0)</f>
        <v>-8.128608897095547E-14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320.76883487964511</v>
      </c>
      <c r="HA147" s="59">
        <f t="shared" si="160"/>
        <v>290.51177680335746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46.616983470580379</v>
      </c>
      <c r="HH147" s="21">
        <f>EXP(-LN(2)/25)*HH146+(1-EXP(-LN(2)/25))/(LN(2)/25)*Calculateur!HC147*Calculateur!HE147*VLOOKUP('Données projet'!$B$18,Paramètres!$A$1:$I$89,3,0)*0.475*44/12</f>
        <v>7.4621942922096078</v>
      </c>
      <c r="HI147" s="21">
        <f>EXP(-LN(2)/2)*HI146+(1-EXP(-LN(2)/2))/(LN(2)/2)*HC147*HF147*VLOOKUP('Données projet'!$B$18,Paramètres!$A$1:$I$89,3,0)*0.475*44/12</f>
        <v>2.3709488890496702E-7</v>
      </c>
      <c r="HJ147" s="22">
        <f t="shared" si="138"/>
        <v>54.079177999884877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5.763922672485933E-13</v>
      </c>
      <c r="AK148" s="13">
        <f t="shared" si="143"/>
        <v>7.0619171555808457E-12</v>
      </c>
      <c r="AL148" s="20">
        <f t="shared" si="112"/>
        <v>1.3303388911427938E-11</v>
      </c>
      <c r="AM148" s="59">
        <f t="shared" si="113"/>
        <v>293.33333333334662</v>
      </c>
      <c r="AN148" s="59">
        <f ca="1">AVERAGE(OFFSET($AM$3,0,0,'Données projet'!$E$10+1,1))-AVERAGE(OFFSET($H$3,0,0,'Données projet'!$E$10+1,1))</f>
        <v>425.47148407510412</v>
      </c>
      <c r="AO148" s="59">
        <f t="shared" si="144"/>
        <v>308.54448799922471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145.22235014912394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145.22235014912394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212.00000000000009</v>
      </c>
      <c r="BE148" s="13">
        <f>BD148*VLOOKUP('Données projet'!$B$11,Paramètres!$A$1:$I$89,3,0)*VLOOKUP('Données projet'!$B$11,Paramètres!$A$1:$I$89,5,0)</f>
        <v>185.20320000000009</v>
      </c>
      <c r="BF148" s="13">
        <f t="shared" si="145"/>
        <v>46.477875402099386</v>
      </c>
      <c r="BG148" s="20">
        <f t="shared" si="115"/>
        <v>403.5112063253232</v>
      </c>
      <c r="BH148" s="59">
        <f t="shared" si="116"/>
        <v>696.84453965865646</v>
      </c>
      <c r="BI148" s="59">
        <f ca="1">AVERAGE(OFFSET($BH$3,0,0,'Données projet'!$E$11+1,1))-AVERAGE(OFFSET($H$3,0,0,'Données projet'!$E$11+1,1))</f>
        <v>300.63505444445104</v>
      </c>
      <c r="BJ148" s="59">
        <f t="shared" si="146"/>
        <v>266.32508105927997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6.1256691680511173</v>
      </c>
      <c r="BQ148" s="21">
        <f>EXP(-LN(2)/25)*BQ147+(1-EXP(-LN(2)/25))/(LN(2)/25)*Calculateur!BL148*Calculateur!BN148*VLOOKUP('Données projet'!$B$11,Paramètres!$A$1:$I$89,3,0)*0.475*44/12</f>
        <v>4.0167466262448706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10.142415794295989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5.1063034188034209</v>
      </c>
      <c r="BY148" s="12">
        <f>IF('Données projet'!$A$114&gt;35,BY147+BX148-CG147,IF(A148&lt;'Données projet'!$A$114,$BV$205^A148,IF(A148='Données projet'!$A$114,'Données projet'!$B$114,BY147+BX148-CG147)))</f>
        <v>282.76068376068332</v>
      </c>
      <c r="BZ148" s="13">
        <f>BY148*VLOOKUP('Données projet'!$B$12,Paramètres!$A$1:$I$89,3,0)*VLOOKUP('Données projet'!$B$12,Paramètres!$A$1:$I$89,5,0)</f>
        <v>269.07506666666626</v>
      </c>
      <c r="CA148" s="13">
        <f t="shared" si="147"/>
        <v>64.652935904711711</v>
      </c>
      <c r="CB148" s="20">
        <f t="shared" si="118"/>
        <v>581.24293781181666</v>
      </c>
      <c r="CC148" s="59">
        <f t="shared" si="119"/>
        <v>874.57627114515003</v>
      </c>
      <c r="CD148" s="59">
        <f ca="1">AVERAGE(OFFSET($CC$3,0,0,'Données projet'!$E$12+1,1))-AVERAGE(OFFSET($H$3,0,0,'Données projet'!$E$12+1,1))</f>
        <v>361.26385625423757</v>
      </c>
      <c r="CE148" s="59">
        <f t="shared" si="148"/>
        <v>222.05197404028576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44.011398665584785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44.011398665584785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247.00000000000017</v>
      </c>
      <c r="CU148" s="17">
        <f>CT148*VLOOKUP('Données projet'!$B$13,Paramètres!$A$1:$I$89,3,0)*VLOOKUP('Données projet'!$B$13,Paramètres!$A$1:$I$89,5,0)</f>
        <v>223.48560000000012</v>
      </c>
      <c r="CV148" s="13">
        <f t="shared" si="149"/>
        <v>54.87176918107798</v>
      </c>
      <c r="CW148" s="20">
        <f t="shared" si="121"/>
        <v>484.80575132371092</v>
      </c>
      <c r="CX148" s="59">
        <f t="shared" si="122"/>
        <v>778.13908465704424</v>
      </c>
      <c r="CY148" s="59">
        <f ca="1">AVERAGE(OFFSET($CX$3,0,0,'Données projet'!$E$13+1,1))-AVERAGE(OFFSET($H$3,0,0,'Données projet'!$E$13+1,1))</f>
        <v>302.6937347295995</v>
      </c>
      <c r="CZ148" s="59">
        <f t="shared" si="150"/>
        <v>423.44006663873375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6.2119294423045555E-2</v>
      </c>
      <c r="DG148" s="21">
        <f>EXP(-LN(2)/25)*DG147+(1-EXP(-LN(2)/25))/(LN(2)/25)*Calculateur!DB148*Calculateur!DD148*VLOOKUP('Données projet'!$B$13,Paramètres!$A$1:$I$89,3,0)*0.475*44/12</f>
        <v>0.17686467694386787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0.23898397136691343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273.48613333333293</v>
      </c>
      <c r="DQ148" s="13">
        <f t="shared" si="151"/>
        <v>65.58856145758736</v>
      </c>
      <c r="DR148" s="20">
        <f t="shared" si="124"/>
        <v>590.55509342751941</v>
      </c>
      <c r="DS148" s="59">
        <f t="shared" si="125"/>
        <v>883.88842676085278</v>
      </c>
      <c r="DT148" s="59">
        <f ca="1">AVERAGE(OFFSET($DS$3,0,0,'Données projet'!$E$14+1,1))-AVERAGE(OFFSET($H$3,0,0,'Données projet'!$E$14+1,1))</f>
        <v>366.51581861366333</v>
      </c>
      <c r="DU148" s="59">
        <f t="shared" si="152"/>
        <v>225.01415116995503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44.732897004364887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44.732897004364887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328.00000000000017</v>
      </c>
      <c r="EK148" s="17">
        <f>EJ148*VLOOKUP('Données projet'!$B$15,Paramètres!$A$1:$I$89,3,0)*VLOOKUP('Données projet'!$B$15,Paramètres!$A$1:$I$89,5,0)</f>
        <v>255.84000000000015</v>
      </c>
      <c r="EL148" s="13">
        <f t="shared" si="153"/>
        <v>61.834803371075886</v>
      </c>
      <c r="EM148" s="20">
        <f t="shared" si="127"/>
        <v>553.28361587129086</v>
      </c>
      <c r="EN148" s="59">
        <f t="shared" si="128"/>
        <v>846.61694920462423</v>
      </c>
      <c r="EO148" s="59">
        <f ca="1">AVERAGE(OFFSET($EN$3,0,0,'Données projet'!$E$15+1,1))-AVERAGE(OFFSET($H$3,0,0,'Données projet'!$E$15+1,1))</f>
        <v>288.80569134263209</v>
      </c>
      <c r="EP148" s="59">
        <f t="shared" si="154"/>
        <v>283.48738729114024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4.5123133608070205</v>
      </c>
      <c r="EW148" s="21">
        <f>EXP(-LN(2)/25)*EW147+(1-EXP(-LN(2)/25))/(LN(2)/25)*Calculateur!ER148*Calculateur!ET148*VLOOKUP('Données projet'!$B$15,Paramètres!$A$1:$I$89,3,0)*0.475*44/12</f>
        <v>2.4019018232544274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6.9142151840614474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-1.0197709343628959E-13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323.17232038705157</v>
      </c>
      <c r="FK148" s="59">
        <f t="shared" si="156"/>
        <v>402.34685738619197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27.945118916143983</v>
      </c>
      <c r="FR148" s="21">
        <f>EXP(-LN(2)/25)*FR147+(1-EXP(-LN(2)/25))/(LN(2)/25)*Calculateur!FM148*Calculateur!FO148*VLOOKUP('Données projet'!$B$16,Paramètres!$A$1:$I$89,3,0)*0.475*44/12</f>
        <v>3.7476684274062886</v>
      </c>
      <c r="FS148" s="21">
        <f>EXP(-LN(2)/2)*FS147+(1-EXP(-LN(2)/2))/(LN(2)/2)*FM148*FP148*VLOOKUP('Données projet'!$B$16,Paramètres!$A$1:$I$89,3,0)*0.475*44/12</f>
        <v>1.6241085004821623E-12</v>
      </c>
      <c r="FT148" s="22">
        <f t="shared" si="132"/>
        <v>31.692787343551895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328.00000000000017</v>
      </c>
      <c r="GA148" s="17">
        <f>FZ148*VLOOKUP('Données projet'!$B$17,Paramètres!$A$1:$I$89,3,0)*VLOOKUP('Données projet'!$B$17,Paramètres!$A$1:$I$89,5,0)</f>
        <v>266.07360000000017</v>
      </c>
      <c r="GB148" s="13">
        <f t="shared" si="157"/>
        <v>64.015279012301136</v>
      </c>
      <c r="GC148" s="20">
        <f t="shared" si="133"/>
        <v>574.90479761309132</v>
      </c>
      <c r="GD148" s="59">
        <f t="shared" si="134"/>
        <v>868.23813094642469</v>
      </c>
      <c r="GE148" s="59">
        <f ca="1">AVERAGE(OFFSET($GD$3,0,0,'Données projet'!$E$17+1,1))-AVERAGE(OFFSET($H$3,0,0,'Données projet'!$E$17+1,1))</f>
        <v>298.96480270023716</v>
      </c>
      <c r="GF148" s="59">
        <f t="shared" si="158"/>
        <v>293.11447542333889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5.7841561034344871</v>
      </c>
      <c r="GM148" s="21">
        <f>EXP(-LN(2)/25)*GM147+(1-EXP(-LN(2)/25))/(LN(2)/25)*Calculateur!GH148*Calculateur!GJ148*VLOOKUP('Données projet'!$B$17,Paramètres!$A$1:$I$89,3,0)*0.475*44/12</f>
        <v>3.0789029883205576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8.8630590917550442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-1.4210854715202004E-13</v>
      </c>
      <c r="GV148" s="17">
        <f>GU148*VLOOKUP('Données projet'!$B$18,Paramètres!$A$1:$I$89,3,0)*VLOOKUP('Données projet'!$B$18,Paramètres!$A$1:$I$89,5,0)</f>
        <v>-8.128608897095547E-14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320.76883487964511</v>
      </c>
      <c r="HA148" s="59">
        <f t="shared" si="160"/>
        <v>290.51177680335746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45.702852858274632</v>
      </c>
      <c r="HH148" s="21">
        <f>EXP(-LN(2)/25)*HH147+(1-EXP(-LN(2)/25))/(LN(2)/25)*Calculateur!HC148*Calculateur!HE148*VLOOKUP('Données projet'!$B$18,Paramètres!$A$1:$I$89,3,0)*0.475*44/12</f>
        <v>7.2581401968693937</v>
      </c>
      <c r="HI148" s="21">
        <f>EXP(-LN(2)/2)*HI147+(1-EXP(-LN(2)/2))/(LN(2)/2)*HC148*HF148*VLOOKUP('Données projet'!$B$18,Paramètres!$A$1:$I$89,3,0)*0.475*44/12</f>
        <v>1.6765140372937332E-7</v>
      </c>
      <c r="HJ148" s="22">
        <f t="shared" si="138"/>
        <v>52.960993222795423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5.763922672485933E-13</v>
      </c>
      <c r="AK149" s="13">
        <f t="shared" si="143"/>
        <v>7.0619171555808457E-12</v>
      </c>
      <c r="AL149" s="20">
        <f t="shared" si="112"/>
        <v>1.3303388911427938E-11</v>
      </c>
      <c r="AM149" s="59">
        <f t="shared" si="113"/>
        <v>293.33333333334662</v>
      </c>
      <c r="AN149" s="59">
        <f ca="1">AVERAGE(OFFSET($AM$3,0,0,'Données projet'!$E$10+1,1))-AVERAGE(OFFSET($H$3,0,0,'Données projet'!$E$10+1,1))</f>
        <v>425.47148407510412</v>
      </c>
      <c r="AO149" s="59">
        <f t="shared" si="144"/>
        <v>308.54448799922471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142.37462843958696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142.37462843958696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212.00000000000009</v>
      </c>
      <c r="BE149" s="13">
        <f>BD149*VLOOKUP('Données projet'!$B$11,Paramètres!$A$1:$I$89,3,0)*VLOOKUP('Données projet'!$B$11,Paramètres!$A$1:$I$89,5,0)</f>
        <v>185.20320000000009</v>
      </c>
      <c r="BF149" s="13">
        <f t="shared" si="145"/>
        <v>46.477875402099386</v>
      </c>
      <c r="BG149" s="20">
        <f t="shared" si="115"/>
        <v>403.5112063253232</v>
      </c>
      <c r="BH149" s="59">
        <f t="shared" si="116"/>
        <v>696.84453965865646</v>
      </c>
      <c r="BI149" s="59">
        <f ca="1">AVERAGE(OFFSET($BH$3,0,0,'Données projet'!$E$11+1,1))-AVERAGE(OFFSET($H$3,0,0,'Données projet'!$E$11+1,1))</f>
        <v>300.63505444445104</v>
      </c>
      <c r="BJ149" s="59">
        <f t="shared" si="146"/>
        <v>266.32508105927997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6.0055485319548998</v>
      </c>
      <c r="BQ149" s="21">
        <f>EXP(-LN(2)/25)*BQ148+(1-EXP(-LN(2)/25))/(LN(2)/25)*Calculateur!BL149*Calculateur!BN149*VLOOKUP('Données projet'!$B$11,Paramètres!$A$1:$I$89,3,0)*0.475*44/12</f>
        <v>3.9069084785186798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9.9124570104735792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5.1063034188034209</v>
      </c>
      <c r="BY149" s="12">
        <f>IF('Données projet'!$A$114&gt;35,BY148+BX149-CG148,IF(A149&lt;'Données projet'!$A$114,$BV$205^A149,IF(A149='Données projet'!$A$114,'Données projet'!$B$114,BY148+BX149-CG148)))</f>
        <v>287.86698717948673</v>
      </c>
      <c r="BZ149" s="13">
        <f>BY149*VLOOKUP('Données projet'!$B$12,Paramètres!$A$1:$I$89,3,0)*VLOOKUP('Données projet'!$B$12,Paramètres!$A$1:$I$89,5,0)</f>
        <v>273.93422499999957</v>
      </c>
      <c r="CA149" s="13">
        <f t="shared" si="147"/>
        <v>65.683506868664253</v>
      </c>
      <c r="CB149" s="20">
        <f t="shared" si="118"/>
        <v>591.50088300458958</v>
      </c>
      <c r="CC149" s="59">
        <f t="shared" si="119"/>
        <v>884.83421633792295</v>
      </c>
      <c r="CD149" s="59">
        <f ca="1">AVERAGE(OFFSET($CC$3,0,0,'Données projet'!$E$12+1,1))-AVERAGE(OFFSET($H$3,0,0,'Données projet'!$E$12+1,1))</f>
        <v>361.26385625423757</v>
      </c>
      <c r="CE149" s="59">
        <f t="shared" si="148"/>
        <v>222.05197404028576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43.148361982055199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43.148361982055199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247.00000000000017</v>
      </c>
      <c r="CU149" s="17">
        <f>CT149*VLOOKUP('Données projet'!$B$13,Paramètres!$A$1:$I$89,3,0)*VLOOKUP('Données projet'!$B$13,Paramètres!$A$1:$I$89,5,0)</f>
        <v>223.48560000000012</v>
      </c>
      <c r="CV149" s="13">
        <f t="shared" si="149"/>
        <v>54.87176918107798</v>
      </c>
      <c r="CW149" s="20">
        <f t="shared" si="121"/>
        <v>484.80575132371092</v>
      </c>
      <c r="CX149" s="59">
        <f t="shared" si="122"/>
        <v>778.13908465704424</v>
      </c>
      <c r="CY149" s="59">
        <f ca="1">AVERAGE(OFFSET($CX$3,0,0,'Données projet'!$E$13+1,1))-AVERAGE(OFFSET($H$3,0,0,'Données projet'!$E$13+1,1))</f>
        <v>302.6937347295995</v>
      </c>
      <c r="CZ149" s="59">
        <f t="shared" si="150"/>
        <v>423.44006663873375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6.0901172948437998E-2</v>
      </c>
      <c r="DG149" s="21">
        <f>EXP(-LN(2)/25)*DG148+(1-EXP(-LN(2)/25))/(LN(2)/25)*Calculateur!DB149*Calculateur!DD149*VLOOKUP('Données projet'!$B$13,Paramètres!$A$1:$I$89,3,0)*0.475*44/12</f>
        <v>0.17202830305192868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0.23292947600036668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278.42494999999957</v>
      </c>
      <c r="DQ149" s="13">
        <f t="shared" si="151"/>
        <v>66.634046338664206</v>
      </c>
      <c r="DR149" s="20">
        <f t="shared" si="124"/>
        <v>600.97775195650604</v>
      </c>
      <c r="DS149" s="59">
        <f t="shared" si="125"/>
        <v>894.31108528983941</v>
      </c>
      <c r="DT149" s="59">
        <f ca="1">AVERAGE(OFFSET($DS$3,0,0,'Données projet'!$E$14+1,1))-AVERAGE(OFFSET($H$3,0,0,'Données projet'!$E$14+1,1))</f>
        <v>366.51581861366333</v>
      </c>
      <c r="DU149" s="59">
        <f t="shared" si="152"/>
        <v>225.01415116995503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43.855712178482356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43.855712178482356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328.00000000000017</v>
      </c>
      <c r="EK149" s="17">
        <f>EJ149*VLOOKUP('Données projet'!$B$15,Paramètres!$A$1:$I$89,3,0)*VLOOKUP('Données projet'!$B$15,Paramètres!$A$1:$I$89,5,0)</f>
        <v>255.84000000000015</v>
      </c>
      <c r="EL149" s="13">
        <f t="shared" si="153"/>
        <v>61.834803371075886</v>
      </c>
      <c r="EM149" s="20">
        <f t="shared" si="127"/>
        <v>553.28361587129086</v>
      </c>
      <c r="EN149" s="59">
        <f t="shared" si="128"/>
        <v>846.61694920462423</v>
      </c>
      <c r="EO149" s="59">
        <f ca="1">AVERAGE(OFFSET($EN$3,0,0,'Données projet'!$E$15+1,1))-AVERAGE(OFFSET($H$3,0,0,'Données projet'!$E$15+1,1))</f>
        <v>288.80569134263209</v>
      </c>
      <c r="EP149" s="59">
        <f t="shared" si="154"/>
        <v>283.48738729114024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4.423829648040984</v>
      </c>
      <c r="EW149" s="21">
        <f>EXP(-LN(2)/25)*EW148+(1-EXP(-LN(2)/25))/(LN(2)/25)*Calculateur!ER149*Calculateur!ET149*VLOOKUP('Données projet'!$B$15,Paramètres!$A$1:$I$89,3,0)*0.475*44/12</f>
        <v>2.3362216915870078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6.7600513396279922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-1.0197709343628959E-13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323.17232038705157</v>
      </c>
      <c r="FK149" s="59">
        <f t="shared" si="156"/>
        <v>402.34685738619197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27.3971321790379</v>
      </c>
      <c r="FR149" s="21">
        <f>EXP(-LN(2)/25)*FR148+(1-EXP(-LN(2)/25))/(LN(2)/25)*Calculateur!FM149*Calculateur!FO149*VLOOKUP('Données projet'!$B$16,Paramètres!$A$1:$I$89,3,0)*0.475*44/12</f>
        <v>3.6451882371775466</v>
      </c>
      <c r="FS149" s="21">
        <f>EXP(-LN(2)/2)*FS148+(1-EXP(-LN(2)/2))/(LN(2)/2)*FM149*FP149*VLOOKUP('Données projet'!$B$16,Paramètres!$A$1:$I$89,3,0)*0.475*44/12</f>
        <v>1.1484181340736521E-12</v>
      </c>
      <c r="FT149" s="22">
        <f t="shared" si="132"/>
        <v>31.042320416216594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328.00000000000017</v>
      </c>
      <c r="GA149" s="17">
        <f>FZ149*VLOOKUP('Données projet'!$B$17,Paramètres!$A$1:$I$89,3,0)*VLOOKUP('Données projet'!$B$17,Paramètres!$A$1:$I$89,5,0)</f>
        <v>266.07360000000017</v>
      </c>
      <c r="GB149" s="13">
        <f t="shared" si="157"/>
        <v>64.015279012301136</v>
      </c>
      <c r="GC149" s="20">
        <f t="shared" si="133"/>
        <v>574.90479761309132</v>
      </c>
      <c r="GD149" s="59">
        <f t="shared" si="134"/>
        <v>868.23813094642469</v>
      </c>
      <c r="GE149" s="59">
        <f ca="1">AVERAGE(OFFSET($GD$3,0,0,'Données projet'!$E$17+1,1))-AVERAGE(OFFSET($H$3,0,0,'Données projet'!$E$17+1,1))</f>
        <v>298.96480270023716</v>
      </c>
      <c r="GF149" s="59">
        <f t="shared" si="158"/>
        <v>293.11447542333889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5.6707323302330002</v>
      </c>
      <c r="GM149" s="21">
        <f>EXP(-LN(2)/25)*GM148+(1-EXP(-LN(2)/25))/(LN(2)/25)*Calculateur!GH149*Calculateur!GJ149*VLOOKUP('Données projet'!$B$17,Paramètres!$A$1:$I$89,3,0)*0.475*44/12</f>
        <v>2.9947102241924606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8.6654425544254607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-1.4210854715202004E-13</v>
      </c>
      <c r="GV149" s="17">
        <f>GU149*VLOOKUP('Données projet'!$B$18,Paramètres!$A$1:$I$89,3,0)*VLOOKUP('Données projet'!$B$18,Paramètres!$A$1:$I$89,5,0)</f>
        <v>-8.128608897095547E-14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320.76883487964511</v>
      </c>
      <c r="HA149" s="59">
        <f t="shared" si="160"/>
        <v>290.51177680335746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44.806647789711583</v>
      </c>
      <c r="HH149" s="21">
        <f>EXP(-LN(2)/25)*HH148+(1-EXP(-LN(2)/25))/(LN(2)/25)*Calculateur!HC149*Calculateur!HE149*VLOOKUP('Données projet'!$B$18,Paramètres!$A$1:$I$89,3,0)*0.475*44/12</f>
        <v>7.0596659714969956</v>
      </c>
      <c r="HI149" s="21">
        <f>EXP(-LN(2)/2)*HI148+(1-EXP(-LN(2)/2))/(LN(2)/2)*HC149*HF149*VLOOKUP('Données projet'!$B$18,Paramètres!$A$1:$I$89,3,0)*0.475*44/12</f>
        <v>1.1854744445248352E-7</v>
      </c>
      <c r="HJ149" s="22">
        <f t="shared" si="138"/>
        <v>51.866313879756028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5.763922672485933E-13</v>
      </c>
      <c r="AK150" s="13">
        <f t="shared" si="143"/>
        <v>7.0619171555808457E-12</v>
      </c>
      <c r="AL150" s="20">
        <f t="shared" si="112"/>
        <v>1.3303388911427938E-11</v>
      </c>
      <c r="AM150" s="59">
        <f t="shared" si="113"/>
        <v>293.33333333334662</v>
      </c>
      <c r="AN150" s="59">
        <f ca="1">AVERAGE(OFFSET($AM$3,0,0,'Données projet'!$E$10+1,1))-AVERAGE(OFFSET($H$3,0,0,'Données projet'!$E$10+1,1))</f>
        <v>425.47148407510412</v>
      </c>
      <c r="AO150" s="59">
        <f t="shared" si="144"/>
        <v>308.54448799922471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139.58274881583526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139.58274881583526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212.00000000000009</v>
      </c>
      <c r="BE150" s="13">
        <f>BD150*VLOOKUP('Données projet'!$B$11,Paramètres!$A$1:$I$89,3,0)*VLOOKUP('Données projet'!$B$11,Paramètres!$A$1:$I$89,5,0)</f>
        <v>185.20320000000009</v>
      </c>
      <c r="BF150" s="13">
        <f t="shared" si="145"/>
        <v>46.477875402099386</v>
      </c>
      <c r="BG150" s="20">
        <f t="shared" si="115"/>
        <v>403.5112063253232</v>
      </c>
      <c r="BH150" s="59">
        <f t="shared" si="116"/>
        <v>696.84453965865646</v>
      </c>
      <c r="BI150" s="59">
        <f ca="1">AVERAGE(OFFSET($BH$3,0,0,'Données projet'!$E$11+1,1))-AVERAGE(OFFSET($H$3,0,0,'Données projet'!$E$11+1,1))</f>
        <v>300.63505444445104</v>
      </c>
      <c r="BJ150" s="59">
        <f t="shared" si="146"/>
        <v>266.32508105927997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5.8877833882661754</v>
      </c>
      <c r="BQ150" s="21">
        <f>EXP(-LN(2)/25)*BQ149+(1-EXP(-LN(2)/25))/(LN(2)/25)*Calculateur!BL150*Calculateur!BN150*VLOOKUP('Données projet'!$B$11,Paramètres!$A$1:$I$89,3,0)*0.475*44/12</f>
        <v>3.8000738607181992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9.6878572489843755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5.1063034188034209</v>
      </c>
      <c r="BY150" s="12">
        <f>IF('Données projet'!$A$114&gt;35,BY149+BX150-CG149,IF(A150&lt;'Données projet'!$A$114,$BV$205^A150,IF(A150='Données projet'!$A$114,'Données projet'!$B$114,BY149+BX150-CG149)))</f>
        <v>292.97329059829013</v>
      </c>
      <c r="BZ150" s="13">
        <f>BY150*VLOOKUP('Données projet'!$B$12,Paramètres!$A$1:$I$89,3,0)*VLOOKUP('Données projet'!$B$12,Paramètres!$A$1:$I$89,5,0)</f>
        <v>278.79338333333288</v>
      </c>
      <c r="CA150" s="13">
        <f t="shared" si="147"/>
        <v>66.711952037340495</v>
      </c>
      <c r="CB150" s="20">
        <f t="shared" si="118"/>
        <v>601.75512577058942</v>
      </c>
      <c r="CC150" s="59">
        <f t="shared" si="119"/>
        <v>895.08845910392279</v>
      </c>
      <c r="CD150" s="59">
        <f ca="1">AVERAGE(OFFSET($CC$3,0,0,'Données projet'!$E$12+1,1))-AVERAGE(OFFSET($H$3,0,0,'Données projet'!$E$12+1,1))</f>
        <v>361.26385625423757</v>
      </c>
      <c r="CE150" s="59">
        <f t="shared" si="148"/>
        <v>222.05197404028576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42.30224892148923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42.30224892148923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247.00000000000017</v>
      </c>
      <c r="CU150" s="17">
        <f>CT150*VLOOKUP('Données projet'!$B$13,Paramètres!$A$1:$I$89,3,0)*VLOOKUP('Données projet'!$B$13,Paramètres!$A$1:$I$89,5,0)</f>
        <v>223.48560000000012</v>
      </c>
      <c r="CV150" s="13">
        <f t="shared" si="149"/>
        <v>54.87176918107798</v>
      </c>
      <c r="CW150" s="20">
        <f t="shared" si="121"/>
        <v>484.80575132371092</v>
      </c>
      <c r="CX150" s="59">
        <f t="shared" si="122"/>
        <v>778.13908465704424</v>
      </c>
      <c r="CY150" s="59">
        <f ca="1">AVERAGE(OFFSET($CX$3,0,0,'Données projet'!$E$13+1,1))-AVERAGE(OFFSET($H$3,0,0,'Données projet'!$E$13+1,1))</f>
        <v>302.6937347295995</v>
      </c>
      <c r="CZ150" s="59">
        <f t="shared" si="150"/>
        <v>423.44006663873375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5.970693809296676E-2</v>
      </c>
      <c r="DG150" s="21">
        <f>EXP(-LN(2)/25)*DG149+(1-EXP(-LN(2)/25))/(LN(2)/25)*Calculateur!DB150*Calculateur!DD150*VLOOKUP('Données projet'!$B$13,Paramètres!$A$1:$I$89,3,0)*0.475*44/12</f>
        <v>0.16732418005839841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0.22703111815136517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283.36376666666621</v>
      </c>
      <c r="DQ150" s="13">
        <f t="shared" si="151"/>
        <v>67.677374660998993</v>
      </c>
      <c r="DR150" s="20">
        <f t="shared" si="124"/>
        <v>611.39665447901677</v>
      </c>
      <c r="DS150" s="59">
        <f t="shared" si="125"/>
        <v>904.72998781235015</v>
      </c>
      <c r="DT150" s="59">
        <f ca="1">AVERAGE(OFFSET($DS$3,0,0,'Données projet'!$E$14+1,1))-AVERAGE(OFFSET($H$3,0,0,'Données projet'!$E$14+1,1))</f>
        <v>366.51581861366333</v>
      </c>
      <c r="DU150" s="59">
        <f t="shared" si="152"/>
        <v>225.01415116995503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42.995728412005469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42.995728412005469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328.00000000000017</v>
      </c>
      <c r="EK150" s="17">
        <f>EJ150*VLOOKUP('Données projet'!$B$15,Paramètres!$A$1:$I$89,3,0)*VLOOKUP('Données projet'!$B$15,Paramètres!$A$1:$I$89,5,0)</f>
        <v>255.84000000000015</v>
      </c>
      <c r="EL150" s="13">
        <f t="shared" si="153"/>
        <v>61.834803371075886</v>
      </c>
      <c r="EM150" s="20">
        <f t="shared" si="127"/>
        <v>553.28361587129086</v>
      </c>
      <c r="EN150" s="59">
        <f t="shared" si="128"/>
        <v>846.61694920462423</v>
      </c>
      <c r="EO150" s="59">
        <f ca="1">AVERAGE(OFFSET($EN$3,0,0,'Données projet'!$E$15+1,1))-AVERAGE(OFFSET($H$3,0,0,'Données projet'!$E$15+1,1))</f>
        <v>288.80569134263209</v>
      </c>
      <c r="EP150" s="59">
        <f t="shared" si="154"/>
        <v>283.48738729114024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4.3370810469125534</v>
      </c>
      <c r="EW150" s="21">
        <f>EXP(-LN(2)/25)*EW149+(1-EXP(-LN(2)/25))/(LN(2)/25)*Calculateur!ER150*Calculateur!ET150*VLOOKUP('Données projet'!$B$15,Paramètres!$A$1:$I$89,3,0)*0.475*44/12</f>
        <v>2.2723375865740016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6.6094186334865554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-1.0197709343628959E-13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323.17232038705157</v>
      </c>
      <c r="FK150" s="59">
        <f t="shared" si="156"/>
        <v>402.34685738619197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26.859891127607561</v>
      </c>
      <c r="FR150" s="21">
        <f>EXP(-LN(2)/25)*FR149+(1-EXP(-LN(2)/25))/(LN(2)/25)*Calculateur!FM150*Calculateur!FO150*VLOOKUP('Données projet'!$B$16,Paramètres!$A$1:$I$89,3,0)*0.475*44/12</f>
        <v>3.5455103731398085</v>
      </c>
      <c r="FS150" s="21">
        <f>EXP(-LN(2)/2)*FS149+(1-EXP(-LN(2)/2))/(LN(2)/2)*FM150*FP150*VLOOKUP('Données projet'!$B$16,Paramètres!$A$1:$I$89,3,0)*0.475*44/12</f>
        <v>8.1205425024108113E-13</v>
      </c>
      <c r="FT150" s="22">
        <f t="shared" si="132"/>
        <v>30.405401500748184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328.00000000000017</v>
      </c>
      <c r="GA150" s="17">
        <f>FZ150*VLOOKUP('Données projet'!$B$17,Paramètres!$A$1:$I$89,3,0)*VLOOKUP('Données projet'!$B$17,Paramètres!$A$1:$I$89,5,0)</f>
        <v>266.07360000000017</v>
      </c>
      <c r="GB150" s="13">
        <f t="shared" si="157"/>
        <v>64.015279012301136</v>
      </c>
      <c r="GC150" s="20">
        <f t="shared" si="133"/>
        <v>574.90479761309132</v>
      </c>
      <c r="GD150" s="59">
        <f t="shared" si="134"/>
        <v>868.23813094642469</v>
      </c>
      <c r="GE150" s="59">
        <f ca="1">AVERAGE(OFFSET($GD$3,0,0,'Données projet'!$E$17+1,1))-AVERAGE(OFFSET($H$3,0,0,'Données projet'!$E$17+1,1))</f>
        <v>298.96480270023716</v>
      </c>
      <c r="GF150" s="59">
        <f t="shared" si="158"/>
        <v>293.11447542333889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5.5595327280423241</v>
      </c>
      <c r="GM150" s="21">
        <f>EXP(-LN(2)/25)*GM149+(1-EXP(-LN(2)/25))/(LN(2)/25)*Calculateur!GH150*Calculateur!GJ150*VLOOKUP('Données projet'!$B$17,Paramètres!$A$1:$I$89,3,0)*0.475*44/12</f>
        <v>2.9128197156269517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8.4723524436692763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-1.4210854715202004E-13</v>
      </c>
      <c r="GV150" s="17">
        <f>GU150*VLOOKUP('Données projet'!$B$18,Paramètres!$A$1:$I$89,3,0)*VLOOKUP('Données projet'!$B$18,Paramètres!$A$1:$I$89,5,0)</f>
        <v>-8.128608897095547E-14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320.76883487964511</v>
      </c>
      <c r="HA150" s="59">
        <f t="shared" si="160"/>
        <v>290.51177680335746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43.928016755911941</v>
      </c>
      <c r="HH150" s="21">
        <f>EXP(-LN(2)/25)*HH149+(1-EXP(-LN(2)/25))/(LN(2)/25)*Calculateur!HC150*Calculateur!HE150*VLOOKUP('Données projet'!$B$18,Paramètres!$A$1:$I$89,3,0)*0.475*44/12</f>
        <v>6.866619034254712</v>
      </c>
      <c r="HI150" s="21">
        <f>EXP(-LN(2)/2)*HI149+(1-EXP(-LN(2)/2))/(LN(2)/2)*HC150*HF150*VLOOKUP('Données projet'!$B$18,Paramètres!$A$1:$I$89,3,0)*0.475*44/12</f>
        <v>8.3825701864686675E-8</v>
      </c>
      <c r="HJ150" s="22">
        <f t="shared" si="138"/>
        <v>50.794635873992355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5.763922672485933E-13</v>
      </c>
      <c r="AK151" s="13">
        <f t="shared" si="143"/>
        <v>7.0619171555808457E-12</v>
      </c>
      <c r="AL151" s="20">
        <f t="shared" si="112"/>
        <v>1.3303388911427938E-11</v>
      </c>
      <c r="AM151" s="59">
        <f t="shared" si="113"/>
        <v>293.33333333334662</v>
      </c>
      <c r="AN151" s="59">
        <f ca="1">AVERAGE(OFFSET($AM$3,0,0,'Données projet'!$E$10+1,1))-AVERAGE(OFFSET($H$3,0,0,'Données projet'!$E$10+1,1))</f>
        <v>425.47148407510412</v>
      </c>
      <c r="AO151" s="59">
        <f t="shared" si="144"/>
        <v>308.54448799922471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136.84561624862692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136.84561624862692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212.00000000000009</v>
      </c>
      <c r="BE151" s="13">
        <f>BD151*VLOOKUP('Données projet'!$B$11,Paramètres!$A$1:$I$89,3,0)*VLOOKUP('Données projet'!$B$11,Paramètres!$A$1:$I$89,5,0)</f>
        <v>185.20320000000009</v>
      </c>
      <c r="BF151" s="13">
        <f t="shared" si="145"/>
        <v>46.477875402099386</v>
      </c>
      <c r="BG151" s="20">
        <f t="shared" si="115"/>
        <v>403.5112063253232</v>
      </c>
      <c r="BH151" s="59">
        <f t="shared" si="116"/>
        <v>696.84453965865646</v>
      </c>
      <c r="BI151" s="59">
        <f ca="1">AVERAGE(OFFSET($BH$3,0,0,'Données projet'!$E$11+1,1))-AVERAGE(OFFSET($H$3,0,0,'Données projet'!$E$11+1,1))</f>
        <v>300.63505444445104</v>
      </c>
      <c r="BJ151" s="59">
        <f t="shared" si="146"/>
        <v>266.32508105927997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5.772327547215542</v>
      </c>
      <c r="BQ151" s="21">
        <f>EXP(-LN(2)/25)*BQ150+(1-EXP(-LN(2)/25))/(LN(2)/25)*Calculateur!BL151*Calculateur!BN151*VLOOKUP('Données projet'!$B$11,Paramètres!$A$1:$I$89,3,0)*0.475*44/12</f>
        <v>3.6961606411596608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9.4684881883752023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5.1063034188034209</v>
      </c>
      <c r="BY151" s="12">
        <f>IF('Données projet'!$A$114&gt;35,BY150+BX151-CG150,IF(A151&lt;'Données projet'!$A$114,$BV$205^A151,IF(A151='Données projet'!$A$114,'Données projet'!$B$114,BY150+BX151-CG150)))</f>
        <v>298.07959401709354</v>
      </c>
      <c r="BZ151" s="13">
        <f>BY151*VLOOKUP('Données projet'!$B$12,Paramètres!$A$1:$I$89,3,0)*VLOOKUP('Données projet'!$B$12,Paramètres!$A$1:$I$89,5,0)</f>
        <v>283.6525416666662</v>
      </c>
      <c r="CA151" s="13">
        <f t="shared" si="147"/>
        <v>67.738312736773068</v>
      </c>
      <c r="CB151" s="20">
        <f t="shared" si="118"/>
        <v>612.00573808599006</v>
      </c>
      <c r="CC151" s="59">
        <f t="shared" si="119"/>
        <v>905.33907141932332</v>
      </c>
      <c r="CD151" s="59">
        <f ca="1">AVERAGE(OFFSET($CC$3,0,0,'Données projet'!$E$12+1,1))-AVERAGE(OFFSET($H$3,0,0,'Données projet'!$E$12+1,1))</f>
        <v>361.26385625423757</v>
      </c>
      <c r="CE151" s="59">
        <f t="shared" si="148"/>
        <v>222.05197404028576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41.472727621962953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41.472727621962953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247.00000000000017</v>
      </c>
      <c r="CU151" s="17">
        <f>CT151*VLOOKUP('Données projet'!$B$13,Paramètres!$A$1:$I$89,3,0)*VLOOKUP('Données projet'!$B$13,Paramètres!$A$1:$I$89,5,0)</f>
        <v>223.48560000000012</v>
      </c>
      <c r="CV151" s="13">
        <f t="shared" si="149"/>
        <v>54.87176918107798</v>
      </c>
      <c r="CW151" s="20">
        <f t="shared" si="121"/>
        <v>484.80575132371092</v>
      </c>
      <c r="CX151" s="59">
        <f t="shared" si="122"/>
        <v>778.13908465704424</v>
      </c>
      <c r="CY151" s="59">
        <f ca="1">AVERAGE(OFFSET($CX$3,0,0,'Données projet'!$E$13+1,1))-AVERAGE(OFFSET($H$3,0,0,'Données projet'!$E$13+1,1))</f>
        <v>302.6937347295995</v>
      </c>
      <c r="CZ151" s="59">
        <f t="shared" si="150"/>
        <v>423.44006663873375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5.8536121454599979E-2</v>
      </c>
      <c r="DG151" s="21">
        <f>EXP(-LN(2)/25)*DG150+(1-EXP(-LN(2)/25))/(LN(2)/25)*Calculateur!DB151*Calculateur!DD151*VLOOKUP('Données projet'!$B$13,Paramètres!$A$1:$I$89,3,0)*0.475*44/12</f>
        <v>0.16274869155550531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0.22128481301010527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288.3025833333329</v>
      </c>
      <c r="DQ151" s="13">
        <f t="shared" si="151"/>
        <v>68.718588348674373</v>
      </c>
      <c r="DR151" s="20">
        <f t="shared" si="124"/>
        <v>621.81187401282932</v>
      </c>
      <c r="DS151" s="59">
        <f t="shared" si="125"/>
        <v>915.14520734616258</v>
      </c>
      <c r="DT151" s="59">
        <f ca="1">AVERAGE(OFFSET($DS$3,0,0,'Données projet'!$E$14+1,1))-AVERAGE(OFFSET($H$3,0,0,'Données projet'!$E$14+1,1))</f>
        <v>366.51581861366333</v>
      </c>
      <c r="DU151" s="59">
        <f t="shared" si="152"/>
        <v>225.01415116995503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42.152608402650891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42.152608402650891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328.00000000000017</v>
      </c>
      <c r="EK151" s="17">
        <f>EJ151*VLOOKUP('Données projet'!$B$15,Paramètres!$A$1:$I$89,3,0)*VLOOKUP('Données projet'!$B$15,Paramètres!$A$1:$I$89,5,0)</f>
        <v>255.84000000000015</v>
      </c>
      <c r="EL151" s="13">
        <f t="shared" si="153"/>
        <v>61.834803371075886</v>
      </c>
      <c r="EM151" s="20">
        <f t="shared" si="127"/>
        <v>553.28361587129086</v>
      </c>
      <c r="EN151" s="59">
        <f t="shared" si="128"/>
        <v>846.61694920462423</v>
      </c>
      <c r="EO151" s="59">
        <f ca="1">AVERAGE(OFFSET($EN$3,0,0,'Données projet'!$E$15+1,1))-AVERAGE(OFFSET($H$3,0,0,'Données projet'!$E$15+1,1))</f>
        <v>288.80569134263209</v>
      </c>
      <c r="EP151" s="59">
        <f t="shared" si="154"/>
        <v>283.48738729114024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4.2520335329408292</v>
      </c>
      <c r="EW151" s="21">
        <f>EXP(-LN(2)/25)*EW150+(1-EXP(-LN(2)/25))/(LN(2)/25)*Calculateur!ER151*Calculateur!ET151*VLOOKUP('Données projet'!$B$15,Paramètres!$A$1:$I$89,3,0)*0.475*44/12</f>
        <v>2.2102003957720955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6.4622339287129247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-1.0197709343628959E-13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323.17232038705157</v>
      </c>
      <c r="FK151" s="59">
        <f t="shared" si="156"/>
        <v>402.34685738619197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26.333185045511087</v>
      </c>
      <c r="FR151" s="21">
        <f>EXP(-LN(2)/25)*FR150+(1-EXP(-LN(2)/25))/(LN(2)/25)*Calculateur!FM151*Calculateur!FO151*VLOOKUP('Données projet'!$B$16,Paramètres!$A$1:$I$89,3,0)*0.475*44/12</f>
        <v>3.4485582055360133</v>
      </c>
      <c r="FS151" s="21">
        <f>EXP(-LN(2)/2)*FS150+(1-EXP(-LN(2)/2))/(LN(2)/2)*FM151*FP151*VLOOKUP('Données projet'!$B$16,Paramètres!$A$1:$I$89,3,0)*0.475*44/12</f>
        <v>5.7420906703682605E-13</v>
      </c>
      <c r="FT151" s="22">
        <f t="shared" si="132"/>
        <v>29.781743251047676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328.00000000000017</v>
      </c>
      <c r="GA151" s="17">
        <f>FZ151*VLOOKUP('Données projet'!$B$17,Paramètres!$A$1:$I$89,3,0)*VLOOKUP('Données projet'!$B$17,Paramètres!$A$1:$I$89,5,0)</f>
        <v>266.07360000000017</v>
      </c>
      <c r="GB151" s="13">
        <f t="shared" si="157"/>
        <v>64.015279012301136</v>
      </c>
      <c r="GC151" s="20">
        <f t="shared" si="133"/>
        <v>574.90479761309132</v>
      </c>
      <c r="GD151" s="59">
        <f t="shared" si="134"/>
        <v>868.23813094642469</v>
      </c>
      <c r="GE151" s="59">
        <f ca="1">AVERAGE(OFFSET($GD$3,0,0,'Données projet'!$E$17+1,1))-AVERAGE(OFFSET($H$3,0,0,'Données projet'!$E$17+1,1))</f>
        <v>298.96480270023716</v>
      </c>
      <c r="GF151" s="59">
        <f t="shared" si="158"/>
        <v>293.11447542333889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5.4505136822255471</v>
      </c>
      <c r="GM151" s="21">
        <f>EXP(-LN(2)/25)*GM150+(1-EXP(-LN(2)/25))/(LN(2)/25)*Calculateur!GH151*Calculateur!GJ151*VLOOKUP('Données projet'!$B$17,Paramètres!$A$1:$I$89,3,0)*0.475*44/12</f>
        <v>2.8331685073246011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8.2836821895501487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-1.4210854715202004E-13</v>
      </c>
      <c r="GV151" s="17">
        <f>GU151*VLOOKUP('Données projet'!$B$18,Paramètres!$A$1:$I$89,3,0)*VLOOKUP('Données projet'!$B$18,Paramètres!$A$1:$I$89,5,0)</f>
        <v>-8.128608897095547E-14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320.76883487964511</v>
      </c>
      <c r="HA151" s="59">
        <f t="shared" si="160"/>
        <v>290.51177680335746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43.066615140773095</v>
      </c>
      <c r="HH151" s="21">
        <f>EXP(-LN(2)/25)*HH150+(1-EXP(-LN(2)/25))/(LN(2)/25)*Calculateur!HC151*Calculateur!HE151*VLOOKUP('Données projet'!$B$18,Paramètres!$A$1:$I$89,3,0)*0.475*44/12</f>
        <v>6.6788509756632157</v>
      </c>
      <c r="HI151" s="21">
        <f>EXP(-LN(2)/2)*HI150+(1-EXP(-LN(2)/2))/(LN(2)/2)*HC151*HF151*VLOOKUP('Données projet'!$B$18,Paramètres!$A$1:$I$89,3,0)*0.475*44/12</f>
        <v>5.9273722226241775E-8</v>
      </c>
      <c r="HJ151" s="22">
        <f t="shared" si="138"/>
        <v>49.745466175710035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5.763922672485933E-13</v>
      </c>
      <c r="AK152" s="13">
        <f t="shared" si="143"/>
        <v>7.0619171555808457E-12</v>
      </c>
      <c r="AL152" s="20">
        <f t="shared" si="112"/>
        <v>1.3303388911427938E-11</v>
      </c>
      <c r="AM152" s="59">
        <f t="shared" si="113"/>
        <v>293.33333333334662</v>
      </c>
      <c r="AN152" s="59">
        <f ca="1">AVERAGE(OFFSET($AM$3,0,0,'Données projet'!$E$10+1,1))-AVERAGE(OFFSET($H$3,0,0,'Données projet'!$E$10+1,1))</f>
        <v>425.47148407510412</v>
      </c>
      <c r="AO152" s="59">
        <f t="shared" si="144"/>
        <v>308.54448799922471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134.16215718157554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134.16215718157554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212.00000000000009</v>
      </c>
      <c r="BE152" s="13">
        <f>BD152*VLOOKUP('Données projet'!$B$11,Paramètres!$A$1:$I$89,3,0)*VLOOKUP('Données projet'!$B$11,Paramètres!$A$1:$I$89,5,0)</f>
        <v>185.20320000000009</v>
      </c>
      <c r="BF152" s="13">
        <f t="shared" si="145"/>
        <v>46.477875402099386</v>
      </c>
      <c r="BG152" s="20">
        <f t="shared" si="115"/>
        <v>403.5112063253232</v>
      </c>
      <c r="BH152" s="59">
        <f t="shared" si="116"/>
        <v>696.84453965865646</v>
      </c>
      <c r="BI152" s="59">
        <f ca="1">AVERAGE(OFFSET($BH$3,0,0,'Données projet'!$E$11+1,1))-AVERAGE(OFFSET($H$3,0,0,'Données projet'!$E$11+1,1))</f>
        <v>300.63505444445104</v>
      </c>
      <c r="BJ152" s="59">
        <f t="shared" si="146"/>
        <v>266.32508105927997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5.6591357247868013</v>
      </c>
      <c r="BQ152" s="21">
        <f>EXP(-LN(2)/25)*BQ151+(1-EXP(-LN(2)/25))/(LN(2)/25)*Calculateur!BL152*Calculateur!BN152*VLOOKUP('Données projet'!$B$11,Paramètres!$A$1:$I$89,3,0)*0.475*44/12</f>
        <v>3.5950889340545094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9.2542246588413111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303.18589743589746</v>
      </c>
      <c r="BW152" s="12">
        <f>VLOOKUP(A152,'Données projet'!$A$113:$I$133,9,0)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projet'!$A$114&gt;35,BY151+BX152-CG151,IF(A152&lt;'Données projet'!$A$114,$BV$205^A152,IF(A152='Données projet'!$A$114,'Données projet'!$B$114,BY151+BX152-CG151)))</f>
        <v>303.18589743589695</v>
      </c>
      <c r="BZ152" s="13">
        <f>BY152*VLOOKUP('Données projet'!$B$12,Paramètres!$A$1:$I$89,3,0)*VLOOKUP('Données projet'!$B$12,Paramètres!$A$1:$I$89,5,0)</f>
        <v>288.51169999999956</v>
      </c>
      <c r="CA152" s="13">
        <f t="shared" si="147"/>
        <v>68.762628795978529</v>
      </c>
      <c r="CB152" s="20">
        <f t="shared" si="118"/>
        <v>622.25278931966182</v>
      </c>
      <c r="CC152" s="59">
        <f t="shared" si="119"/>
        <v>915.58612265299507</v>
      </c>
      <c r="CD152" s="59">
        <f ca="1">AVERAGE(OFFSET($CC$3,0,0,'Données projet'!$E$12+1,1))-AVERAGE(OFFSET($H$3,0,0,'Données projet'!$E$12+1,1))</f>
        <v>361.26385625423757</v>
      </c>
      <c r="CE152" s="59">
        <f t="shared" si="148"/>
        <v>222.05197404028576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120.50641025641026</v>
      </c>
      <c r="CH152" s="16">
        <f>IF(ISNA(VLOOKUP(A152,'Données projet'!$A$113:$I$133,5,0)),0%,VLOOKUP(A152,'Données projet'!$A$113:$I$133,5,0)*VLOOKUP('Données projet'!$B$12,Paramètres!$A$1:$I$89,7,0))</f>
        <v>0.38700000000000001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89.718920834549976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89.718920834549976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247.00000000000017</v>
      </c>
      <c r="CU152" s="17">
        <f>CT152*VLOOKUP('Données projet'!$B$13,Paramètres!$A$1:$I$89,3,0)*VLOOKUP('Données projet'!$B$13,Paramètres!$A$1:$I$89,5,0)</f>
        <v>223.48560000000012</v>
      </c>
      <c r="CV152" s="13">
        <f t="shared" si="149"/>
        <v>54.87176918107798</v>
      </c>
      <c r="CW152" s="20">
        <f t="shared" si="121"/>
        <v>484.80575132371092</v>
      </c>
      <c r="CX152" s="59">
        <f t="shared" si="122"/>
        <v>778.13908465704424</v>
      </c>
      <c r="CY152" s="59">
        <f ca="1">AVERAGE(OFFSET($CX$3,0,0,'Données projet'!$E$13+1,1))-AVERAGE(OFFSET($H$3,0,0,'Données projet'!$E$13+1,1))</f>
        <v>302.6937347295995</v>
      </c>
      <c r="CZ152" s="59">
        <f t="shared" si="150"/>
        <v>423.44006663873375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5.7388263816383935E-2</v>
      </c>
      <c r="DG152" s="21">
        <f>EXP(-LN(2)/25)*DG151+(1-EXP(-LN(2)/25))/(LN(2)/25)*Calculateur!DB152*Calculateur!DD152*VLOOKUP('Données projet'!$B$13,Paramètres!$A$1:$I$89,3,0)*0.475*44/12</f>
        <v>0.15829832002633829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0.21568658384272221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293.24139999999954</v>
      </c>
      <c r="DQ152" s="13">
        <f t="shared" si="151"/>
        <v>69.75772780709292</v>
      </c>
      <c r="DR152" s="20">
        <f t="shared" si="124"/>
        <v>632.22348093068604</v>
      </c>
      <c r="DS152" s="59">
        <f t="shared" si="125"/>
        <v>925.55681426401929</v>
      </c>
      <c r="DT152" s="59">
        <f ca="1">AVERAGE(OFFSET($DS$3,0,0,'Données projet'!$E$14+1,1))-AVERAGE(OFFSET($H$3,0,0,'Données projet'!$E$14+1,1))</f>
        <v>366.51581861366333</v>
      </c>
      <c r="DU152" s="59">
        <f t="shared" si="152"/>
        <v>225.01415116995503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0.38700000000000001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91.18972281544427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91.18972281544427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328.00000000000017</v>
      </c>
      <c r="EK152" s="17">
        <f>EJ152*VLOOKUP('Données projet'!$B$15,Paramètres!$A$1:$I$89,3,0)*VLOOKUP('Données projet'!$B$15,Paramètres!$A$1:$I$89,5,0)</f>
        <v>255.84000000000015</v>
      </c>
      <c r="EL152" s="13">
        <f t="shared" si="153"/>
        <v>61.834803371075886</v>
      </c>
      <c r="EM152" s="20">
        <f t="shared" si="127"/>
        <v>553.28361587129086</v>
      </c>
      <c r="EN152" s="59">
        <f t="shared" si="128"/>
        <v>846.61694920462423</v>
      </c>
      <c r="EO152" s="59">
        <f ca="1">AVERAGE(OFFSET($EN$3,0,0,'Données projet'!$E$15+1,1))-AVERAGE(OFFSET($H$3,0,0,'Données projet'!$E$15+1,1))</f>
        <v>288.80569134263209</v>
      </c>
      <c r="EP152" s="59">
        <f t="shared" si="154"/>
        <v>283.48738729114024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4.1686537488442292</v>
      </c>
      <c r="EW152" s="21">
        <f>EXP(-LN(2)/25)*EW151+(1-EXP(-LN(2)/25))/(LN(2)/25)*Calculateur!ER152*Calculateur!ET152*VLOOKUP('Données projet'!$B$15,Paramètres!$A$1:$I$89,3,0)*0.475*44/12</f>
        <v>2.1497623497203202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6.3184160985645494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-1.0197709343628959E-13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323.17232038705157</v>
      </c>
      <c r="FK152" s="59">
        <f t="shared" si="156"/>
        <v>402.34685738619197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25.816807348425534</v>
      </c>
      <c r="FR152" s="21">
        <f>EXP(-LN(2)/25)*FR151+(1-EXP(-LN(2)/25))/(LN(2)/25)*Calculateur!FM152*Calculateur!FO152*VLOOKUP('Données projet'!$B$16,Paramètres!$A$1:$I$89,3,0)*0.475*44/12</f>
        <v>3.3542572000538367</v>
      </c>
      <c r="FS152" s="21">
        <f>EXP(-LN(2)/2)*FS151+(1-EXP(-LN(2)/2))/(LN(2)/2)*FM152*FP152*VLOOKUP('Données projet'!$B$16,Paramètres!$A$1:$I$89,3,0)*0.475*44/12</f>
        <v>4.0602712512054057E-13</v>
      </c>
      <c r="FT152" s="22">
        <f t="shared" si="132"/>
        <v>29.171064548479777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328.00000000000017</v>
      </c>
      <c r="GA152" s="17">
        <f>FZ152*VLOOKUP('Données projet'!$B$17,Paramètres!$A$1:$I$89,3,0)*VLOOKUP('Données projet'!$B$17,Paramètres!$A$1:$I$89,5,0)</f>
        <v>266.07360000000017</v>
      </c>
      <c r="GB152" s="13">
        <f t="shared" si="157"/>
        <v>64.015279012301136</v>
      </c>
      <c r="GC152" s="20">
        <f t="shared" si="133"/>
        <v>574.90479761309132</v>
      </c>
      <c r="GD152" s="59">
        <f t="shared" si="134"/>
        <v>868.23813094642469</v>
      </c>
      <c r="GE152" s="59">
        <f ca="1">AVERAGE(OFFSET($GD$3,0,0,'Données projet'!$E$17+1,1))-AVERAGE(OFFSET($H$3,0,0,'Données projet'!$E$17+1,1))</f>
        <v>298.96480270023716</v>
      </c>
      <c r="GF152" s="59">
        <f t="shared" si="158"/>
        <v>293.11447542333889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5.3436324334021847</v>
      </c>
      <c r="GM152" s="21">
        <f>EXP(-LN(2)/25)*GM151+(1-EXP(-LN(2)/25))/(LN(2)/25)*Calculateur!GH152*Calculateur!GJ152*VLOOKUP('Données projet'!$B$17,Paramètres!$A$1:$I$89,3,0)*0.475*44/12</f>
        <v>2.7556953655019534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8.0993277989041381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-1.4210854715202004E-13</v>
      </c>
      <c r="GV152" s="17">
        <f>GU152*VLOOKUP('Données projet'!$B$18,Paramètres!$A$1:$I$89,3,0)*VLOOKUP('Données projet'!$B$18,Paramètres!$A$1:$I$89,5,0)</f>
        <v>-8.128608897095547E-14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320.76883487964511</v>
      </c>
      <c r="HA152" s="59">
        <f t="shared" si="160"/>
        <v>290.51177680335746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42.222105085904019</v>
      </c>
      <c r="HH152" s="21">
        <f>EXP(-LN(2)/25)*HH151+(1-EXP(-LN(2)/25))/(LN(2)/25)*Calculateur!HC152*Calculateur!HE152*VLOOKUP('Données projet'!$B$18,Paramètres!$A$1:$I$89,3,0)*0.475*44/12</f>
        <v>6.496217444508197</v>
      </c>
      <c r="HI152" s="21">
        <f>EXP(-LN(2)/2)*HI151+(1-EXP(-LN(2)/2))/(LN(2)/2)*HC152*HF152*VLOOKUP('Données projet'!$B$18,Paramètres!$A$1:$I$89,3,0)*0.475*44/12</f>
        <v>4.1912850932343344E-8</v>
      </c>
      <c r="HJ152" s="22">
        <f t="shared" si="138"/>
        <v>48.718322572325064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5.763922672485933E-13</v>
      </c>
      <c r="AK153" s="13">
        <f t="shared" si="143"/>
        <v>7.0619171555808457E-12</v>
      </c>
      <c r="AL153" s="20">
        <f t="shared" si="112"/>
        <v>1.3303388911427938E-11</v>
      </c>
      <c r="AM153" s="59">
        <f t="shared" si="113"/>
        <v>293.33333333334662</v>
      </c>
      <c r="AN153" s="59">
        <f ca="1">AVERAGE(OFFSET($AM$3,0,0,'Données projet'!$E$10+1,1))-AVERAGE(OFFSET($H$3,0,0,'Données projet'!$E$10+1,1))</f>
        <v>425.47148407510412</v>
      </c>
      <c r="AO153" s="59">
        <f t="shared" si="144"/>
        <v>308.54448799922471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131.5313191100806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131.5313191100806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212.00000000000009</v>
      </c>
      <c r="BE153" s="13">
        <f>BD153*VLOOKUP('Données projet'!$B$11,Paramètres!$A$1:$I$89,3,0)*VLOOKUP('Données projet'!$B$11,Paramètres!$A$1:$I$89,5,0)</f>
        <v>185.20320000000009</v>
      </c>
      <c r="BF153" s="13">
        <f t="shared" si="145"/>
        <v>46.477875402099386</v>
      </c>
      <c r="BG153" s="20">
        <f t="shared" si="115"/>
        <v>403.5112063253232</v>
      </c>
      <c r="BH153" s="59">
        <f t="shared" si="116"/>
        <v>696.84453965865646</v>
      </c>
      <c r="BI153" s="59">
        <f ca="1">AVERAGE(OFFSET($BH$3,0,0,'Données projet'!$E$11+1,1))-AVERAGE(OFFSET($H$3,0,0,'Données projet'!$E$11+1,1))</f>
        <v>300.63505444445104</v>
      </c>
      <c r="BJ153" s="59">
        <f t="shared" si="146"/>
        <v>266.32508105927997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5.5481635249556938</v>
      </c>
      <c r="BQ153" s="21">
        <f>EXP(-LN(2)/25)*BQ152+(1-EXP(-LN(2)/25))/(LN(2)/25)*Calculateur!BL153*Calculateur!BN153*VLOOKUP('Données projet'!$B$11,Paramètres!$A$1:$I$89,3,0)*0.475*44/12</f>
        <v>3.4967810380952784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9.0449445630509722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3.0945512820512704</v>
      </c>
      <c r="BY153" s="12">
        <f>IF('Données projet'!$A$114&gt;35,BY152+BX153-CG152,IF(A153&lt;'Données projet'!$A$114,$BV$205^A153,IF(A153='Données projet'!$A$114,'Données projet'!$B$114,BY152+BX153-CG152)))</f>
        <v>185.77403846153794</v>
      </c>
      <c r="BZ153" s="13">
        <f>BY153*VLOOKUP('Données projet'!$B$12,Paramètres!$A$1:$I$89,3,0)*VLOOKUP('Données projet'!$B$12,Paramètres!$A$1:$I$89,5,0)</f>
        <v>176.7825749999995</v>
      </c>
      <c r="CA153" s="13">
        <f t="shared" si="147"/>
        <v>44.605618715135201</v>
      </c>
      <c r="CB153" s="20">
        <f t="shared" si="118"/>
        <v>385.58443738719296</v>
      </c>
      <c r="CC153" s="59">
        <f t="shared" si="119"/>
        <v>678.91777072052628</v>
      </c>
      <c r="CD153" s="59">
        <f ca="1">AVERAGE(OFFSET($CC$3,0,0,'Données projet'!$E$12+1,1))-AVERAGE(OFFSET($H$3,0,0,'Données projet'!$E$12+1,1))</f>
        <v>361.26385625423757</v>
      </c>
      <c r="CE153" s="59">
        <f t="shared" si="148"/>
        <v>222.05197404028576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87.959587520122696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87.959587520122696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247.00000000000017</v>
      </c>
      <c r="CU153" s="17">
        <f>CT153*VLOOKUP('Données projet'!$B$13,Paramètres!$A$1:$I$89,3,0)*VLOOKUP('Données projet'!$B$13,Paramètres!$A$1:$I$89,5,0)</f>
        <v>223.48560000000012</v>
      </c>
      <c r="CV153" s="13">
        <f t="shared" si="149"/>
        <v>54.87176918107798</v>
      </c>
      <c r="CW153" s="20">
        <f t="shared" si="121"/>
        <v>484.80575132371092</v>
      </c>
      <c r="CX153" s="59">
        <f t="shared" si="122"/>
        <v>778.13908465704424</v>
      </c>
      <c r="CY153" s="59">
        <f ca="1">AVERAGE(OFFSET($CX$3,0,0,'Données projet'!$E$13+1,1))-AVERAGE(OFFSET($H$3,0,0,'Données projet'!$E$13+1,1))</f>
        <v>302.6937347295995</v>
      </c>
      <c r="CZ153" s="59">
        <f t="shared" si="150"/>
        <v>423.44006663873375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5.6262914966329278E-2</v>
      </c>
      <c r="DG153" s="21">
        <f>EXP(-LN(2)/25)*DG152+(1-EXP(-LN(2)/25))/(LN(2)/25)*Calculateur!DB153*Calculateur!DD153*VLOOKUP('Données projet'!$B$13,Paramètres!$A$1:$I$89,3,0)*0.475*44/12</f>
        <v>0.15396964414067121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0.21023255910700051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3.0945512820512704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179.6806499999995</v>
      </c>
      <c r="DQ153" s="13">
        <f t="shared" si="151"/>
        <v>45.251129334068551</v>
      </c>
      <c r="DR153" s="20">
        <f t="shared" si="124"/>
        <v>391.75618234016855</v>
      </c>
      <c r="DS153" s="59">
        <f t="shared" si="125"/>
        <v>685.08951567350186</v>
      </c>
      <c r="DT153" s="59">
        <f ca="1">AVERAGE(OFFSET($DS$3,0,0,'Données projet'!$E$14+1,1))-AVERAGE(OFFSET($H$3,0,0,'Données projet'!$E$14+1,1))</f>
        <v>366.51581861366333</v>
      </c>
      <c r="DU153" s="59">
        <f t="shared" si="152"/>
        <v>225.01415116995503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89.401547971272279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89.401547971272279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328.00000000000017</v>
      </c>
      <c r="EK153" s="17">
        <f>EJ153*VLOOKUP('Données projet'!$B$15,Paramètres!$A$1:$I$89,3,0)*VLOOKUP('Données projet'!$B$15,Paramètres!$A$1:$I$89,5,0)</f>
        <v>255.84000000000015</v>
      </c>
      <c r="EL153" s="13">
        <f t="shared" si="153"/>
        <v>61.834803371075886</v>
      </c>
      <c r="EM153" s="20">
        <f t="shared" si="127"/>
        <v>553.28361587129086</v>
      </c>
      <c r="EN153" s="59">
        <f t="shared" si="128"/>
        <v>846.61694920462423</v>
      </c>
      <c r="EO153" s="59">
        <f ca="1">AVERAGE(OFFSET($EN$3,0,0,'Données projet'!$E$15+1,1))-AVERAGE(OFFSET($H$3,0,0,'Données projet'!$E$15+1,1))</f>
        <v>288.80569134263209</v>
      </c>
      <c r="EP153" s="59">
        <f t="shared" si="154"/>
        <v>283.48738729114024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4.0869089914571175</v>
      </c>
      <c r="EW153" s="21">
        <f>EXP(-LN(2)/25)*EW152+(1-EXP(-LN(2)/25))/(LN(2)/25)*Calculateur!ER153*Calculateur!ET153*VLOOKUP('Données projet'!$B$15,Paramètres!$A$1:$I$89,3,0)*0.475*44/12</f>
        <v>2.0909769852161295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6.177885976673247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-1.0197709343628959E-13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323.17232038705157</v>
      </c>
      <c r="FK153" s="59">
        <f t="shared" si="156"/>
        <v>402.34685738619197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25.310555503020534</v>
      </c>
      <c r="FR153" s="21">
        <f>EXP(-LN(2)/25)*FR152+(1-EXP(-LN(2)/25))/(LN(2)/25)*Calculateur!FM153*Calculateur!FO153*VLOOKUP('Données projet'!$B$16,Paramètres!$A$1:$I$89,3,0)*0.475*44/12</f>
        <v>3.2625348605256446</v>
      </c>
      <c r="FS153" s="21">
        <f>EXP(-LN(2)/2)*FS152+(1-EXP(-LN(2)/2))/(LN(2)/2)*FM153*FP153*VLOOKUP('Données projet'!$B$16,Paramètres!$A$1:$I$89,3,0)*0.475*44/12</f>
        <v>2.8710453351841303E-13</v>
      </c>
      <c r="FT153" s="22">
        <f t="shared" si="132"/>
        <v>28.573090363546466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328.00000000000017</v>
      </c>
      <c r="GA153" s="17">
        <f>FZ153*VLOOKUP('Données projet'!$B$17,Paramètres!$A$1:$I$89,3,0)*VLOOKUP('Données projet'!$B$17,Paramètres!$A$1:$I$89,5,0)</f>
        <v>266.07360000000017</v>
      </c>
      <c r="GB153" s="13">
        <f t="shared" si="157"/>
        <v>64.015279012301136</v>
      </c>
      <c r="GC153" s="20">
        <f t="shared" si="133"/>
        <v>574.90479761309132</v>
      </c>
      <c r="GD153" s="59">
        <f t="shared" si="134"/>
        <v>868.23813094642469</v>
      </c>
      <c r="GE153" s="59">
        <f ca="1">AVERAGE(OFFSET($GD$3,0,0,'Données projet'!$E$17+1,1))-AVERAGE(OFFSET($H$3,0,0,'Données projet'!$E$17+1,1))</f>
        <v>298.96480270023716</v>
      </c>
      <c r="GF153" s="59">
        <f t="shared" si="158"/>
        <v>293.11447542333889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5.2388470606771236</v>
      </c>
      <c r="GM153" s="21">
        <f>EXP(-LN(2)/25)*GM152+(1-EXP(-LN(2)/25))/(LN(2)/25)*Calculateur!GH153*Calculateur!GJ153*VLOOKUP('Données projet'!$B$17,Paramètres!$A$1:$I$89,3,0)*0.475*44/12</f>
        <v>2.6803407308165812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7.9191877914937052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-1.4210854715202004E-13</v>
      </c>
      <c r="GV153" s="17">
        <f>GU153*VLOOKUP('Données projet'!$B$18,Paramètres!$A$1:$I$89,3,0)*VLOOKUP('Données projet'!$B$18,Paramètres!$A$1:$I$89,5,0)</f>
        <v>-8.128608897095547E-14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320.76883487964511</v>
      </c>
      <c r="HA153" s="59">
        <f t="shared" si="160"/>
        <v>290.51177680335746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41.394155358110652</v>
      </c>
      <c r="HH153" s="21">
        <f>EXP(-LN(2)/25)*HH152+(1-EXP(-LN(2)/25))/(LN(2)/25)*Calculateur!HC153*Calculateur!HE153*VLOOKUP('Données projet'!$B$18,Paramètres!$A$1:$I$89,3,0)*0.475*44/12</f>
        <v>6.3185780368668922</v>
      </c>
      <c r="HI153" s="21">
        <f>EXP(-LN(2)/2)*HI152+(1-EXP(-LN(2)/2))/(LN(2)/2)*HC153*HF153*VLOOKUP('Données projet'!$B$18,Paramètres!$A$1:$I$89,3,0)*0.475*44/12</f>
        <v>2.9636861113120891E-8</v>
      </c>
      <c r="HJ153" s="22">
        <f t="shared" si="138"/>
        <v>47.712733424614406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5.763922672485933E-13</v>
      </c>
      <c r="AK154" s="13">
        <f t="shared" ref="AK154:AK203" si="164">EXP(-1.0587+0.8836*LN(AJ154)+0.284)</f>
        <v>7.0619171555808457E-12</v>
      </c>
      <c r="AL154" s="20">
        <f t="shared" ref="AL154:AL203" si="165">(AJ154+AK154)*0.475*44/12</f>
        <v>1.3303388911427938E-11</v>
      </c>
      <c r="AM154" s="59">
        <f t="shared" si="113"/>
        <v>293.33333333334662</v>
      </c>
      <c r="AN154" s="59">
        <f ca="1">AVERAGE(OFFSET($AM$3,0,0,'Données projet'!$E$10+1,1))-AVERAGE(OFFSET($H$3,0,0,'Données projet'!$E$10+1,1))</f>
        <v>425.47148407510412</v>
      </c>
      <c r="AO154" s="59">
        <f t="shared" si="144"/>
        <v>308.54448799922471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128.95207016851489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128.95207016851489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212.00000000000009</v>
      </c>
      <c r="BE154" s="13">
        <f>BD154*VLOOKUP('Données projet'!$B$11,Paramètres!$A$1:$I$89,3,0)*VLOOKUP('Données projet'!$B$11,Paramètres!$A$1:$I$89,5,0)</f>
        <v>185.20320000000009</v>
      </c>
      <c r="BF154" s="13">
        <f t="shared" ref="BF154:BF203" si="167">EXP(-1.0587+0.8836*LN(BE154)+0.284)</f>
        <v>46.477875402099386</v>
      </c>
      <c r="BG154" s="20">
        <f t="shared" ref="BG154:BG203" si="168">(BE154+BF154)*0.475*44/12</f>
        <v>403.5112063253232</v>
      </c>
      <c r="BH154" s="59">
        <f t="shared" si="116"/>
        <v>696.84453965865646</v>
      </c>
      <c r="BI154" s="59">
        <f ca="1">AVERAGE(OFFSET($BH$3,0,0,'Données projet'!$E$11+1,1))-AVERAGE(OFFSET($H$3,0,0,'Données projet'!$E$11+1,1))</f>
        <v>300.63505444445104</v>
      </c>
      <c r="BJ154" s="59">
        <f t="shared" si="146"/>
        <v>266.32508105927997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5.4393674222769164</v>
      </c>
      <c r="BQ154" s="21">
        <f>EXP(-LN(2)/25)*BQ153+(1-EXP(-LN(2)/25))/(LN(2)/25)*Calculateur!BL154*Calculateur!BN154*VLOOKUP('Données projet'!$B$11,Paramètres!$A$1:$I$89,3,0)*0.475*44/12</f>
        <v>3.4011613767208404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8.8405287989977559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3.0945512820512704</v>
      </c>
      <c r="BY154" s="12">
        <f>IF('Données projet'!$A$114&gt;35,BY153+BX154-CG153,IF(A154&lt;'Données projet'!$A$114,$BV$205^A154,IF(A154='Données projet'!$A$114,'Données projet'!$B$114,BY153+BX154-CG153)))</f>
        <v>188.86858974358921</v>
      </c>
      <c r="BZ154" s="13">
        <f>BY154*VLOOKUP('Données projet'!$B$12,Paramètres!$A$1:$I$89,3,0)*VLOOKUP('Données projet'!$B$12,Paramètres!$A$1:$I$89,5,0)</f>
        <v>179.72734999999949</v>
      </c>
      <c r="CA154" s="13">
        <f t="shared" ref="CA154:CA203" si="170">EXP(-1.0587+0.8836*LN(BZ154)+0.284)</f>
        <v>45.261521214266992</v>
      </c>
      <c r="CB154" s="20">
        <f t="shared" ref="CB154:CB203" si="171">(BZ154+CA154)*0.475*44/12</f>
        <v>391.85561736484743</v>
      </c>
      <c r="CC154" s="59">
        <f t="shared" si="119"/>
        <v>685.18895069818075</v>
      </c>
      <c r="CD154" s="59">
        <f ca="1">AVERAGE(OFFSET($CC$3,0,0,'Données projet'!$E$12+1,1))-AVERAGE(OFFSET($H$3,0,0,'Données projet'!$E$12+1,1))</f>
        <v>361.26385625423757</v>
      </c>
      <c r="CE154" s="59">
        <f t="shared" si="148"/>
        <v>222.05197404028576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86.234753658903969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86.234753658903969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247.00000000000017</v>
      </c>
      <c r="CU154" s="17">
        <f>CT154*VLOOKUP('Données projet'!$B$13,Paramètres!$A$1:$I$89,3,0)*VLOOKUP('Données projet'!$B$13,Paramètres!$A$1:$I$89,5,0)</f>
        <v>223.48560000000012</v>
      </c>
      <c r="CV154" s="13">
        <f t="shared" ref="CV154:CV203" si="173">EXP(-1.0587+0.8836*LN(CU154)+0.284)</f>
        <v>54.87176918107798</v>
      </c>
      <c r="CW154" s="20">
        <f t="shared" ref="CW154:CW203" si="174">(CU154+CV154)*0.475*44/12</f>
        <v>484.80575132371092</v>
      </c>
      <c r="CX154" s="59">
        <f t="shared" si="122"/>
        <v>778.13908465704424</v>
      </c>
      <c r="CY154" s="59">
        <f ca="1">AVERAGE(OFFSET($CX$3,0,0,'Données projet'!$E$13+1,1))-AVERAGE(OFFSET($H$3,0,0,'Données projet'!$E$13+1,1))</f>
        <v>302.6937347295995</v>
      </c>
      <c r="CZ154" s="59">
        <f t="shared" si="150"/>
        <v>423.44006663873375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5.5159633520829171E-2</v>
      </c>
      <c r="DG154" s="21">
        <f>EXP(-LN(2)/25)*DG153+(1-EXP(-LN(2)/25))/(LN(2)/25)*Calculateur!DB154*Calculateur!DD154*VLOOKUP('Données projet'!$B$13,Paramètres!$A$1:$I$89,3,0)*0.475*44/12</f>
        <v>0.14975933612473288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0.20491896964556205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3.0945512820512704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182.67369999999949</v>
      </c>
      <c r="DQ154" s="13">
        <f t="shared" ref="DQ154:DQ203" si="176">EXP(-1.0587+0.8836*LN(DP154)+0.284)</f>
        <v>45.916523732211509</v>
      </c>
      <c r="DR154" s="20">
        <f t="shared" ref="DR154:DR203" si="177">(DP154+DQ154)*0.475*44/12</f>
        <v>398.12797300026745</v>
      </c>
      <c r="DS154" s="59">
        <f t="shared" si="125"/>
        <v>691.46130633360076</v>
      </c>
      <c r="DT154" s="59">
        <f ca="1">AVERAGE(OFFSET($DS$3,0,0,'Données projet'!$E$14+1,1))-AVERAGE(OFFSET($H$3,0,0,'Données projet'!$E$14+1,1))</f>
        <v>366.51581861366333</v>
      </c>
      <c r="DU154" s="59">
        <f t="shared" si="152"/>
        <v>225.01415116995503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87.648438145115549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87.648438145115549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328.00000000000017</v>
      </c>
      <c r="EK154" s="17">
        <f>EJ154*VLOOKUP('Données projet'!$B$15,Paramètres!$A$1:$I$89,3,0)*VLOOKUP('Données projet'!$B$15,Paramètres!$A$1:$I$89,5,0)</f>
        <v>255.84000000000015</v>
      </c>
      <c r="EL154" s="13">
        <f t="shared" ref="EL154:EL203" si="179">EXP(-1.0587+0.8836*LN(EK154)+0.284)</f>
        <v>61.834803371075886</v>
      </c>
      <c r="EM154" s="20">
        <f t="shared" ref="EM154:EM203" si="180">(EK154+EL154)*0.475*44/12</f>
        <v>553.28361587129086</v>
      </c>
      <c r="EN154" s="59">
        <f t="shared" si="128"/>
        <v>846.61694920462423</v>
      </c>
      <c r="EO154" s="59">
        <f ca="1">AVERAGE(OFFSET($EN$3,0,0,'Données projet'!$E$15+1,1))-AVERAGE(OFFSET($H$3,0,0,'Données projet'!$E$15+1,1))</f>
        <v>288.80569134263209</v>
      </c>
      <c r="EP154" s="59">
        <f t="shared" si="154"/>
        <v>283.48738729114024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4.0067671989029874</v>
      </c>
      <c r="EW154" s="21">
        <f>EXP(-LN(2)/25)*EW153+(1-EXP(-LN(2)/25))/(LN(2)/25)*Calculateur!ER154*Calculateur!ET154*VLOOKUP('Données projet'!$B$15,Paramètres!$A$1:$I$89,3,0)*0.475*44/12</f>
        <v>2.033799109595694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6.0405663084986809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-1.0197709343628959E-13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323.17232038705157</v>
      </c>
      <c r="FK154" s="59">
        <f t="shared" si="156"/>
        <v>402.34685738619197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24.814230947520791</v>
      </c>
      <c r="FR154" s="21">
        <f>EXP(-LN(2)/25)*FR153+(1-EXP(-LN(2)/25))/(LN(2)/25)*Calculateur!FM154*Calculateur!FO154*VLOOKUP('Données projet'!$B$16,Paramètres!$A$1:$I$89,3,0)*0.475*44/12</f>
        <v>3.173320673195319</v>
      </c>
      <c r="FS154" s="21">
        <f>EXP(-LN(2)/2)*FS153+(1-EXP(-LN(2)/2))/(LN(2)/2)*FM154*FP154*VLOOKUP('Données projet'!$B$16,Paramètres!$A$1:$I$89,3,0)*0.475*44/12</f>
        <v>2.0301356256027028E-13</v>
      </c>
      <c r="FT154" s="22">
        <f t="shared" ref="FT154:FT203" si="184">SUM(FQ154:FS154)</f>
        <v>27.987551620716314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328.00000000000017</v>
      </c>
      <c r="GA154" s="17">
        <f>FZ154*VLOOKUP('Données projet'!$B$17,Paramètres!$A$1:$I$89,3,0)*VLOOKUP('Données projet'!$B$17,Paramètres!$A$1:$I$89,5,0)</f>
        <v>266.07360000000017</v>
      </c>
      <c r="GB154" s="13">
        <f t="shared" ref="GB154:GB203" si="185">EXP(-1.0587+0.8836*LN(GA154)+0.284)</f>
        <v>64.015279012301136</v>
      </c>
      <c r="GC154" s="20">
        <f t="shared" ref="GC154:GC203" si="186">(GA154+GB154)*0.475*44/12</f>
        <v>574.90479761309132</v>
      </c>
      <c r="GD154" s="59">
        <f t="shared" si="134"/>
        <v>868.23813094642469</v>
      </c>
      <c r="GE154" s="59">
        <f ca="1">AVERAGE(OFFSET($GD$3,0,0,'Données projet'!$E$17+1,1))-AVERAGE(OFFSET($H$3,0,0,'Données projet'!$E$17+1,1))</f>
        <v>298.96480270023716</v>
      </c>
      <c r="GF154" s="59">
        <f t="shared" si="158"/>
        <v>293.11447542333889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5.1361164651984348</v>
      </c>
      <c r="GM154" s="21">
        <f>EXP(-LN(2)/25)*GM153+(1-EXP(-LN(2)/25))/(LN(2)/25)*Calculateur!GH154*Calculateur!GJ154*VLOOKUP('Données projet'!$B$17,Paramètres!$A$1:$I$89,3,0)*0.475*44/12</f>
        <v>2.6070466725794086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7.7431631377778434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-1.4210854715202004E-13</v>
      </c>
      <c r="GV154" s="17">
        <f>GU154*VLOOKUP('Données projet'!$B$18,Paramètres!$A$1:$I$89,3,0)*VLOOKUP('Données projet'!$B$18,Paramètres!$A$1:$I$89,5,0)</f>
        <v>-8.128608897095547E-14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320.76883487964511</v>
      </c>
      <c r="HA154" s="59">
        <f t="shared" si="160"/>
        <v>290.51177680335746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40.58244121947984</v>
      </c>
      <c r="HH154" s="21">
        <f>EXP(-LN(2)/25)*HH153+(1-EXP(-LN(2)/25))/(LN(2)/25)*Calculateur!HC154*Calculateur!HE154*VLOOKUP('Données projet'!$B$18,Paramètres!$A$1:$I$89,3,0)*0.475*44/12</f>
        <v>6.1457961881691894</v>
      </c>
      <c r="HI154" s="21">
        <f>EXP(-LN(2)/2)*HI153+(1-EXP(-LN(2)/2))/(LN(2)/2)*HC154*HF154*VLOOKUP('Données projet'!$B$18,Paramètres!$A$1:$I$89,3,0)*0.475*44/12</f>
        <v>2.0956425466171675E-8</v>
      </c>
      <c r="HJ154" s="22">
        <f t="shared" ref="HJ154:HJ203" si="190">SUM(HG154:HI154)</f>
        <v>46.72823742860546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5.763922672485933E-13</v>
      </c>
      <c r="AK155" s="13">
        <f t="shared" si="164"/>
        <v>7.0619171555808457E-12</v>
      </c>
      <c r="AL155" s="20">
        <f t="shared" si="165"/>
        <v>1.3303388911427938E-11</v>
      </c>
      <c r="AM155" s="59">
        <f t="shared" si="113"/>
        <v>293.33333333334662</v>
      </c>
      <c r="AN155" s="59">
        <f ca="1">AVERAGE(OFFSET($AM$3,0,0,'Données projet'!$E$10+1,1))-AVERAGE(OFFSET($H$3,0,0,'Données projet'!$E$10+1,1))</f>
        <v>425.47148407510412</v>
      </c>
      <c r="AO155" s="59">
        <f t="shared" si="144"/>
        <v>308.54448799922471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126.42339872550679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126.42339872550679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212.00000000000009</v>
      </c>
      <c r="BE155" s="13">
        <f>BD155*VLOOKUP('Données projet'!$B$11,Paramètres!$A$1:$I$89,3,0)*VLOOKUP('Données projet'!$B$11,Paramètres!$A$1:$I$89,5,0)</f>
        <v>185.20320000000009</v>
      </c>
      <c r="BF155" s="13">
        <f t="shared" si="167"/>
        <v>46.477875402099386</v>
      </c>
      <c r="BG155" s="20">
        <f t="shared" si="168"/>
        <v>403.5112063253232</v>
      </c>
      <c r="BH155" s="59">
        <f t="shared" si="116"/>
        <v>696.84453965865646</v>
      </c>
      <c r="BI155" s="59">
        <f ca="1">AVERAGE(OFFSET($BH$3,0,0,'Données projet'!$E$11+1,1))-AVERAGE(OFFSET($H$3,0,0,'Données projet'!$E$11+1,1))</f>
        <v>300.63505444445104</v>
      </c>
      <c r="BJ155" s="59">
        <f t="shared" si="146"/>
        <v>266.32508105927997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5.3327047448125997</v>
      </c>
      <c r="BQ155" s="21">
        <f>EXP(-LN(2)/25)*BQ154+(1-EXP(-LN(2)/25))/(LN(2)/25)*Calculateur!BL155*Calculateur!BN155*VLOOKUP('Données projet'!$B$11,Paramètres!$A$1:$I$89,3,0)*0.475*44/12</f>
        <v>3.3081564400151056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8.6408611848277062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3.0945512820512704</v>
      </c>
      <c r="BY155" s="12">
        <f>IF('Données projet'!$A$114&gt;35,BY154+BX155-CG154,IF(A155&lt;'Données projet'!$A$114,$BV$205^A155,IF(A155='Données projet'!$A$114,'Données projet'!$B$114,BY154+BX155-CG154)))</f>
        <v>191.96314102564048</v>
      </c>
      <c r="BZ155" s="13">
        <f>BY155*VLOOKUP('Données projet'!$B$12,Paramètres!$A$1:$I$89,3,0)*VLOOKUP('Données projet'!$B$12,Paramètres!$A$1:$I$89,5,0)</f>
        <v>182.67212499999948</v>
      </c>
      <c r="CA155" s="13">
        <f t="shared" si="170"/>
        <v>45.916173924435952</v>
      </c>
      <c r="CB155" s="20">
        <f t="shared" si="171"/>
        <v>398.12462062672506</v>
      </c>
      <c r="CC155" s="59">
        <f t="shared" si="119"/>
        <v>691.45795396005838</v>
      </c>
      <c r="CD155" s="59">
        <f ca="1">AVERAGE(OFFSET($CC$3,0,0,'Données projet'!$E$12+1,1))-AVERAGE(OFFSET($H$3,0,0,'Données projet'!$E$12+1,1))</f>
        <v>361.26385625423757</v>
      </c>
      <c r="CE155" s="59">
        <f t="shared" si="148"/>
        <v>222.05197404028576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84.543742737658974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84.543742737658974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247.00000000000017</v>
      </c>
      <c r="CU155" s="17">
        <f>CT155*VLOOKUP('Données projet'!$B$13,Paramètres!$A$1:$I$89,3,0)*VLOOKUP('Données projet'!$B$13,Paramètres!$A$1:$I$89,5,0)</f>
        <v>223.48560000000012</v>
      </c>
      <c r="CV155" s="13">
        <f t="shared" si="173"/>
        <v>54.87176918107798</v>
      </c>
      <c r="CW155" s="20">
        <f t="shared" si="174"/>
        <v>484.80575132371092</v>
      </c>
      <c r="CX155" s="59">
        <f t="shared" si="122"/>
        <v>778.13908465704424</v>
      </c>
      <c r="CY155" s="59">
        <f ca="1">AVERAGE(OFFSET($CX$3,0,0,'Données projet'!$E$13+1,1))-AVERAGE(OFFSET($H$3,0,0,'Données projet'!$E$13+1,1))</f>
        <v>302.6937347295995</v>
      </c>
      <c r="CZ155" s="59">
        <f t="shared" si="150"/>
        <v>423.44006663873375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5.4077986751540082E-2</v>
      </c>
      <c r="DG155" s="21">
        <f>EXP(-LN(2)/25)*DG154+(1-EXP(-LN(2)/25))/(LN(2)/25)*Calculateur!DB155*Calculateur!DD155*VLOOKUP('Données projet'!$B$13,Paramètres!$A$1:$I$89,3,0)*0.475*44/12</f>
        <v>0.14566415920290085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0.19974214595444093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3.0945512820512704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185.6667499999995</v>
      </c>
      <c r="DQ155" s="13">
        <f t="shared" si="176"/>
        <v>46.580650255059233</v>
      </c>
      <c r="DR155" s="20">
        <f t="shared" si="177"/>
        <v>404.49755544422732</v>
      </c>
      <c r="DS155" s="59">
        <f t="shared" si="125"/>
        <v>697.83088877756063</v>
      </c>
      <c r="DT155" s="59">
        <f ca="1">AVERAGE(OFFSET($DS$3,0,0,'Données projet'!$E$14+1,1))-AVERAGE(OFFSET($H$3,0,0,'Données projet'!$E$14+1,1))</f>
        <v>366.51581861366333</v>
      </c>
      <c r="DU155" s="59">
        <f t="shared" si="152"/>
        <v>225.01415116995503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85.929705733358333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85.929705733358333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328.00000000000017</v>
      </c>
      <c r="EK155" s="17">
        <f>EJ155*VLOOKUP('Données projet'!$B$15,Paramètres!$A$1:$I$89,3,0)*VLOOKUP('Données projet'!$B$15,Paramètres!$A$1:$I$89,5,0)</f>
        <v>255.84000000000015</v>
      </c>
      <c r="EL155" s="13">
        <f t="shared" si="179"/>
        <v>61.834803371075886</v>
      </c>
      <c r="EM155" s="20">
        <f t="shared" si="180"/>
        <v>553.28361587129086</v>
      </c>
      <c r="EN155" s="59">
        <f t="shared" si="128"/>
        <v>846.61694920462423</v>
      </c>
      <c r="EO155" s="59">
        <f ca="1">AVERAGE(OFFSET($EN$3,0,0,'Données projet'!$E$15+1,1))-AVERAGE(OFFSET($H$3,0,0,'Données projet'!$E$15+1,1))</f>
        <v>288.80569134263209</v>
      </c>
      <c r="EP155" s="59">
        <f t="shared" si="154"/>
        <v>283.48738729114024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3.9281969380191772</v>
      </c>
      <c r="EW155" s="21">
        <f>EXP(-LN(2)/25)*EW154+(1-EXP(-LN(2)/25))/(LN(2)/25)*Calculateur!ER155*Calculateur!ET155*VLOOKUP('Données projet'!$B$15,Paramètres!$A$1:$I$89,3,0)*0.475*44/12</f>
        <v>1.9781847659909528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5.9063817040101299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-1.0197709343628959E-13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323.17232038705157</v>
      </c>
      <c r="FK155" s="59">
        <f t="shared" si="156"/>
        <v>402.34685738619197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24.32763901382631</v>
      </c>
      <c r="FR155" s="21">
        <f>EXP(-LN(2)/25)*FR154+(1-EXP(-LN(2)/25))/(LN(2)/25)*Calculateur!FM155*Calculateur!FO155*VLOOKUP('Données projet'!$B$16,Paramètres!$A$1:$I$89,3,0)*0.475*44/12</f>
        <v>3.0865460525091115</v>
      </c>
      <c r="FS155" s="21">
        <f>EXP(-LN(2)/2)*FS154+(1-EXP(-LN(2)/2))/(LN(2)/2)*FM155*FP155*VLOOKUP('Données projet'!$B$16,Paramètres!$A$1:$I$89,3,0)*0.475*44/12</f>
        <v>1.4355226675920651E-13</v>
      </c>
      <c r="FT155" s="22">
        <f t="shared" si="184"/>
        <v>27.414185066335563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328.00000000000017</v>
      </c>
      <c r="GA155" s="17">
        <f>FZ155*VLOOKUP('Données projet'!$B$17,Paramètres!$A$1:$I$89,3,0)*VLOOKUP('Données projet'!$B$17,Paramètres!$A$1:$I$89,5,0)</f>
        <v>266.07360000000017</v>
      </c>
      <c r="GB155" s="13">
        <f t="shared" si="185"/>
        <v>64.015279012301136</v>
      </c>
      <c r="GC155" s="20">
        <f t="shared" si="186"/>
        <v>574.90479761309132</v>
      </c>
      <c r="GD155" s="59">
        <f t="shared" si="134"/>
        <v>868.23813094642469</v>
      </c>
      <c r="GE155" s="59">
        <f ca="1">AVERAGE(OFFSET($GD$3,0,0,'Données projet'!$E$17+1,1))-AVERAGE(OFFSET($H$3,0,0,'Données projet'!$E$17+1,1))</f>
        <v>298.96480270023716</v>
      </c>
      <c r="GF155" s="59">
        <f t="shared" si="158"/>
        <v>293.11447542333889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5.0354003540376064</v>
      </c>
      <c r="GM155" s="21">
        <f>EXP(-LN(2)/25)*GM154+(1-EXP(-LN(2)/25))/(LN(2)/25)*Calculateur!GH155*Calculateur!GJ155*VLOOKUP('Données projet'!$B$17,Paramètres!$A$1:$I$89,3,0)*0.475*44/12</f>
        <v>2.5357568442190987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7.5711571982567047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-1.4210854715202004E-13</v>
      </c>
      <c r="GV155" s="17">
        <f>GU155*VLOOKUP('Données projet'!$B$18,Paramètres!$A$1:$I$89,3,0)*VLOOKUP('Données projet'!$B$18,Paramètres!$A$1:$I$89,5,0)</f>
        <v>-8.128608897095547E-14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320.76883487964511</v>
      </c>
      <c r="HA155" s="59">
        <f t="shared" si="160"/>
        <v>290.51177680335746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39.786644300010842</v>
      </c>
      <c r="HH155" s="21">
        <f>EXP(-LN(2)/25)*HH154+(1-EXP(-LN(2)/25))/(LN(2)/25)*Calculateur!HC155*Calculateur!HE155*VLOOKUP('Données projet'!$B$18,Paramètres!$A$1:$I$89,3,0)*0.475*44/12</f>
        <v>5.9777390682103277</v>
      </c>
      <c r="HI155" s="21">
        <f>EXP(-LN(2)/2)*HI154+(1-EXP(-LN(2)/2))/(LN(2)/2)*HC155*HF155*VLOOKUP('Données projet'!$B$18,Paramètres!$A$1:$I$89,3,0)*0.475*44/12</f>
        <v>1.4818430556560449E-8</v>
      </c>
      <c r="HJ155" s="22">
        <f t="shared" si="190"/>
        <v>45.764383383039601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5.763922672485933E-13</v>
      </c>
      <c r="AK156" s="13">
        <f t="shared" si="164"/>
        <v>7.0619171555808457E-12</v>
      </c>
      <c r="AL156" s="20">
        <f t="shared" si="165"/>
        <v>1.3303388911427938E-11</v>
      </c>
      <c r="AM156" s="59">
        <f t="shared" si="113"/>
        <v>293.33333333334662</v>
      </c>
      <c r="AN156" s="59">
        <f ca="1">AVERAGE(OFFSET($AM$3,0,0,'Données projet'!$E$10+1,1))-AVERAGE(OFFSET($H$3,0,0,'Données projet'!$E$10+1,1))</f>
        <v>425.47148407510412</v>
      </c>
      <c r="AO156" s="59">
        <f t="shared" si="144"/>
        <v>308.54448799922471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123.94431298715878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123.94431298715878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212.00000000000009</v>
      </c>
      <c r="BE156" s="13">
        <f>BD156*VLOOKUP('Données projet'!$B$11,Paramètres!$A$1:$I$89,3,0)*VLOOKUP('Données projet'!$B$11,Paramètres!$A$1:$I$89,5,0)</f>
        <v>185.20320000000009</v>
      </c>
      <c r="BF156" s="13">
        <f t="shared" si="167"/>
        <v>46.477875402099386</v>
      </c>
      <c r="BG156" s="20">
        <f t="shared" si="168"/>
        <v>403.5112063253232</v>
      </c>
      <c r="BH156" s="59">
        <f t="shared" si="116"/>
        <v>696.84453965865646</v>
      </c>
      <c r="BI156" s="59">
        <f ca="1">AVERAGE(OFFSET($BH$3,0,0,'Données projet'!$E$11+1,1))-AVERAGE(OFFSET($H$3,0,0,'Données projet'!$E$11+1,1))</f>
        <v>300.63505444445104</v>
      </c>
      <c r="BJ156" s="59">
        <f t="shared" si="146"/>
        <v>266.32508105927997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5.2281336573955484</v>
      </c>
      <c r="BQ156" s="21">
        <f>EXP(-LN(2)/25)*BQ155+(1-EXP(-LN(2)/25))/(LN(2)/25)*Calculateur!BL156*Calculateur!BN156*VLOOKUP('Données projet'!$B$11,Paramètres!$A$1:$I$89,3,0)*0.475*44/12</f>
        <v>3.2176947281945063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8.4458283855900547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195.05769230769226</v>
      </c>
      <c r="BW156" s="12">
        <f>VLOOKUP(A156,'Données projet'!$A$113:$I$133,9,0)</f>
        <v>3.0945512820512704</v>
      </c>
      <c r="BX156" s="12">
        <f t="array" ref="BX156">INDEX(BW:BW,MIN(IF(ISNUMBER(BW156:BW352),ROW(BW156:BW352),"")))</f>
        <v>3.0945512820512704</v>
      </c>
      <c r="BY156" s="12">
        <f>IF('Données projet'!$A$114&gt;35,BY155+BX156-CG155,IF(A156&lt;'Données projet'!$A$114,$BV$205^A156,IF(A156='Données projet'!$A$114,'Données projet'!$B$114,BY155+BX156-CG155)))</f>
        <v>195.05769230769175</v>
      </c>
      <c r="BZ156" s="13">
        <f>BY156*VLOOKUP('Données projet'!$B$12,Paramètres!$A$1:$I$89,3,0)*VLOOKUP('Données projet'!$B$12,Paramètres!$A$1:$I$89,5,0)</f>
        <v>185.61689999999948</v>
      </c>
      <c r="CA156" s="13">
        <f t="shared" si="170"/>
        <v>46.569599318942032</v>
      </c>
      <c r="CB156" s="20">
        <f t="shared" si="171"/>
        <v>404.39148631382312</v>
      </c>
      <c r="CC156" s="59">
        <f t="shared" si="119"/>
        <v>697.72481964715644</v>
      </c>
      <c r="CD156" s="59">
        <f ca="1">AVERAGE(OFFSET($CC$3,0,0,'Données projet'!$E$12+1,1))-AVERAGE(OFFSET($H$3,0,0,'Données projet'!$E$12+1,1))</f>
        <v>361.26385625423757</v>
      </c>
      <c r="CE156" s="59">
        <f t="shared" si="148"/>
        <v>222.05197404028576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70.115384615384613</v>
      </c>
      <c r="CH156" s="16">
        <f>IF(ISNA(VLOOKUP(A156,'Données projet'!$A$113:$I$133,5,0)),0%,VLOOKUP(A156,'Données projet'!$A$113:$I$133,5,0)*VLOOKUP('Données projet'!$B$12,Paramètres!$A$1:$I$89,7,0))</f>
        <v>0.38700000000000001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111.43061428041483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111.43061428041483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247.00000000000017</v>
      </c>
      <c r="CU156" s="17">
        <f>CT156*VLOOKUP('Données projet'!$B$13,Paramètres!$A$1:$I$89,3,0)*VLOOKUP('Données projet'!$B$13,Paramètres!$A$1:$I$89,5,0)</f>
        <v>223.48560000000012</v>
      </c>
      <c r="CV156" s="13">
        <f t="shared" si="173"/>
        <v>54.87176918107798</v>
      </c>
      <c r="CW156" s="20">
        <f t="shared" si="174"/>
        <v>484.80575132371092</v>
      </c>
      <c r="CX156" s="59">
        <f t="shared" si="122"/>
        <v>778.13908465704424</v>
      </c>
      <c r="CY156" s="59">
        <f ca="1">AVERAGE(OFFSET($CX$3,0,0,'Données projet'!$E$13+1,1))-AVERAGE(OFFSET($H$3,0,0,'Données projet'!$E$13+1,1))</f>
        <v>302.6937347295995</v>
      </c>
      <c r="CZ156" s="59">
        <f t="shared" si="150"/>
        <v>423.44006663873375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5.3017550415657366E-2</v>
      </c>
      <c r="DG156" s="21">
        <f>EXP(-LN(2)/25)*DG155+(1-EXP(-LN(2)/25))/(LN(2)/25)*Calculateur!DB156*Calculateur!DD156*VLOOKUP('Données projet'!$B$13,Paramètres!$A$1:$I$89,3,0)*0.475*44/12</f>
        <v>0.14168096510935232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0.19469851552500969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195.05769230769226</v>
      </c>
      <c r="DM156" s="12">
        <f>VLOOKUP(A156,'Données projet'!$A$165:$I$185,9,0)</f>
        <v>3.0945512820512704</v>
      </c>
      <c r="DN156" s="12">
        <f t="array" ref="DN156">INDEX(DM:DM,MIN(IF(ISNUMBER(DM156:DM352),ROW(DM156:DM352),"")))</f>
        <v>3.0945512820512704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188.65979999999948</v>
      </c>
      <c r="DQ156" s="13">
        <f t="shared" si="176"/>
        <v>47.243531701134245</v>
      </c>
      <c r="DR156" s="20">
        <f t="shared" si="177"/>
        <v>410.86496937947453</v>
      </c>
      <c r="DS156" s="59">
        <f t="shared" si="125"/>
        <v>704.19830271280784</v>
      </c>
      <c r="DT156" s="59">
        <f ca="1">AVERAGE(OFFSET($DS$3,0,0,'Données projet'!$E$14+1,1))-AVERAGE(OFFSET($H$3,0,0,'Données projet'!$E$14+1,1))</f>
        <v>366.51581861366333</v>
      </c>
      <c r="DU156" s="59">
        <f t="shared" si="152"/>
        <v>225.01415116995503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0.38700000000000001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113.257345662061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113.257345662061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328.00000000000017</v>
      </c>
      <c r="EK156" s="17">
        <f>EJ156*VLOOKUP('Données projet'!$B$15,Paramètres!$A$1:$I$89,3,0)*VLOOKUP('Données projet'!$B$15,Paramètres!$A$1:$I$89,5,0)</f>
        <v>255.84000000000015</v>
      </c>
      <c r="EL156" s="13">
        <f t="shared" si="179"/>
        <v>61.834803371075886</v>
      </c>
      <c r="EM156" s="20">
        <f t="shared" si="180"/>
        <v>553.28361587129086</v>
      </c>
      <c r="EN156" s="59">
        <f t="shared" si="128"/>
        <v>846.61694920462423</v>
      </c>
      <c r="EO156" s="59">
        <f ca="1">AVERAGE(OFFSET($EN$3,0,0,'Données projet'!$E$15+1,1))-AVERAGE(OFFSET($H$3,0,0,'Données projet'!$E$15+1,1))</f>
        <v>288.80569134263209</v>
      </c>
      <c r="EP156" s="59">
        <f t="shared" si="154"/>
        <v>283.48738729114024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3.8511673920281715</v>
      </c>
      <c r="EW156" s="21">
        <f>EXP(-LN(2)/25)*EW155+(1-EXP(-LN(2)/25))/(LN(2)/25)*Calculateur!ER156*Calculateur!ET156*VLOOKUP('Données projet'!$B$15,Paramètres!$A$1:$I$89,3,0)*0.475*44/12</f>
        <v>1.9240911995367145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5.775258591564886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-1.0197709343628959E-13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323.17232038705157</v>
      </c>
      <c r="FK156" s="59">
        <f t="shared" si="156"/>
        <v>402.34685738619197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23.850588851159806</v>
      </c>
      <c r="FR156" s="21">
        <f>EXP(-LN(2)/25)*FR155+(1-EXP(-LN(2)/25))/(LN(2)/25)*Calculateur!FM156*Calculateur!FO156*VLOOKUP('Données projet'!$B$16,Paramètres!$A$1:$I$89,3,0)*0.475*44/12</f>
        <v>3.0021442883888474</v>
      </c>
      <c r="FS156" s="21">
        <f>EXP(-LN(2)/2)*FS155+(1-EXP(-LN(2)/2))/(LN(2)/2)*FM156*FP156*VLOOKUP('Données projet'!$B$16,Paramètres!$A$1:$I$89,3,0)*0.475*44/12</f>
        <v>1.0150678128013514E-13</v>
      </c>
      <c r="FT156" s="22">
        <f t="shared" si="184"/>
        <v>26.852733139548757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328.00000000000017</v>
      </c>
      <c r="GA156" s="17">
        <f>FZ156*VLOOKUP('Données projet'!$B$17,Paramètres!$A$1:$I$89,3,0)*VLOOKUP('Données projet'!$B$17,Paramètres!$A$1:$I$89,5,0)</f>
        <v>266.07360000000017</v>
      </c>
      <c r="GB156" s="13">
        <f t="shared" si="185"/>
        <v>64.015279012301136</v>
      </c>
      <c r="GC156" s="20">
        <f t="shared" si="186"/>
        <v>574.90479761309132</v>
      </c>
      <c r="GD156" s="59">
        <f t="shared" si="134"/>
        <v>868.23813094642469</v>
      </c>
      <c r="GE156" s="59">
        <f ca="1">AVERAGE(OFFSET($GD$3,0,0,'Données projet'!$E$17+1,1))-AVERAGE(OFFSET($H$3,0,0,'Données projet'!$E$17+1,1))</f>
        <v>298.96480270023716</v>
      </c>
      <c r="GF156" s="59">
        <f t="shared" si="158"/>
        <v>293.11447542333889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4.9366592243858802</v>
      </c>
      <c r="GM156" s="21">
        <f>EXP(-LN(2)/25)*GM155+(1-EXP(-LN(2)/25))/(LN(2)/25)*Calculateur!GH156*Calculateur!GJ156*VLOOKUP('Données projet'!$B$17,Paramètres!$A$1:$I$89,3,0)*0.475*44/12</f>
        <v>2.4664164399642705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7.4030756643501512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-1.4210854715202004E-13</v>
      </c>
      <c r="GV156" s="17">
        <f>GU156*VLOOKUP('Données projet'!$B$18,Paramètres!$A$1:$I$89,3,0)*VLOOKUP('Données projet'!$B$18,Paramètres!$A$1:$I$89,5,0)</f>
        <v>-8.128608897095547E-14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320.76883487964511</v>
      </c>
      <c r="HA156" s="59">
        <f t="shared" si="160"/>
        <v>290.51177680335746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39.006452472744442</v>
      </c>
      <c r="HH156" s="21">
        <f>EXP(-LN(2)/25)*HH155+(1-EXP(-LN(2)/25))/(LN(2)/25)*Calculateur!HC156*Calculateur!HE156*VLOOKUP('Données projet'!$B$18,Paramètres!$A$1:$I$89,3,0)*0.475*44/12</f>
        <v>5.8142774790344811</v>
      </c>
      <c r="HI156" s="21">
        <f>EXP(-LN(2)/2)*HI155+(1-EXP(-LN(2)/2))/(LN(2)/2)*HC156*HF156*VLOOKUP('Données projet'!$B$18,Paramètres!$A$1:$I$89,3,0)*0.475*44/12</f>
        <v>1.0478212733085839E-8</v>
      </c>
      <c r="HJ156" s="22">
        <f t="shared" si="190"/>
        <v>44.820729962257133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5.763922672485933E-13</v>
      </c>
      <c r="AK157" s="13">
        <f t="shared" si="164"/>
        <v>7.0619171555808457E-12</v>
      </c>
      <c r="AL157" s="20">
        <f t="shared" si="165"/>
        <v>1.3303388911427938E-11</v>
      </c>
      <c r="AM157" s="59">
        <f t="shared" si="113"/>
        <v>293.33333333334662</v>
      </c>
      <c r="AN157" s="59">
        <f ca="1">AVERAGE(OFFSET($AM$3,0,0,'Données projet'!$E$10+1,1))-AVERAGE(OFFSET($H$3,0,0,'Données projet'!$E$10+1,1))</f>
        <v>425.47148407510412</v>
      </c>
      <c r="AO157" s="59">
        <f t="shared" si="144"/>
        <v>308.54448799922471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121.51384060804678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121.51384060804678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212.00000000000009</v>
      </c>
      <c r="BE157" s="13">
        <f>BD157*VLOOKUP('Données projet'!$B$11,Paramètres!$A$1:$I$89,3,0)*VLOOKUP('Données projet'!$B$11,Paramètres!$A$1:$I$89,5,0)</f>
        <v>185.20320000000009</v>
      </c>
      <c r="BF157" s="13">
        <f t="shared" si="167"/>
        <v>46.477875402099386</v>
      </c>
      <c r="BG157" s="20">
        <f t="shared" si="168"/>
        <v>403.5112063253232</v>
      </c>
      <c r="BH157" s="59">
        <f t="shared" si="116"/>
        <v>696.84453965865646</v>
      </c>
      <c r="BI157" s="59">
        <f ca="1">AVERAGE(OFFSET($BH$3,0,0,'Données projet'!$E$11+1,1))-AVERAGE(OFFSET($H$3,0,0,'Données projet'!$E$11+1,1))</f>
        <v>300.63505444445104</v>
      </c>
      <c r="BJ157" s="59">
        <f t="shared" si="146"/>
        <v>266.32508105927997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5.1256131452206803</v>
      </c>
      <c r="BQ157" s="21">
        <f>EXP(-LN(2)/25)*BQ156+(1-EXP(-LN(2)/25))/(LN(2)/25)*Calculateur!BL157*Calculateur!BN157*VLOOKUP('Données projet'!$B$11,Paramètres!$A$1:$I$89,3,0)*0.475*44/12</f>
        <v>3.1297066966408158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8.2553198418614961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1.8717948717948829</v>
      </c>
      <c r="BY157" s="12">
        <f>IF('Données projet'!$A$114&gt;35,BY156+BX157-CG156,IF(A157&lt;'Données projet'!$A$114,$BV$205^A157,IF(A157='Données projet'!$A$114,'Données projet'!$B$114,BY156+BX157-CG156)))</f>
        <v>126.81410256410203</v>
      </c>
      <c r="BZ157" s="13">
        <f>BY157*VLOOKUP('Données projet'!$B$12,Paramètres!$A$1:$I$89,3,0)*VLOOKUP('Données projet'!$B$12,Paramètres!$A$1:$I$89,5,0)</f>
        <v>120.67629999999949</v>
      </c>
      <c r="CA157" s="13">
        <f t="shared" si="170"/>
        <v>31.83268353297078</v>
      </c>
      <c r="CB157" s="20">
        <f t="shared" si="171"/>
        <v>265.61981298658986</v>
      </c>
      <c r="CC157" s="59">
        <f t="shared" si="119"/>
        <v>558.95314631992323</v>
      </c>
      <c r="CD157" s="59">
        <f ca="1">AVERAGE(OFFSET($CC$3,0,0,'Données projet'!$E$12+1,1))-AVERAGE(OFFSET($H$3,0,0,'Données projet'!$E$12+1,1))</f>
        <v>361.26385625423757</v>
      </c>
      <c r="CE157" s="59">
        <f t="shared" si="148"/>
        <v>222.05197404028576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109.24552790033952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109.24552790033952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247.00000000000017</v>
      </c>
      <c r="CU157" s="17">
        <f>CT157*VLOOKUP('Données projet'!$B$13,Paramètres!$A$1:$I$89,3,0)*VLOOKUP('Données projet'!$B$13,Paramètres!$A$1:$I$89,5,0)</f>
        <v>223.48560000000012</v>
      </c>
      <c r="CV157" s="13">
        <f t="shared" si="173"/>
        <v>54.87176918107798</v>
      </c>
      <c r="CW157" s="20">
        <f t="shared" si="174"/>
        <v>484.80575132371092</v>
      </c>
      <c r="CX157" s="59">
        <f t="shared" si="122"/>
        <v>778.13908465704424</v>
      </c>
      <c r="CY157" s="59">
        <f ca="1">AVERAGE(OFFSET($CX$3,0,0,'Données projet'!$E$13+1,1))-AVERAGE(OFFSET($H$3,0,0,'Données projet'!$E$13+1,1))</f>
        <v>302.6937347295995</v>
      </c>
      <c r="CZ157" s="59">
        <f t="shared" si="150"/>
        <v>423.44006663873375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5.1977908589519013E-2</v>
      </c>
      <c r="DG157" s="21">
        <f>EXP(-LN(2)/25)*DG156+(1-EXP(-LN(2)/25))/(LN(2)/25)*Calculateur!DB157*Calculateur!DD157*VLOOKUP('Données projet'!$B$13,Paramètres!$A$1:$I$89,3,0)*0.475*44/12</f>
        <v>0.13780669166775894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0.18978460025727795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1.8717948717948829</v>
      </c>
      <c r="DO157" s="12">
        <f>IF('Données projet'!$A$166&gt;35,DO156+DN157-DW156,IF(A157&lt;'Données projet'!$A$166,$DL$205^A157,IF(A157='Données projet'!$A$166,'Données projet'!$B$166,DO156+DN157-DW156)))</f>
        <v>126.81410256410203</v>
      </c>
      <c r="DP157" s="17">
        <f>DO157*VLOOKUP('Données projet'!$B$14,Paramètres!$A$1:$I$89,3,0)*VLOOKUP('Données projet'!$B$14,Paramètres!$A$1:$I$89,5,0)</f>
        <v>122.65459999999949</v>
      </c>
      <c r="DQ157" s="13">
        <f t="shared" si="176"/>
        <v>32.293350503670261</v>
      </c>
      <c r="DR157" s="20">
        <f t="shared" si="177"/>
        <v>269.86768046055812</v>
      </c>
      <c r="DS157" s="59">
        <f t="shared" si="125"/>
        <v>563.20101379389143</v>
      </c>
      <c r="DT157" s="59">
        <f ca="1">AVERAGE(OFFSET($DS$3,0,0,'Données projet'!$E$14+1,1))-AVERAGE(OFFSET($H$3,0,0,'Données projet'!$E$14+1,1))</f>
        <v>366.51581861366333</v>
      </c>
      <c r="DU157" s="59">
        <f t="shared" si="152"/>
        <v>225.01415116995503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111.03643819378773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111.03643819378773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328.00000000000017</v>
      </c>
      <c r="EK157" s="17">
        <f>EJ157*VLOOKUP('Données projet'!$B$15,Paramètres!$A$1:$I$89,3,0)*VLOOKUP('Données projet'!$B$15,Paramètres!$A$1:$I$89,5,0)</f>
        <v>255.84000000000015</v>
      </c>
      <c r="EL157" s="13">
        <f t="shared" si="179"/>
        <v>61.834803371075886</v>
      </c>
      <c r="EM157" s="20">
        <f t="shared" si="180"/>
        <v>553.28361587129086</v>
      </c>
      <c r="EN157" s="59">
        <f t="shared" si="128"/>
        <v>846.61694920462423</v>
      </c>
      <c r="EO157" s="59">
        <f ca="1">AVERAGE(OFFSET($EN$3,0,0,'Données projet'!$E$15+1,1))-AVERAGE(OFFSET($H$3,0,0,'Données projet'!$E$15+1,1))</f>
        <v>288.80569134263209</v>
      </c>
      <c r="EP157" s="59">
        <f t="shared" si="154"/>
        <v>283.48738729114024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3.7756483484506655</v>
      </c>
      <c r="EW157" s="21">
        <f>EXP(-LN(2)/25)*EW156+(1-EXP(-LN(2)/25))/(LN(2)/25)*Calculateur!ER157*Calculateur!ET157*VLOOKUP('Données projet'!$B$15,Paramètres!$A$1:$I$89,3,0)*0.475*44/12</f>
        <v>1.8714768245018245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5.6471251729524905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-1.0197709343628959E-13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323.17232038705157</v>
      </c>
      <c r="FK157" s="59">
        <f t="shared" si="156"/>
        <v>402.34685738619197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23.382893351211322</v>
      </c>
      <c r="FR157" s="21">
        <f>EXP(-LN(2)/25)*FR156+(1-EXP(-LN(2)/25))/(LN(2)/25)*Calculateur!FM157*Calculateur!FO157*VLOOKUP('Données projet'!$B$16,Paramètres!$A$1:$I$89,3,0)*0.475*44/12</f>
        <v>2.9200504949469477</v>
      </c>
      <c r="FS157" s="21">
        <f>EXP(-LN(2)/2)*FS156+(1-EXP(-LN(2)/2))/(LN(2)/2)*FM157*FP157*VLOOKUP('Données projet'!$B$16,Paramètres!$A$1:$I$89,3,0)*0.475*44/12</f>
        <v>7.1776133379603257E-14</v>
      </c>
      <c r="FT157" s="22">
        <f t="shared" si="184"/>
        <v>26.302943846158342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328.00000000000017</v>
      </c>
      <c r="GA157" s="17">
        <f>FZ157*VLOOKUP('Données projet'!$B$17,Paramètres!$A$1:$I$89,3,0)*VLOOKUP('Données projet'!$B$17,Paramètres!$A$1:$I$89,5,0)</f>
        <v>266.07360000000017</v>
      </c>
      <c r="GB157" s="13">
        <f t="shared" si="185"/>
        <v>64.015279012301136</v>
      </c>
      <c r="GC157" s="20">
        <f t="shared" si="186"/>
        <v>574.90479761309132</v>
      </c>
      <c r="GD157" s="59">
        <f t="shared" si="134"/>
        <v>868.23813094642469</v>
      </c>
      <c r="GE157" s="59">
        <f ca="1">AVERAGE(OFFSET($GD$3,0,0,'Données projet'!$E$17+1,1))-AVERAGE(OFFSET($H$3,0,0,'Données projet'!$E$17+1,1))</f>
        <v>298.96480270023716</v>
      </c>
      <c r="GF157" s="59">
        <f t="shared" si="158"/>
        <v>293.11447542333889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4.8398543480604816</v>
      </c>
      <c r="GM157" s="21">
        <f>EXP(-LN(2)/25)*GM156+(1-EXP(-LN(2)/25))/(LN(2)/25)*Calculateur!GH157*Calculateur!GJ157*VLOOKUP('Données projet'!$B$17,Paramètres!$A$1:$I$89,3,0)*0.475*44/12</f>
        <v>2.3989721527102441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7.2388265007707258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-1.4210854715202004E-13</v>
      </c>
      <c r="GV157" s="17">
        <f>GU157*VLOOKUP('Données projet'!$B$18,Paramètres!$A$1:$I$89,3,0)*VLOOKUP('Données projet'!$B$18,Paramètres!$A$1:$I$89,5,0)</f>
        <v>-8.128608897095547E-14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320.76883487964511</v>
      </c>
      <c r="HA157" s="59">
        <f t="shared" si="160"/>
        <v>290.51177680335746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38.241559731340708</v>
      </c>
      <c r="HH157" s="21">
        <f>EXP(-LN(2)/25)*HH156+(1-EXP(-LN(2)/25))/(LN(2)/25)*Calculateur!HC157*Calculateur!HE157*VLOOKUP('Données projet'!$B$18,Paramètres!$A$1:$I$89,3,0)*0.475*44/12</f>
        <v>5.655285755610719</v>
      </c>
      <c r="HI157" s="21">
        <f>EXP(-LN(2)/2)*HI156+(1-EXP(-LN(2)/2))/(LN(2)/2)*HC157*HF157*VLOOKUP('Données projet'!$B$18,Paramètres!$A$1:$I$89,3,0)*0.475*44/12</f>
        <v>7.4092152782802252E-9</v>
      </c>
      <c r="HJ157" s="22">
        <f t="shared" si="190"/>
        <v>43.89684549436064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5.763922672485933E-13</v>
      </c>
      <c r="AK158" s="13">
        <f t="shared" si="164"/>
        <v>7.0619171555808457E-12</v>
      </c>
      <c r="AL158" s="20">
        <f t="shared" si="165"/>
        <v>1.3303388911427938E-11</v>
      </c>
      <c r="AM158" s="59">
        <f t="shared" si="113"/>
        <v>293.33333333334662</v>
      </c>
      <c r="AN158" s="59">
        <f ca="1">AVERAGE(OFFSET($AM$3,0,0,'Données projet'!$E$10+1,1))-AVERAGE(OFFSET($H$3,0,0,'Données projet'!$E$10+1,1))</f>
        <v>425.47148407510412</v>
      </c>
      <c r="AO158" s="59">
        <f t="shared" si="144"/>
        <v>308.54448799922471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119.13102830984739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119.13102830984739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212.00000000000009</v>
      </c>
      <c r="BE158" s="13">
        <f>BD158*VLOOKUP('Données projet'!$B$11,Paramètres!$A$1:$I$89,3,0)*VLOOKUP('Données projet'!$B$11,Paramètres!$A$1:$I$89,5,0)</f>
        <v>185.20320000000009</v>
      </c>
      <c r="BF158" s="13">
        <f t="shared" si="167"/>
        <v>46.477875402099386</v>
      </c>
      <c r="BG158" s="20">
        <f t="shared" si="168"/>
        <v>403.5112063253232</v>
      </c>
      <c r="BH158" s="59">
        <f t="shared" si="116"/>
        <v>696.84453965865646</v>
      </c>
      <c r="BI158" s="59">
        <f ca="1">AVERAGE(OFFSET($BH$3,0,0,'Données projet'!$E$11+1,1))-AVERAGE(OFFSET($H$3,0,0,'Données projet'!$E$11+1,1))</f>
        <v>300.63505444445104</v>
      </c>
      <c r="BJ158" s="59">
        <f t="shared" si="146"/>
        <v>266.32508105927997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5.0251029977582231</v>
      </c>
      <c r="BQ158" s="21">
        <f>EXP(-LN(2)/25)*BQ157+(1-EXP(-LN(2)/25))/(LN(2)/25)*Calculateur!BL158*Calculateur!BN158*VLOOKUP('Données projet'!$B$11,Paramètres!$A$1:$I$89,3,0)*0.475*44/12</f>
        <v>3.0441247024370504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8.0692277001952739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1.8717948717948829</v>
      </c>
      <c r="BY158" s="12">
        <f>IF('Données projet'!$A$114&gt;35,BY157+BX158-CG157,IF(A158&lt;'Données projet'!$A$114,$BV$205^A158,IF(A158='Données projet'!$A$114,'Données projet'!$B$114,BY157+BX158-CG157)))</f>
        <v>128.68589743589692</v>
      </c>
      <c r="BZ158" s="13">
        <f>BY158*VLOOKUP('Données projet'!$B$12,Paramètres!$A$1:$I$89,3,0)*VLOOKUP('Données projet'!$B$12,Paramètres!$A$1:$I$89,5,0)</f>
        <v>122.45749999999951</v>
      </c>
      <c r="CA158" s="13">
        <f t="shared" si="170"/>
        <v>32.247492807038746</v>
      </c>
      <c r="CB158" s="20">
        <f t="shared" si="171"/>
        <v>269.44452913892491</v>
      </c>
      <c r="CC158" s="59">
        <f t="shared" si="119"/>
        <v>562.77786247225822</v>
      </c>
      <c r="CD158" s="59">
        <f ca="1">AVERAGE(OFFSET($CC$3,0,0,'Données projet'!$E$12+1,1))-AVERAGE(OFFSET($H$3,0,0,'Données projet'!$E$12+1,1))</f>
        <v>361.26385625423757</v>
      </c>
      <c r="CE158" s="59">
        <f t="shared" si="148"/>
        <v>222.05197404028576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107.10328973140641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107.10328973140641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247.00000000000017</v>
      </c>
      <c r="CU158" s="17">
        <f>CT158*VLOOKUP('Données projet'!$B$13,Paramètres!$A$1:$I$89,3,0)*VLOOKUP('Données projet'!$B$13,Paramètres!$A$1:$I$89,5,0)</f>
        <v>223.48560000000012</v>
      </c>
      <c r="CV158" s="13">
        <f t="shared" si="173"/>
        <v>54.87176918107798</v>
      </c>
      <c r="CW158" s="20">
        <f t="shared" si="174"/>
        <v>484.80575132371092</v>
      </c>
      <c r="CX158" s="59">
        <f t="shared" si="122"/>
        <v>778.13908465704424</v>
      </c>
      <c r="CY158" s="59">
        <f ca="1">AVERAGE(OFFSET($CX$3,0,0,'Données projet'!$E$13+1,1))-AVERAGE(OFFSET($H$3,0,0,'Données projet'!$E$13+1,1))</f>
        <v>302.6937347295995</v>
      </c>
      <c r="CZ158" s="59">
        <f t="shared" si="150"/>
        <v>423.44006663873375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5.0958653505472337E-2</v>
      </c>
      <c r="DG158" s="21">
        <f>EXP(-LN(2)/25)*DG157+(1-EXP(-LN(2)/25))/(LN(2)/25)*Calculateur!DB158*Calculateur!DD158*VLOOKUP('Données projet'!$B$13,Paramètres!$A$1:$I$89,3,0)*0.475*44/12</f>
        <v>0.13403836043716513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0.18499701394263746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1.8717948717948829</v>
      </c>
      <c r="DO158" s="12">
        <f>IF('Données projet'!$A$166&gt;35,DO157+DN158-DW157,IF(A158&lt;'Données projet'!$A$166,$DL$205^A158,IF(A158='Données projet'!$A$166,'Données projet'!$B$166,DO157+DN158-DW157)))</f>
        <v>128.68589743589692</v>
      </c>
      <c r="DP158" s="17">
        <f>DO158*VLOOKUP('Données projet'!$B$14,Paramètres!$A$1:$I$89,3,0)*VLOOKUP('Données projet'!$B$14,Paramètres!$A$1:$I$89,5,0)</f>
        <v>124.46499999999952</v>
      </c>
      <c r="DQ158" s="13">
        <f t="shared" si="176"/>
        <v>32.714162693939279</v>
      </c>
      <c r="DR158" s="20">
        <f t="shared" si="177"/>
        <v>273.75370835861008</v>
      </c>
      <c r="DS158" s="59">
        <f t="shared" si="125"/>
        <v>567.08704169194334</v>
      </c>
      <c r="DT158" s="59">
        <f ca="1">AVERAGE(OFFSET($DS$3,0,0,'Données projet'!$E$14+1,1))-AVERAGE(OFFSET($H$3,0,0,'Données projet'!$E$14+1,1))</f>
        <v>366.51581861366333</v>
      </c>
      <c r="DU158" s="59">
        <f t="shared" si="152"/>
        <v>225.01415116995503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108.85908136634751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108.85908136634751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328.00000000000017</v>
      </c>
      <c r="EK158" s="17">
        <f>EJ158*VLOOKUP('Données projet'!$B$15,Paramètres!$A$1:$I$89,3,0)*VLOOKUP('Données projet'!$B$15,Paramètres!$A$1:$I$89,5,0)</f>
        <v>255.84000000000015</v>
      </c>
      <c r="EL158" s="13">
        <f t="shared" si="179"/>
        <v>61.834803371075886</v>
      </c>
      <c r="EM158" s="20">
        <f t="shared" si="180"/>
        <v>553.28361587129086</v>
      </c>
      <c r="EN158" s="59">
        <f t="shared" si="128"/>
        <v>846.61694920462423</v>
      </c>
      <c r="EO158" s="59">
        <f ca="1">AVERAGE(OFFSET($EN$3,0,0,'Données projet'!$E$15+1,1))-AVERAGE(OFFSET($H$3,0,0,'Données projet'!$E$15+1,1))</f>
        <v>288.80569134263209</v>
      </c>
      <c r="EP158" s="59">
        <f t="shared" si="154"/>
        <v>283.48738729114024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3.7016101872556462</v>
      </c>
      <c r="EW158" s="21">
        <f>EXP(-LN(2)/25)*EW157+(1-EXP(-LN(2)/25))/(LN(2)/25)*Calculateur!ER158*Calculateur!ET158*VLOOKUP('Données projet'!$B$15,Paramètres!$A$1:$I$89,3,0)*0.475*44/12</f>
        <v>1.8203011923191332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5.5219113795747798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-1.0197709343628959E-13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323.17232038705157</v>
      </c>
      <c r="FK158" s="59">
        <f t="shared" si="156"/>
        <v>402.34685738619197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22.924369074750743</v>
      </c>
      <c r="FR158" s="21">
        <f>EXP(-LN(2)/25)*FR157+(1-EXP(-LN(2)/25))/(LN(2)/25)*Calculateur!FM158*Calculateur!FO158*VLOOKUP('Données projet'!$B$16,Paramètres!$A$1:$I$89,3,0)*0.475*44/12</f>
        <v>2.8402015606038415</v>
      </c>
      <c r="FS158" s="21">
        <f>EXP(-LN(2)/2)*FS157+(1-EXP(-LN(2)/2))/(LN(2)/2)*FM158*FP158*VLOOKUP('Données projet'!$B$16,Paramètres!$A$1:$I$89,3,0)*0.475*44/12</f>
        <v>5.0753390640067571E-14</v>
      </c>
      <c r="FT158" s="22">
        <f t="shared" si="184"/>
        <v>25.764570635354634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328.00000000000017</v>
      </c>
      <c r="GA158" s="17">
        <f>FZ158*VLOOKUP('Données projet'!$B$17,Paramètres!$A$1:$I$89,3,0)*VLOOKUP('Données projet'!$B$17,Paramètres!$A$1:$I$89,5,0)</f>
        <v>266.07360000000017</v>
      </c>
      <c r="GB158" s="13">
        <f t="shared" si="185"/>
        <v>64.015279012301136</v>
      </c>
      <c r="GC158" s="20">
        <f t="shared" si="186"/>
        <v>574.90479761309132</v>
      </c>
      <c r="GD158" s="59">
        <f t="shared" si="134"/>
        <v>868.23813094642469</v>
      </c>
      <c r="GE158" s="59">
        <f ca="1">AVERAGE(OFFSET($GD$3,0,0,'Données projet'!$E$17+1,1))-AVERAGE(OFFSET($H$3,0,0,'Données projet'!$E$17+1,1))</f>
        <v>298.96480270023716</v>
      </c>
      <c r="GF158" s="59">
        <f t="shared" si="158"/>
        <v>293.11447542333889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4.74494775631468</v>
      </c>
      <c r="GM158" s="21">
        <f>EXP(-LN(2)/25)*GM157+(1-EXP(-LN(2)/25))/(LN(2)/25)*Calculateur!GH158*Calculateur!GJ158*VLOOKUP('Données projet'!$B$17,Paramètres!$A$1:$I$89,3,0)*0.475*44/12</f>
        <v>2.33337213303792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7.0783198893526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-1.4210854715202004E-13</v>
      </c>
      <c r="GV158" s="17">
        <f>GU158*VLOOKUP('Données projet'!$B$18,Paramètres!$A$1:$I$89,3,0)*VLOOKUP('Données projet'!$B$18,Paramètres!$A$1:$I$89,5,0)</f>
        <v>-8.128608897095547E-14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320.76883487964511</v>
      </c>
      <c r="HA158" s="59">
        <f t="shared" si="160"/>
        <v>290.51177680335746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37.491666070057398</v>
      </c>
      <c r="HH158" s="21">
        <f>EXP(-LN(2)/25)*HH157+(1-EXP(-LN(2)/25))/(LN(2)/25)*Calculateur!HC158*Calculateur!HE158*VLOOKUP('Données projet'!$B$18,Paramètres!$A$1:$I$89,3,0)*0.475*44/12</f>
        <v>5.5006416692249918</v>
      </c>
      <c r="HI158" s="21">
        <f>EXP(-LN(2)/2)*HI157+(1-EXP(-LN(2)/2))/(LN(2)/2)*HC158*HF158*VLOOKUP('Données projet'!$B$18,Paramètres!$A$1:$I$89,3,0)*0.475*44/12</f>
        <v>5.2391063665429205E-9</v>
      </c>
      <c r="HJ158" s="22">
        <f t="shared" si="190"/>
        <v>42.992307744521497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5.763922672485933E-13</v>
      </c>
      <c r="AK159" s="13">
        <f t="shared" si="164"/>
        <v>7.0619171555808457E-12</v>
      </c>
      <c r="AL159" s="20">
        <f t="shared" si="165"/>
        <v>1.3303388911427938E-11</v>
      </c>
      <c r="AM159" s="59">
        <f t="shared" si="113"/>
        <v>293.33333333334662</v>
      </c>
      <c r="AN159" s="59">
        <f ca="1">AVERAGE(OFFSET($AM$3,0,0,'Données projet'!$E$10+1,1))-AVERAGE(OFFSET($H$3,0,0,'Données projet'!$E$10+1,1))</f>
        <v>425.47148407510412</v>
      </c>
      <c r="AO159" s="59">
        <f t="shared" si="144"/>
        <v>308.54448799922471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116.79494150744371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116.79494150744371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212.00000000000009</v>
      </c>
      <c r="BE159" s="13">
        <f>BD159*VLOOKUP('Données projet'!$B$11,Paramètres!$A$1:$I$89,3,0)*VLOOKUP('Données projet'!$B$11,Paramètres!$A$1:$I$89,5,0)</f>
        <v>185.20320000000009</v>
      </c>
      <c r="BF159" s="13">
        <f t="shared" si="167"/>
        <v>46.477875402099386</v>
      </c>
      <c r="BG159" s="20">
        <f t="shared" si="168"/>
        <v>403.5112063253232</v>
      </c>
      <c r="BH159" s="59">
        <f t="shared" si="116"/>
        <v>696.84453965865646</v>
      </c>
      <c r="BI159" s="59">
        <f ca="1">AVERAGE(OFFSET($BH$3,0,0,'Données projet'!$E$11+1,1))-AVERAGE(OFFSET($H$3,0,0,'Données projet'!$E$11+1,1))</f>
        <v>300.63505444445104</v>
      </c>
      <c r="BJ159" s="59">
        <f t="shared" si="146"/>
        <v>266.32508105927997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4.9265637929823685</v>
      </c>
      <c r="BQ159" s="21">
        <f>EXP(-LN(2)/25)*BQ158+(1-EXP(-LN(2)/25))/(LN(2)/25)*Calculateur!BL159*Calculateur!BN159*VLOOKUP('Données projet'!$B$11,Paramètres!$A$1:$I$89,3,0)*0.475*44/12</f>
        <v>2.9608829523653486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7.8874467453477166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1.8717948717948829</v>
      </c>
      <c r="BY159" s="12">
        <f>IF('Données projet'!$A$114&gt;35,BY158+BX159-CG158,IF(A159&lt;'Données projet'!$A$114,$BV$205^A159,IF(A159='Données projet'!$A$114,'Données projet'!$B$114,BY158+BX159-CG158)))</f>
        <v>130.55769230769181</v>
      </c>
      <c r="BZ159" s="13">
        <f>BY159*VLOOKUP('Données projet'!$B$12,Paramètres!$A$1:$I$89,3,0)*VLOOKUP('Données projet'!$B$12,Paramètres!$A$1:$I$89,5,0)</f>
        <v>124.23869999999953</v>
      </c>
      <c r="CA159" s="13">
        <f t="shared" si="170"/>
        <v>32.66160033933366</v>
      </c>
      <c r="CB159" s="20">
        <f t="shared" si="171"/>
        <v>273.26802309100526</v>
      </c>
      <c r="CC159" s="59">
        <f t="shared" si="119"/>
        <v>566.60135642433852</v>
      </c>
      <c r="CD159" s="59">
        <f ca="1">AVERAGE(OFFSET($CC$3,0,0,'Données projet'!$E$12+1,1))-AVERAGE(OFFSET($H$3,0,0,'Données projet'!$E$12+1,1))</f>
        <v>361.26385625423757</v>
      </c>
      <c r="CE159" s="59">
        <f t="shared" si="148"/>
        <v>222.05197404028576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105.00305954632979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105.00305954632979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247.00000000000017</v>
      </c>
      <c r="CU159" s="17">
        <f>CT159*VLOOKUP('Données projet'!$B$13,Paramètres!$A$1:$I$89,3,0)*VLOOKUP('Données projet'!$B$13,Paramètres!$A$1:$I$89,5,0)</f>
        <v>223.48560000000012</v>
      </c>
      <c r="CV159" s="13">
        <f t="shared" si="173"/>
        <v>54.87176918107798</v>
      </c>
      <c r="CW159" s="20">
        <f t="shared" si="174"/>
        <v>484.80575132371092</v>
      </c>
      <c r="CX159" s="59">
        <f t="shared" si="122"/>
        <v>778.13908465704424</v>
      </c>
      <c r="CY159" s="59">
        <f ca="1">AVERAGE(OFFSET($CX$3,0,0,'Données projet'!$E$13+1,1))-AVERAGE(OFFSET($H$3,0,0,'Données projet'!$E$13+1,1))</f>
        <v>302.6937347295995</v>
      </c>
      <c r="CZ159" s="59">
        <f t="shared" si="150"/>
        <v>423.44006663873375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4.9959385391939601E-2</v>
      </c>
      <c r="DG159" s="21">
        <f>EXP(-LN(2)/25)*DG158+(1-EXP(-LN(2)/25))/(LN(2)/25)*Calculateur!DB159*Calculateur!DD159*VLOOKUP('Données projet'!$B$13,Paramètres!$A$1:$I$89,3,0)*0.475*44/12</f>
        <v>0.13037307442223983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0.18033245981417945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1.8717948717948829</v>
      </c>
      <c r="DO159" s="12">
        <f>IF('Données projet'!$A$166&gt;35,DO158+DN159-DW158,IF(A159&lt;'Données projet'!$A$166,$DL$205^A159,IF(A159='Données projet'!$A$166,'Données projet'!$B$166,DO158+DN159-DW158)))</f>
        <v>130.55769230769181</v>
      </c>
      <c r="DP159" s="17">
        <f>DO159*VLOOKUP('Données projet'!$B$14,Paramètres!$A$1:$I$89,3,0)*VLOOKUP('Données projet'!$B$14,Paramètres!$A$1:$I$89,5,0)</f>
        <v>126.27539999999952</v>
      </c>
      <c r="DQ159" s="13">
        <f t="shared" si="176"/>
        <v>33.134262987172754</v>
      </c>
      <c r="DR159" s="20">
        <f t="shared" si="177"/>
        <v>277.63849636932508</v>
      </c>
      <c r="DS159" s="59">
        <f t="shared" si="125"/>
        <v>570.9718297026584</v>
      </c>
      <c r="DT159" s="59">
        <f ca="1">AVERAGE(OFFSET($DS$3,0,0,'Données projet'!$E$14+1,1))-AVERAGE(OFFSET($H$3,0,0,'Données projet'!$E$14+1,1))</f>
        <v>366.51581861366333</v>
      </c>
      <c r="DU159" s="59">
        <f t="shared" si="152"/>
        <v>225.01415116995503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106.72442117823687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106.72442117823687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328.00000000000017</v>
      </c>
      <c r="EK159" s="17">
        <f>EJ159*VLOOKUP('Données projet'!$B$15,Paramètres!$A$1:$I$89,3,0)*VLOOKUP('Données projet'!$B$15,Paramètres!$A$1:$I$89,5,0)</f>
        <v>255.84000000000015</v>
      </c>
      <c r="EL159" s="13">
        <f t="shared" si="179"/>
        <v>61.834803371075886</v>
      </c>
      <c r="EM159" s="20">
        <f t="shared" si="180"/>
        <v>553.28361587129086</v>
      </c>
      <c r="EN159" s="59">
        <f t="shared" si="128"/>
        <v>846.61694920462423</v>
      </c>
      <c r="EO159" s="59">
        <f ca="1">AVERAGE(OFFSET($EN$3,0,0,'Données projet'!$E$15+1,1))-AVERAGE(OFFSET($H$3,0,0,'Données projet'!$E$15+1,1))</f>
        <v>288.80569134263209</v>
      </c>
      <c r="EP159" s="59">
        <f t="shared" si="154"/>
        <v>283.48738729114024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3.6290238692428418</v>
      </c>
      <c r="EW159" s="21">
        <f>EXP(-LN(2)/25)*EW158+(1-EXP(-LN(2)/25))/(LN(2)/25)*Calculateur!ER159*Calculateur!ET159*VLOOKUP('Données projet'!$B$15,Paramètres!$A$1:$I$89,3,0)*0.475*44/12</f>
        <v>1.7705249604896871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5.3995488297325291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-1.0197709343628959E-13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323.17232038705157</v>
      </c>
      <c r="FK159" s="59">
        <f t="shared" si="156"/>
        <v>402.34685738619197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22.474836179679361</v>
      </c>
      <c r="FR159" s="21">
        <f>EXP(-LN(2)/25)*FR158+(1-EXP(-LN(2)/25))/(LN(2)/25)*Calculateur!FM159*Calculateur!FO159*VLOOKUP('Données projet'!$B$16,Paramètres!$A$1:$I$89,3,0)*0.475*44/12</f>
        <v>2.7625360995694206</v>
      </c>
      <c r="FS159" s="21">
        <f>EXP(-LN(2)/2)*FS158+(1-EXP(-LN(2)/2))/(LN(2)/2)*FM159*FP159*VLOOKUP('Données projet'!$B$16,Paramètres!$A$1:$I$89,3,0)*0.475*44/12</f>
        <v>3.5888066689801628E-14</v>
      </c>
      <c r="FT159" s="22">
        <f t="shared" si="184"/>
        <v>25.237372279248817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328.00000000000017</v>
      </c>
      <c r="GA159" s="17">
        <f>FZ159*VLOOKUP('Données projet'!$B$17,Paramètres!$A$1:$I$89,3,0)*VLOOKUP('Données projet'!$B$17,Paramètres!$A$1:$I$89,5,0)</f>
        <v>266.07360000000017</v>
      </c>
      <c r="GB159" s="13">
        <f t="shared" si="185"/>
        <v>64.015279012301136</v>
      </c>
      <c r="GC159" s="20">
        <f t="shared" si="186"/>
        <v>574.90479761309132</v>
      </c>
      <c r="GD159" s="59">
        <f t="shared" si="134"/>
        <v>868.23813094642469</v>
      </c>
      <c r="GE159" s="59">
        <f ca="1">AVERAGE(OFFSET($GD$3,0,0,'Données projet'!$E$17+1,1))-AVERAGE(OFFSET($H$3,0,0,'Données projet'!$E$17+1,1))</f>
        <v>298.96480270023716</v>
      </c>
      <c r="GF159" s="59">
        <f t="shared" si="158"/>
        <v>293.11447542333889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4.6519022249457089</v>
      </c>
      <c r="GM159" s="21">
        <f>EXP(-LN(2)/25)*GM158+(1-EXP(-LN(2)/25))/(LN(2)/25)*Calculateur!GH159*Calculateur!GJ159*VLOOKUP('Données projet'!$B$17,Paramètres!$A$1:$I$89,3,0)*0.475*44/12</f>
        <v>2.2695659493532907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6.9214681742989992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-1.4210854715202004E-13</v>
      </c>
      <c r="GV159" s="17">
        <f>GU159*VLOOKUP('Données projet'!$B$18,Paramètres!$A$1:$I$89,3,0)*VLOOKUP('Données projet'!$B$18,Paramètres!$A$1:$I$89,5,0)</f>
        <v>-8.128608897095547E-14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320.76883487964511</v>
      </c>
      <c r="HA159" s="59">
        <f t="shared" si="160"/>
        <v>290.51177680335746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36.756477366081882</v>
      </c>
      <c r="HH159" s="21">
        <f>EXP(-LN(2)/25)*HH158+(1-EXP(-LN(2)/25))/(LN(2)/25)*Calculateur!HC159*Calculateur!HE159*VLOOKUP('Données projet'!$B$18,Paramètres!$A$1:$I$89,3,0)*0.475*44/12</f>
        <v>5.3502263335138611</v>
      </c>
      <c r="HI159" s="21">
        <f>EXP(-LN(2)/2)*HI158+(1-EXP(-LN(2)/2))/(LN(2)/2)*HC159*HF159*VLOOKUP('Données projet'!$B$18,Paramètres!$A$1:$I$89,3,0)*0.475*44/12</f>
        <v>3.704607639140113E-9</v>
      </c>
      <c r="HJ159" s="22">
        <f t="shared" si="190"/>
        <v>42.106703703300347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5.763922672485933E-13</v>
      </c>
      <c r="AK160" s="13">
        <f t="shared" si="164"/>
        <v>7.0619171555808457E-12</v>
      </c>
      <c r="AL160" s="20">
        <f t="shared" si="165"/>
        <v>1.3303388911427938E-11</v>
      </c>
      <c r="AM160" s="59">
        <f t="shared" si="113"/>
        <v>293.33333333334662</v>
      </c>
      <c r="AN160" s="59">
        <f ca="1">AVERAGE(OFFSET($AM$3,0,0,'Données projet'!$E$10+1,1))-AVERAGE(OFFSET($H$3,0,0,'Données projet'!$E$10+1,1))</f>
        <v>425.47148407510412</v>
      </c>
      <c r="AO160" s="59">
        <f t="shared" si="144"/>
        <v>308.54448799922471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114.5046639423629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114.5046639423629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212.00000000000009</v>
      </c>
      <c r="BE160" s="13">
        <f>BD160*VLOOKUP('Données projet'!$B$11,Paramètres!$A$1:$I$89,3,0)*VLOOKUP('Données projet'!$B$11,Paramètres!$A$1:$I$89,5,0)</f>
        <v>185.20320000000009</v>
      </c>
      <c r="BF160" s="13">
        <f t="shared" si="167"/>
        <v>46.477875402099386</v>
      </c>
      <c r="BG160" s="20">
        <f t="shared" si="168"/>
        <v>403.5112063253232</v>
      </c>
      <c r="BH160" s="59">
        <f t="shared" si="116"/>
        <v>696.84453965865646</v>
      </c>
      <c r="BI160" s="59">
        <f ca="1">AVERAGE(OFFSET($BH$3,0,0,'Données projet'!$E$11+1,1))-AVERAGE(OFFSET($H$3,0,0,'Données projet'!$E$11+1,1))</f>
        <v>300.63505444445104</v>
      </c>
      <c r="BJ160" s="59">
        <f t="shared" si="146"/>
        <v>266.32508105927997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4.8299568819091876</v>
      </c>
      <c r="BQ160" s="21">
        <f>EXP(-LN(2)/25)*BQ159+(1-EXP(-LN(2)/25))/(LN(2)/25)*Calculateur!BL160*Calculateur!BN160*VLOOKUP('Données projet'!$B$11,Paramètres!$A$1:$I$89,3,0)*0.475*44/12</f>
        <v>2.8799174523268509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7.709874334236039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132.42948717948718</v>
      </c>
      <c r="BW160" s="12">
        <f>VLOOKUP(A160,'Données projet'!$A$113:$I$133,9,0)</f>
        <v>1.8717948717948829</v>
      </c>
      <c r="BX160" s="12">
        <f t="array" ref="BX160">INDEX(BW:BW,MIN(IF(ISNUMBER(BW160:BW356),ROW(BW160:BW356),"")))</f>
        <v>1.8717948717948829</v>
      </c>
      <c r="BY160" s="12">
        <f>IF('Données projet'!$A$114&gt;35,BY159+BX160-CG159,IF(A160&lt;'Données projet'!$A$114,$BV$205^A160,IF(A160='Données projet'!$A$114,'Données projet'!$B$114,BY159+BX160-CG159)))</f>
        <v>132.4294871794867</v>
      </c>
      <c r="BZ160" s="13">
        <f>BY160*VLOOKUP('Données projet'!$B$12,Paramètres!$A$1:$I$89,3,0)*VLOOKUP('Données projet'!$B$12,Paramètres!$A$1:$I$89,5,0)</f>
        <v>126.01989999999955</v>
      </c>
      <c r="CA160" s="13">
        <f t="shared" si="170"/>
        <v>33.075017353155346</v>
      </c>
      <c r="CB160" s="20">
        <f t="shared" si="171"/>
        <v>277.09031439007811</v>
      </c>
      <c r="CC160" s="59">
        <f t="shared" si="119"/>
        <v>570.42364772341148</v>
      </c>
      <c r="CD160" s="59">
        <f ca="1">AVERAGE(OFFSET($CC$3,0,0,'Données projet'!$E$12+1,1))-AVERAGE(OFFSET($H$3,0,0,'Données projet'!$E$12+1,1))</f>
        <v>361.26385625423757</v>
      </c>
      <c r="CE160" s="59">
        <f t="shared" si="148"/>
        <v>222.05197404028576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45.71153846153846</v>
      </c>
      <c r="CH160" s="16">
        <f>IF(ISNA(VLOOKUP(A160,'Données projet'!$A$113:$I$133,5,0)),0%,VLOOKUP(A160,'Données projet'!$A$113:$I$133,5,0)*VLOOKUP('Données projet'!$B$12,Paramètres!$A$1:$I$89,7,0))</f>
        <v>0.38700000000000001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121.55366966308287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121.55366966308287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247.00000000000017</v>
      </c>
      <c r="CU160" s="17">
        <f>CT160*VLOOKUP('Données projet'!$B$13,Paramètres!$A$1:$I$89,3,0)*VLOOKUP('Données projet'!$B$13,Paramètres!$A$1:$I$89,5,0)</f>
        <v>223.48560000000012</v>
      </c>
      <c r="CV160" s="13">
        <f t="shared" si="173"/>
        <v>54.87176918107798</v>
      </c>
      <c r="CW160" s="20">
        <f t="shared" si="174"/>
        <v>484.80575132371092</v>
      </c>
      <c r="CX160" s="59">
        <f t="shared" si="122"/>
        <v>778.13908465704424</v>
      </c>
      <c r="CY160" s="59">
        <f ca="1">AVERAGE(OFFSET($CX$3,0,0,'Données projet'!$E$13+1,1))-AVERAGE(OFFSET($H$3,0,0,'Données projet'!$E$13+1,1))</f>
        <v>302.6937347295995</v>
      </c>
      <c r="CZ160" s="59">
        <f t="shared" si="150"/>
        <v>423.44006663873375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4.8979712316619871E-2</v>
      </c>
      <c r="DG160" s="21">
        <f>EXP(-LN(2)/25)*DG159+(1-EXP(-LN(2)/25))/(LN(2)/25)*Calculateur!DB160*Calculateur!DD160*VLOOKUP('Données projet'!$B$13,Paramètres!$A$1:$I$89,3,0)*0.475*44/12</f>
        <v>0.12680801584614168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0.17578772816276156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1.8717948717948829</v>
      </c>
      <c r="DN160" s="12">
        <f t="array" ref="DN160">INDEX(DM:DM,MIN(IF(ISNUMBER(DM160:DM356),ROW(DM160:DM356),"")))</f>
        <v>1.8717948717948829</v>
      </c>
      <c r="DO160" s="12">
        <f>IF('Données projet'!$A$166&gt;35,DO159+DN160-DW159,IF(A160&lt;'Données projet'!$A$166,$DL$205^A160,IF(A160='Données projet'!$A$166,'Données projet'!$B$166,DO159+DN160-DW159)))</f>
        <v>132.4294871794867</v>
      </c>
      <c r="DP160" s="17">
        <f>DO160*VLOOKUP('Données projet'!$B$14,Paramètres!$A$1:$I$89,3,0)*VLOOKUP('Données projet'!$B$14,Paramètres!$A$1:$I$89,5,0)</f>
        <v>128.08579999999955</v>
      </c>
      <c r="DQ160" s="13">
        <f t="shared" si="176"/>
        <v>33.553662769088618</v>
      </c>
      <c r="DR160" s="20">
        <f t="shared" si="177"/>
        <v>281.5220643228285</v>
      </c>
      <c r="DS160" s="59">
        <f t="shared" si="125"/>
        <v>574.85539765616181</v>
      </c>
      <c r="DT160" s="59">
        <f ca="1">AVERAGE(OFFSET($DS$3,0,0,'Données projet'!$E$14+1,1))-AVERAGE(OFFSET($H$3,0,0,'Données projet'!$E$14+1,1))</f>
        <v>366.51581861366333</v>
      </c>
      <c r="DU160" s="59">
        <f t="shared" si="152"/>
        <v>225.01415116995503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0.38700000000000001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123.54635277231377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123.54635277231377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328.00000000000017</v>
      </c>
      <c r="EK160" s="17">
        <f>EJ160*VLOOKUP('Données projet'!$B$15,Paramètres!$A$1:$I$89,3,0)*VLOOKUP('Données projet'!$B$15,Paramètres!$A$1:$I$89,5,0)</f>
        <v>255.84000000000015</v>
      </c>
      <c r="EL160" s="13">
        <f t="shared" si="179"/>
        <v>61.834803371075886</v>
      </c>
      <c r="EM160" s="20">
        <f t="shared" si="180"/>
        <v>553.28361587129086</v>
      </c>
      <c r="EN160" s="59">
        <f t="shared" si="128"/>
        <v>846.61694920462423</v>
      </c>
      <c r="EO160" s="59">
        <f ca="1">AVERAGE(OFFSET($EN$3,0,0,'Données projet'!$E$15+1,1))-AVERAGE(OFFSET($H$3,0,0,'Données projet'!$E$15+1,1))</f>
        <v>288.80569134263209</v>
      </c>
      <c r="EP160" s="59">
        <f t="shared" si="154"/>
        <v>283.48738729114024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3.5578609246529864</v>
      </c>
      <c r="EW160" s="21">
        <f>EXP(-LN(2)/25)*EW159+(1-EXP(-LN(2)/25))/(LN(2)/25)*Calculateur!ER160*Calculateur!ET160*VLOOKUP('Données projet'!$B$15,Paramètres!$A$1:$I$89,3,0)*0.475*44/12</f>
        <v>1.7221098623372355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5.2799707869902219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-1.0197709343628959E-13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323.17232038705157</v>
      </c>
      <c r="FK160" s="59">
        <f t="shared" si="156"/>
        <v>402.34685738619197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22.034118350492335</v>
      </c>
      <c r="FR160" s="21">
        <f>EXP(-LN(2)/25)*FR159+(1-EXP(-LN(2)/25))/(LN(2)/25)*Calculateur!FM160*Calculateur!FO160*VLOOKUP('Données projet'!$B$16,Paramètres!$A$1:$I$89,3,0)*0.475*44/12</f>
        <v>2.6869944046512351</v>
      </c>
      <c r="FS160" s="21">
        <f>EXP(-LN(2)/2)*FS159+(1-EXP(-LN(2)/2))/(LN(2)/2)*FM160*FP160*VLOOKUP('Données projet'!$B$16,Paramètres!$A$1:$I$89,3,0)*0.475*44/12</f>
        <v>2.5376695320033785E-14</v>
      </c>
      <c r="FT160" s="22">
        <f t="shared" si="184"/>
        <v>24.721112755143594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328.00000000000017</v>
      </c>
      <c r="GA160" s="17">
        <f>FZ160*VLOOKUP('Données projet'!$B$17,Paramètres!$A$1:$I$89,3,0)*VLOOKUP('Données projet'!$B$17,Paramètres!$A$1:$I$89,5,0)</f>
        <v>266.07360000000017</v>
      </c>
      <c r="GB160" s="13">
        <f t="shared" si="185"/>
        <v>64.015279012301136</v>
      </c>
      <c r="GC160" s="20">
        <f t="shared" si="186"/>
        <v>574.90479761309132</v>
      </c>
      <c r="GD160" s="59">
        <f t="shared" si="134"/>
        <v>868.23813094642469</v>
      </c>
      <c r="GE160" s="59">
        <f ca="1">AVERAGE(OFFSET($GD$3,0,0,'Données projet'!$E$17+1,1))-AVERAGE(OFFSET($H$3,0,0,'Données projet'!$E$17+1,1))</f>
        <v>298.96480270023716</v>
      </c>
      <c r="GF160" s="59">
        <f t="shared" si="158"/>
        <v>293.11447542333889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4.5606812596947126</v>
      </c>
      <c r="GM160" s="21">
        <f>EXP(-LN(2)/25)*GM159+(1-EXP(-LN(2)/25))/(LN(2)/25)*Calculateur!GH160*Calculateur!GJ160*VLOOKUP('Données projet'!$B$17,Paramètres!$A$1:$I$89,3,0)*0.475*44/12</f>
        <v>2.2075045491169387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6.7681858088116513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-1.4210854715202004E-13</v>
      </c>
      <c r="GV160" s="17">
        <f>GU160*VLOOKUP('Données projet'!$B$18,Paramètres!$A$1:$I$89,3,0)*VLOOKUP('Données projet'!$B$18,Paramètres!$A$1:$I$89,5,0)</f>
        <v>-8.128608897095547E-14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320.76883487964511</v>
      </c>
      <c r="HA160" s="59">
        <f t="shared" si="160"/>
        <v>290.51177680335746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36.035705264170495</v>
      </c>
      <c r="HH160" s="21">
        <f>EXP(-LN(2)/25)*HH159+(1-EXP(-LN(2)/25))/(LN(2)/25)*Calculateur!HC160*Calculateur!HE160*VLOOKUP('Données projet'!$B$18,Paramètres!$A$1:$I$89,3,0)*0.475*44/12</f>
        <v>5.2039241130677496</v>
      </c>
      <c r="HI160" s="21">
        <f>EXP(-LN(2)/2)*HI159+(1-EXP(-LN(2)/2))/(LN(2)/2)*HC160*HF160*VLOOKUP('Données projet'!$B$18,Paramètres!$A$1:$I$89,3,0)*0.475*44/12</f>
        <v>2.6195531832714607E-9</v>
      </c>
      <c r="HJ160" s="22">
        <f t="shared" si="190"/>
        <v>41.239629379857796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5.763922672485933E-13</v>
      </c>
      <c r="AK161" s="13">
        <f t="shared" si="164"/>
        <v>7.0619171555808457E-12</v>
      </c>
      <c r="AL161" s="20">
        <f t="shared" si="165"/>
        <v>1.3303388911427938E-11</v>
      </c>
      <c r="AM161" s="59">
        <f t="shared" si="113"/>
        <v>293.33333333334662</v>
      </c>
      <c r="AN161" s="59">
        <f ca="1">AVERAGE(OFFSET($AM$3,0,0,'Données projet'!$E$10+1,1))-AVERAGE(OFFSET($H$3,0,0,'Données projet'!$E$10+1,1))</f>
        <v>425.47148407510412</v>
      </c>
      <c r="AO161" s="59">
        <f t="shared" si="144"/>
        <v>308.54448799922471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112.25929732340194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112.25929732340194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212.00000000000009</v>
      </c>
      <c r="BE161" s="13">
        <f>BD161*VLOOKUP('Données projet'!$B$11,Paramètres!$A$1:$I$89,3,0)*VLOOKUP('Données projet'!$B$11,Paramètres!$A$1:$I$89,5,0)</f>
        <v>185.20320000000009</v>
      </c>
      <c r="BF161" s="13">
        <f t="shared" si="167"/>
        <v>46.477875402099386</v>
      </c>
      <c r="BG161" s="20">
        <f t="shared" si="168"/>
        <v>403.5112063253232</v>
      </c>
      <c r="BH161" s="59">
        <f t="shared" si="116"/>
        <v>696.84453965865646</v>
      </c>
      <c r="BI161" s="59">
        <f ca="1">AVERAGE(OFFSET($BH$3,0,0,'Données projet'!$E$11+1,1))-AVERAGE(OFFSET($H$3,0,0,'Données projet'!$E$11+1,1))</f>
        <v>300.63505444445104</v>
      </c>
      <c r="BJ161" s="59">
        <f t="shared" si="146"/>
        <v>266.32508105927997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4.7352443734377552</v>
      </c>
      <c r="BQ161" s="21">
        <f>EXP(-LN(2)/25)*BQ160+(1-EXP(-LN(2)/25))/(LN(2)/25)*Calculateur!BL161*Calculateur!BN161*VLOOKUP('Données projet'!$B$11,Paramètres!$A$1:$I$89,3,0)*0.475*44/12</f>
        <v>2.8011659581446966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7.5364103315824522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1.1618589743589709</v>
      </c>
      <c r="BY161" s="12">
        <f>IF('Données projet'!$A$114&gt;35,BY160+BX161-CG160,IF(A161&lt;'Données projet'!$A$114,$BV$205^A161,IF(A161='Données projet'!$A$114,'Données projet'!$B$114,BY160+BX161-CG160)))</f>
        <v>87.879807692307224</v>
      </c>
      <c r="BZ161" s="13">
        <f>BY161*VLOOKUP('Données projet'!$B$12,Paramètres!$A$1:$I$89,3,0)*VLOOKUP('Données projet'!$B$12,Paramètres!$A$1:$I$89,5,0)</f>
        <v>83.626424999999557</v>
      </c>
      <c r="CA161" s="13">
        <f t="shared" si="170"/>
        <v>23.021563174145172</v>
      </c>
      <c r="CB161" s="20">
        <f t="shared" si="171"/>
        <v>185.74524606996872</v>
      </c>
      <c r="CC161" s="59">
        <f t="shared" si="119"/>
        <v>479.078579403302</v>
      </c>
      <c r="CD161" s="59">
        <f ca="1">AVERAGE(OFFSET($CC$3,0,0,'Données projet'!$E$12+1,1))-AVERAGE(OFFSET($H$3,0,0,'Données projet'!$E$12+1,1))</f>
        <v>361.26385625423757</v>
      </c>
      <c r="CE161" s="59">
        <f t="shared" si="148"/>
        <v>222.05197404028576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119.17007634140755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119.17007634140755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247.00000000000017</v>
      </c>
      <c r="CU161" s="17">
        <f>CT161*VLOOKUP('Données projet'!$B$13,Paramètres!$A$1:$I$89,3,0)*VLOOKUP('Données projet'!$B$13,Paramètres!$A$1:$I$89,5,0)</f>
        <v>223.48560000000012</v>
      </c>
      <c r="CV161" s="13">
        <f t="shared" si="173"/>
        <v>54.87176918107798</v>
      </c>
      <c r="CW161" s="20">
        <f t="shared" si="174"/>
        <v>484.80575132371092</v>
      </c>
      <c r="CX161" s="59">
        <f t="shared" si="122"/>
        <v>778.13908465704424</v>
      </c>
      <c r="CY161" s="59">
        <f ca="1">AVERAGE(OFFSET($CX$3,0,0,'Données projet'!$E$13+1,1))-AVERAGE(OFFSET($H$3,0,0,'Données projet'!$E$13+1,1))</f>
        <v>302.6937347295995</v>
      </c>
      <c r="CZ161" s="59">
        <f t="shared" si="150"/>
        <v>423.44006663873375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4.8019250032765588E-2</v>
      </c>
      <c r="DG161" s="21">
        <f>EXP(-LN(2)/25)*DG160+(1-EXP(-LN(2)/25))/(LN(2)/25)*Calculateur!DB161*Calculateur!DD161*VLOOKUP('Données projet'!$B$13,Paramètres!$A$1:$I$89,3,0)*0.475*44/12</f>
        <v>0.1233404439842852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0.17135969401705078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87.879807692307224</v>
      </c>
      <c r="DP161" s="17">
        <f>DO161*VLOOKUP('Données projet'!$B$14,Paramètres!$A$1:$I$89,3,0)*VLOOKUP('Données projet'!$B$14,Paramètres!$A$1:$I$89,5,0)</f>
        <v>84.997349999999543</v>
      </c>
      <c r="DQ161" s="13">
        <f t="shared" si="176"/>
        <v>23.354719936037892</v>
      </c>
      <c r="DR161" s="20">
        <f t="shared" si="177"/>
        <v>188.71318847193186</v>
      </c>
      <c r="DS161" s="59">
        <f t="shared" si="125"/>
        <v>482.04652180526517</v>
      </c>
      <c r="DT161" s="59">
        <f ca="1">AVERAGE(OFFSET($DS$3,0,0,'Données projet'!$E$14+1,1))-AVERAGE(OFFSET($H$3,0,0,'Données projet'!$E$14+1,1))</f>
        <v>366.51581861366333</v>
      </c>
      <c r="DU161" s="59">
        <f t="shared" si="152"/>
        <v>225.01415116995503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121.12368415028311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121.12368415028311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328.00000000000017</v>
      </c>
      <c r="EK161" s="17">
        <f>EJ161*VLOOKUP('Données projet'!$B$15,Paramètres!$A$1:$I$89,3,0)*VLOOKUP('Données projet'!$B$15,Paramètres!$A$1:$I$89,5,0)</f>
        <v>255.84000000000015</v>
      </c>
      <c r="EL161" s="13">
        <f t="shared" si="179"/>
        <v>61.834803371075886</v>
      </c>
      <c r="EM161" s="20">
        <f t="shared" si="180"/>
        <v>553.28361587129086</v>
      </c>
      <c r="EN161" s="59">
        <f t="shared" si="128"/>
        <v>846.61694920462423</v>
      </c>
      <c r="EO161" s="59">
        <f ca="1">AVERAGE(OFFSET($EN$3,0,0,'Données projet'!$E$15+1,1))-AVERAGE(OFFSET($H$3,0,0,'Données projet'!$E$15+1,1))</f>
        <v>288.80569134263209</v>
      </c>
      <c r="EP161" s="59">
        <f t="shared" si="154"/>
        <v>283.48738729114024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3.4880934420014276</v>
      </c>
      <c r="EW161" s="21">
        <f>EXP(-LN(2)/25)*EW160+(1-EXP(-LN(2)/25))/(LN(2)/25)*Calculateur!ER161*Calculateur!ET161*VLOOKUP('Données projet'!$B$15,Paramètres!$A$1:$I$89,3,0)*0.475*44/12</f>
        <v>1.6750186775898022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5.1631121195912293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-1.0197709343628959E-13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323.17232038705157</v>
      </c>
      <c r="FK161" s="59">
        <f t="shared" si="156"/>
        <v>402.34685738619197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21.602042729124335</v>
      </c>
      <c r="FR161" s="21">
        <f>EXP(-LN(2)/25)*FR160+(1-EXP(-LN(2)/25))/(LN(2)/25)*Calculateur!FM161*Calculateur!FO161*VLOOKUP('Données projet'!$B$16,Paramètres!$A$1:$I$89,3,0)*0.475*44/12</f>
        <v>2.6135184013531525</v>
      </c>
      <c r="FS161" s="21">
        <f>EXP(-LN(2)/2)*FS160+(1-EXP(-LN(2)/2))/(LN(2)/2)*FM161*FP161*VLOOKUP('Données projet'!$B$16,Paramètres!$A$1:$I$89,3,0)*0.475*44/12</f>
        <v>1.7944033344900814E-14</v>
      </c>
      <c r="FT161" s="22">
        <f t="shared" si="184"/>
        <v>24.215561130477507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328.00000000000017</v>
      </c>
      <c r="GA161" s="17">
        <f>FZ161*VLOOKUP('Données projet'!$B$17,Paramètres!$A$1:$I$89,3,0)*VLOOKUP('Données projet'!$B$17,Paramètres!$A$1:$I$89,5,0)</f>
        <v>266.07360000000017</v>
      </c>
      <c r="GB161" s="13">
        <f t="shared" si="185"/>
        <v>64.015279012301136</v>
      </c>
      <c r="GC161" s="20">
        <f t="shared" si="186"/>
        <v>574.90479761309132</v>
      </c>
      <c r="GD161" s="59">
        <f t="shared" si="134"/>
        <v>868.23813094642469</v>
      </c>
      <c r="GE161" s="59">
        <f ca="1">AVERAGE(OFFSET($GD$3,0,0,'Données projet'!$E$17+1,1))-AVERAGE(OFFSET($H$3,0,0,'Données projet'!$E$17+1,1))</f>
        <v>298.96480270023716</v>
      </c>
      <c r="GF161" s="59">
        <f t="shared" si="158"/>
        <v>293.11447542333889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4.471249081932994</v>
      </c>
      <c r="GM161" s="21">
        <f>EXP(-LN(2)/25)*GM160+(1-EXP(-LN(2)/25))/(LN(2)/25)*Calculateur!GH161*Calculateur!GJ161*VLOOKUP('Données projet'!$B$17,Paramètres!$A$1:$I$89,3,0)*0.475*44/12</f>
        <v>2.1471402211337169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6.6183893030667109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-1.4210854715202004E-13</v>
      </c>
      <c r="GV161" s="17">
        <f>GU161*VLOOKUP('Données projet'!$B$18,Paramètres!$A$1:$I$89,3,0)*VLOOKUP('Données projet'!$B$18,Paramètres!$A$1:$I$89,5,0)</f>
        <v>-8.128608897095547E-14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320.76883487964511</v>
      </c>
      <c r="HA161" s="59">
        <f t="shared" si="160"/>
        <v>290.51177680335746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35.329067063550013</v>
      </c>
      <c r="HH161" s="21">
        <f>EXP(-LN(2)/25)*HH160+(1-EXP(-LN(2)/25))/(LN(2)/25)*Calculateur!HC161*Calculateur!HE161*VLOOKUP('Données projet'!$B$18,Paramètres!$A$1:$I$89,3,0)*0.475*44/12</f>
        <v>5.0616225345334369</v>
      </c>
      <c r="HI161" s="21">
        <f>EXP(-LN(2)/2)*HI160+(1-EXP(-LN(2)/2))/(LN(2)/2)*HC161*HF161*VLOOKUP('Données projet'!$B$18,Paramètres!$A$1:$I$89,3,0)*0.475*44/12</f>
        <v>1.8523038195700569E-9</v>
      </c>
      <c r="HJ161" s="22">
        <f t="shared" si="190"/>
        <v>40.390689599935754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5.763922672485933E-13</v>
      </c>
      <c r="AK162" s="13">
        <f t="shared" si="164"/>
        <v>7.0619171555808457E-12</v>
      </c>
      <c r="AL162" s="20">
        <f t="shared" si="165"/>
        <v>1.3303388911427938E-11</v>
      </c>
      <c r="AM162" s="59">
        <f t="shared" si="113"/>
        <v>293.33333333334662</v>
      </c>
      <c r="AN162" s="59">
        <f ca="1">AVERAGE(OFFSET($AM$3,0,0,'Données projet'!$E$10+1,1))-AVERAGE(OFFSET($H$3,0,0,'Données projet'!$E$10+1,1))</f>
        <v>425.47148407510412</v>
      </c>
      <c r="AO162" s="59">
        <f t="shared" si="144"/>
        <v>308.54448799922471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110.0579609743004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110.0579609743004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212.00000000000009</v>
      </c>
      <c r="BE162" s="13">
        <f>BD162*VLOOKUP('Données projet'!$B$11,Paramètres!$A$1:$I$89,3,0)*VLOOKUP('Données projet'!$B$11,Paramètres!$A$1:$I$89,5,0)</f>
        <v>185.20320000000009</v>
      </c>
      <c r="BF162" s="13">
        <f t="shared" si="167"/>
        <v>46.477875402099386</v>
      </c>
      <c r="BG162" s="20">
        <f t="shared" si="168"/>
        <v>403.5112063253232</v>
      </c>
      <c r="BH162" s="59">
        <f t="shared" si="116"/>
        <v>696.84453965865646</v>
      </c>
      <c r="BI162" s="59">
        <f ca="1">AVERAGE(OFFSET($BH$3,0,0,'Données projet'!$E$11+1,1))-AVERAGE(OFFSET($H$3,0,0,'Données projet'!$E$11+1,1))</f>
        <v>300.63505444445104</v>
      </c>
      <c r="BJ162" s="59">
        <f t="shared" si="146"/>
        <v>266.32508105927997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4.642389119488521</v>
      </c>
      <c r="BQ162" s="21">
        <f>EXP(-LN(2)/25)*BQ161+(1-EXP(-LN(2)/25))/(LN(2)/25)*Calculateur!BL162*Calculateur!BN162*VLOOKUP('Données projet'!$B$11,Paramètres!$A$1:$I$89,3,0)*0.475*44/12</f>
        <v>2.7245679277123145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7.3669570472008354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1.1618589743589709</v>
      </c>
      <c r="BY162" s="12">
        <f>IF('Données projet'!$A$114&gt;35,BY161+BX162-CG161,IF(A162&lt;'Données projet'!$A$114,$BV$205^A162,IF(A162='Données projet'!$A$114,'Données projet'!$B$114,BY161+BX162-CG161)))</f>
        <v>89.041666666666202</v>
      </c>
      <c r="BZ162" s="13">
        <f>BY162*VLOOKUP('Données projet'!$B$12,Paramètres!$A$1:$I$89,3,0)*VLOOKUP('Données projet'!$B$12,Paramètres!$A$1:$I$89,5,0)</f>
        <v>84.73204999999956</v>
      </c>
      <c r="CA162" s="13">
        <f t="shared" si="170"/>
        <v>23.290296896276573</v>
      </c>
      <c r="CB162" s="20">
        <f t="shared" si="171"/>
        <v>188.13892084434758</v>
      </c>
      <c r="CC162" s="59">
        <f t="shared" si="119"/>
        <v>481.4722541776809</v>
      </c>
      <c r="CD162" s="59">
        <f ca="1">AVERAGE(OFFSET($CC$3,0,0,'Données projet'!$E$12+1,1))-AVERAGE(OFFSET($H$3,0,0,'Données projet'!$E$12+1,1))</f>
        <v>361.26385625423757</v>
      </c>
      <c r="CE162" s="59">
        <f t="shared" si="148"/>
        <v>222.05197404028576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116.83322383092191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116.83322383092191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247.00000000000017</v>
      </c>
      <c r="CU162" s="17">
        <f>CT162*VLOOKUP('Données projet'!$B$13,Paramètres!$A$1:$I$89,3,0)*VLOOKUP('Données projet'!$B$13,Paramètres!$A$1:$I$89,5,0)</f>
        <v>223.48560000000012</v>
      </c>
      <c r="CV162" s="13">
        <f t="shared" si="173"/>
        <v>54.87176918107798</v>
      </c>
      <c r="CW162" s="20">
        <f t="shared" si="174"/>
        <v>484.80575132371092</v>
      </c>
      <c r="CX162" s="59">
        <f t="shared" si="122"/>
        <v>778.13908465704424</v>
      </c>
      <c r="CY162" s="59">
        <f ca="1">AVERAGE(OFFSET($CX$3,0,0,'Données projet'!$E$13+1,1))-AVERAGE(OFFSET($H$3,0,0,'Données projet'!$E$13+1,1))</f>
        <v>302.6937347295995</v>
      </c>
      <c r="CZ162" s="59">
        <f t="shared" si="150"/>
        <v>423.44006663873375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4.707762182847354E-2</v>
      </c>
      <c r="DG162" s="21">
        <f>EXP(-LN(2)/25)*DG161+(1-EXP(-LN(2)/25))/(LN(2)/25)*Calculateur!DB162*Calculateur!DD162*VLOOKUP('Données projet'!$B$13,Paramètres!$A$1:$I$89,3,0)*0.475*44/12</f>
        <v>0.11996769305734287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0.16704531488581642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89.041666666666202</v>
      </c>
      <c r="DP162" s="17">
        <f>DO162*VLOOKUP('Données projet'!$B$14,Paramètres!$A$1:$I$89,3,0)*VLOOKUP('Données projet'!$B$14,Paramètres!$A$1:$I$89,5,0)</f>
        <v>86.121099999999558</v>
      </c>
      <c r="DQ162" s="13">
        <f t="shared" si="176"/>
        <v>23.627342640685377</v>
      </c>
      <c r="DR162" s="20">
        <f t="shared" si="177"/>
        <v>191.14520426585958</v>
      </c>
      <c r="DS162" s="59">
        <f t="shared" si="125"/>
        <v>484.47853759919292</v>
      </c>
      <c r="DT162" s="59">
        <f ca="1">AVERAGE(OFFSET($DS$3,0,0,'Données projet'!$E$14+1,1))-AVERAGE(OFFSET($H$3,0,0,'Données projet'!$E$14+1,1))</f>
        <v>366.51581861366333</v>
      </c>
      <c r="DU162" s="59">
        <f t="shared" si="152"/>
        <v>225.01415116995503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118.74852258224853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118.74852258224853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328.00000000000017</v>
      </c>
      <c r="EK162" s="17">
        <f>EJ162*VLOOKUP('Données projet'!$B$15,Paramètres!$A$1:$I$89,3,0)*VLOOKUP('Données projet'!$B$15,Paramètres!$A$1:$I$89,5,0)</f>
        <v>255.84000000000015</v>
      </c>
      <c r="EL162" s="13">
        <f t="shared" si="179"/>
        <v>61.834803371075886</v>
      </c>
      <c r="EM162" s="20">
        <f t="shared" si="180"/>
        <v>553.28361587129086</v>
      </c>
      <c r="EN162" s="59">
        <f t="shared" si="128"/>
        <v>846.61694920462423</v>
      </c>
      <c r="EO162" s="59">
        <f ca="1">AVERAGE(OFFSET($EN$3,0,0,'Données projet'!$E$15+1,1))-AVERAGE(OFFSET($H$3,0,0,'Données projet'!$E$15+1,1))</f>
        <v>288.80569134263209</v>
      </c>
      <c r="EP162" s="59">
        <f t="shared" si="154"/>
        <v>283.48738729114024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3.4196940571307035</v>
      </c>
      <c r="EW162" s="21">
        <f>EXP(-LN(2)/25)*EW161+(1-EXP(-LN(2)/25))/(LN(2)/25)*Calculateur!ER162*Calculateur!ET162*VLOOKUP('Données projet'!$B$15,Paramètres!$A$1:$I$89,3,0)*0.475*44/12</f>
        <v>1.6292152037657051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5.0489092608964086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-1.0197709343628959E-13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323.17232038705157</v>
      </c>
      <c r="FK162" s="59">
        <f t="shared" si="156"/>
        <v>402.34685738619197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21.178439847151257</v>
      </c>
      <c r="FR162" s="21">
        <f>EXP(-LN(2)/25)*FR161+(1-EXP(-LN(2)/25))/(LN(2)/25)*Calculateur!FM162*Calculateur!FO162*VLOOKUP('Données projet'!$B$16,Paramètres!$A$1:$I$89,3,0)*0.475*44/12</f>
        <v>2.5420516032291909</v>
      </c>
      <c r="FS162" s="21">
        <f>EXP(-LN(2)/2)*FS161+(1-EXP(-LN(2)/2))/(LN(2)/2)*FM162*FP162*VLOOKUP('Données projet'!$B$16,Paramètres!$A$1:$I$89,3,0)*0.475*44/12</f>
        <v>1.2688347660016893E-14</v>
      </c>
      <c r="FT162" s="22">
        <f t="shared" si="184"/>
        <v>23.720491450380461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328.00000000000017</v>
      </c>
      <c r="GA162" s="17">
        <f>FZ162*VLOOKUP('Données projet'!$B$17,Paramètres!$A$1:$I$89,3,0)*VLOOKUP('Données projet'!$B$17,Paramètres!$A$1:$I$89,5,0)</f>
        <v>266.07360000000017</v>
      </c>
      <c r="GB162" s="13">
        <f t="shared" si="185"/>
        <v>64.015279012301136</v>
      </c>
      <c r="GC162" s="20">
        <f t="shared" si="186"/>
        <v>574.90479761309132</v>
      </c>
      <c r="GD162" s="59">
        <f t="shared" si="134"/>
        <v>868.23813094642469</v>
      </c>
      <c r="GE162" s="59">
        <f ca="1">AVERAGE(OFFSET($GD$3,0,0,'Données projet'!$E$17+1,1))-AVERAGE(OFFSET($H$3,0,0,'Données projet'!$E$17+1,1))</f>
        <v>298.96480270023716</v>
      </c>
      <c r="GF162" s="59">
        <f t="shared" si="158"/>
        <v>293.11447542333889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4.3835706146289404</v>
      </c>
      <c r="GM162" s="21">
        <f>EXP(-LN(2)/25)*GM161+(1-EXP(-LN(2)/25))/(LN(2)/25)*Calculateur!GH162*Calculateur!GJ162*VLOOKUP('Données projet'!$B$17,Paramètres!$A$1:$I$89,3,0)*0.475*44/12</f>
        <v>2.0884265588736186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6.471997173502559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-1.4210854715202004E-13</v>
      </c>
      <c r="GV162" s="17">
        <f>GU162*VLOOKUP('Données projet'!$B$18,Paramètres!$A$1:$I$89,3,0)*VLOOKUP('Données projet'!$B$18,Paramètres!$A$1:$I$89,5,0)</f>
        <v>-8.128608897095547E-14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320.76883487964511</v>
      </c>
      <c r="HA162" s="59">
        <f t="shared" si="160"/>
        <v>290.51177680335746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34.63628560703696</v>
      </c>
      <c r="HH162" s="21">
        <f>EXP(-LN(2)/25)*HH161+(1-EXP(-LN(2)/25))/(LN(2)/25)*Calculateur!HC162*Calculateur!HE162*VLOOKUP('Données projet'!$B$18,Paramètres!$A$1:$I$89,3,0)*0.475*44/12</f>
        <v>4.9232122001474599</v>
      </c>
      <c r="HI162" s="21">
        <f>EXP(-LN(2)/2)*HI161+(1-EXP(-LN(2)/2))/(LN(2)/2)*HC162*HF162*VLOOKUP('Données projet'!$B$18,Paramètres!$A$1:$I$89,3,0)*0.475*44/12</f>
        <v>1.3097765916357305E-9</v>
      </c>
      <c r="HJ162" s="22">
        <f t="shared" si="190"/>
        <v>39.5594978084942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5.763922672485933E-13</v>
      </c>
      <c r="AK163" s="13">
        <f t="shared" si="164"/>
        <v>7.0619171555808457E-12</v>
      </c>
      <c r="AL163" s="20">
        <f t="shared" si="165"/>
        <v>1.3303388911427938E-11</v>
      </c>
      <c r="AM163" s="59">
        <f t="shared" si="113"/>
        <v>293.33333333334662</v>
      </c>
      <c r="AN163" s="59">
        <f ca="1">AVERAGE(OFFSET($AM$3,0,0,'Données projet'!$E$10+1,1))-AVERAGE(OFFSET($H$3,0,0,'Données projet'!$E$10+1,1))</f>
        <v>425.47148407510412</v>
      </c>
      <c r="AO163" s="59">
        <f t="shared" si="144"/>
        <v>308.54448799922471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107.89979148832215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107.89979148832215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212.00000000000009</v>
      </c>
      <c r="BE163" s="13">
        <f>BD163*VLOOKUP('Données projet'!$B$11,Paramètres!$A$1:$I$89,3,0)*VLOOKUP('Données projet'!$B$11,Paramètres!$A$1:$I$89,5,0)</f>
        <v>185.20320000000009</v>
      </c>
      <c r="BF163" s="13">
        <f t="shared" si="167"/>
        <v>46.477875402099386</v>
      </c>
      <c r="BG163" s="20">
        <f t="shared" si="168"/>
        <v>403.5112063253232</v>
      </c>
      <c r="BH163" s="59">
        <f t="shared" si="116"/>
        <v>696.84453965865646</v>
      </c>
      <c r="BI163" s="59">
        <f ca="1">AVERAGE(OFFSET($BH$3,0,0,'Données projet'!$E$11+1,1))-AVERAGE(OFFSET($H$3,0,0,'Données projet'!$E$11+1,1))</f>
        <v>300.63505444445104</v>
      </c>
      <c r="BJ163" s="59">
        <f t="shared" si="146"/>
        <v>266.32508105927997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4.5513547004331185</v>
      </c>
      <c r="BQ163" s="21">
        <f>EXP(-LN(2)/25)*BQ162+(1-EXP(-LN(2)/25))/(LN(2)/25)*Calculateur!BL163*Calculateur!BN163*VLOOKUP('Données projet'!$B$11,Paramètres!$A$1:$I$89,3,0)*0.475*44/12</f>
        <v>2.6500644744502209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7.2014191748833394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1.1618589743589709</v>
      </c>
      <c r="BY163" s="12">
        <f>IF('Données projet'!$A$114&gt;35,BY162+BX163-CG162,IF(A163&lt;'Données projet'!$A$114,$BV$205^A163,IF(A163='Données projet'!$A$114,'Données projet'!$B$114,BY162+BX163-CG162)))</f>
        <v>90.20352564102518</v>
      </c>
      <c r="BZ163" s="13">
        <f>BY163*VLOOKUP('Données projet'!$B$12,Paramètres!$A$1:$I$89,3,0)*VLOOKUP('Données projet'!$B$12,Paramètres!$A$1:$I$89,5,0)</f>
        <v>85.837674999999564</v>
      </c>
      <c r="CA163" s="13">
        <f t="shared" si="170"/>
        <v>23.558622751429791</v>
      </c>
      <c r="CB163" s="20">
        <f t="shared" si="171"/>
        <v>190.53188525040613</v>
      </c>
      <c r="CC163" s="59">
        <f t="shared" si="119"/>
        <v>483.86521858373942</v>
      </c>
      <c r="CD163" s="59">
        <f ca="1">AVERAGE(OFFSET($CC$3,0,0,'Données projet'!$E$12+1,1))-AVERAGE(OFFSET($H$3,0,0,'Données projet'!$E$12+1,1))</f>
        <v>361.26385625423757</v>
      </c>
      <c r="CE163" s="59">
        <f t="shared" si="148"/>
        <v>222.05197404028576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114.54219557282761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114.54219557282761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247.00000000000017</v>
      </c>
      <c r="CU163" s="17">
        <f>CT163*VLOOKUP('Données projet'!$B$13,Paramètres!$A$1:$I$89,3,0)*VLOOKUP('Données projet'!$B$13,Paramètres!$A$1:$I$89,5,0)</f>
        <v>223.48560000000012</v>
      </c>
      <c r="CV163" s="13">
        <f t="shared" si="173"/>
        <v>54.87176918107798</v>
      </c>
      <c r="CW163" s="20">
        <f t="shared" si="174"/>
        <v>484.80575132371092</v>
      </c>
      <c r="CX163" s="59">
        <f t="shared" si="122"/>
        <v>778.13908465704424</v>
      </c>
      <c r="CY163" s="59">
        <f ca="1">AVERAGE(OFFSET($CX$3,0,0,'Données projet'!$E$13+1,1))-AVERAGE(OFFSET($H$3,0,0,'Données projet'!$E$13+1,1))</f>
        <v>302.6937347295995</v>
      </c>
      <c r="CZ163" s="59">
        <f t="shared" si="150"/>
        <v>423.44006663873375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4.6154458378931167E-2</v>
      </c>
      <c r="DG163" s="21">
        <f>EXP(-LN(2)/25)*DG162+(1-EXP(-LN(2)/25))/(LN(2)/25)*Calculateur!DB163*Calculateur!DD163*VLOOKUP('Données projet'!$B$13,Paramètres!$A$1:$I$89,3,0)*0.475*44/12</f>
        <v>0.11668717018186303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0.1628416285607942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90.20352564102518</v>
      </c>
      <c r="DP163" s="17">
        <f>DO163*VLOOKUP('Données projet'!$B$14,Paramètres!$A$1:$I$89,3,0)*VLOOKUP('Données projet'!$B$14,Paramètres!$A$1:$I$89,5,0)</f>
        <v>87.244849999999559</v>
      </c>
      <c r="DQ163" s="13">
        <f t="shared" si="176"/>
        <v>23.899551575903931</v>
      </c>
      <c r="DR163" s="20">
        <f t="shared" si="177"/>
        <v>193.57649941136523</v>
      </c>
      <c r="DS163" s="59">
        <f t="shared" si="125"/>
        <v>486.90983274469852</v>
      </c>
      <c r="DT163" s="59">
        <f ca="1">AVERAGE(OFFSET($DS$3,0,0,'Données projet'!$E$14+1,1))-AVERAGE(OFFSET($H$3,0,0,'Données projet'!$E$14+1,1))</f>
        <v>366.51581861366333</v>
      </c>
      <c r="DU163" s="59">
        <f t="shared" si="152"/>
        <v>225.01415116995503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116.4199364838576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116.4199364838576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328.00000000000017</v>
      </c>
      <c r="EK163" s="17">
        <f>EJ163*VLOOKUP('Données projet'!$B$15,Paramètres!$A$1:$I$89,3,0)*VLOOKUP('Données projet'!$B$15,Paramètres!$A$1:$I$89,5,0)</f>
        <v>255.84000000000015</v>
      </c>
      <c r="EL163" s="13">
        <f t="shared" si="179"/>
        <v>61.834803371075886</v>
      </c>
      <c r="EM163" s="20">
        <f t="shared" si="180"/>
        <v>553.28361587129086</v>
      </c>
      <c r="EN163" s="59">
        <f t="shared" si="128"/>
        <v>846.61694920462423</v>
      </c>
      <c r="EO163" s="59">
        <f ca="1">AVERAGE(OFFSET($EN$3,0,0,'Données projet'!$E$15+1,1))-AVERAGE(OFFSET($H$3,0,0,'Données projet'!$E$15+1,1))</f>
        <v>288.80569134263209</v>
      </c>
      <c r="EP163" s="59">
        <f t="shared" si="154"/>
        <v>283.48738729114024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3.352635942477789</v>
      </c>
      <c r="EW163" s="21">
        <f>EXP(-LN(2)/25)*EW162+(1-EXP(-LN(2)/25))/(LN(2)/25)*Calculateur!ER163*Calculateur!ET163*VLOOKUP('Données projet'!$B$15,Paramètres!$A$1:$I$89,3,0)*0.475*44/12</f>
        <v>1.5846642283420278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4.9373001708198165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-1.0197709343628959E-13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323.17232038705157</v>
      </c>
      <c r="FK163" s="59">
        <f t="shared" si="156"/>
        <v>402.34685738619197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20.763143559321424</v>
      </c>
      <c r="FR163" s="21">
        <f>EXP(-LN(2)/25)*FR162+(1-EXP(-LN(2)/25))/(LN(2)/25)*Calculateur!FM163*Calculateur!FO163*VLOOKUP('Données projet'!$B$16,Paramètres!$A$1:$I$89,3,0)*0.475*44/12</f>
        <v>2.4725390684582047</v>
      </c>
      <c r="FS163" s="21">
        <f>EXP(-LN(2)/2)*FS162+(1-EXP(-LN(2)/2))/(LN(2)/2)*FM163*FP163*VLOOKUP('Données projet'!$B$16,Paramètres!$A$1:$I$89,3,0)*0.475*44/12</f>
        <v>8.9720166724504071E-15</v>
      </c>
      <c r="FT163" s="22">
        <f t="shared" si="184"/>
        <v>23.235682627779639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328.00000000000017</v>
      </c>
      <c r="GA163" s="17">
        <f>FZ163*VLOOKUP('Données projet'!$B$17,Paramètres!$A$1:$I$89,3,0)*VLOOKUP('Données projet'!$B$17,Paramètres!$A$1:$I$89,5,0)</f>
        <v>266.07360000000017</v>
      </c>
      <c r="GB163" s="13">
        <f t="shared" si="185"/>
        <v>64.015279012301136</v>
      </c>
      <c r="GC163" s="20">
        <f t="shared" si="186"/>
        <v>574.90479761309132</v>
      </c>
      <c r="GD163" s="59">
        <f t="shared" si="134"/>
        <v>868.23813094642469</v>
      </c>
      <c r="GE163" s="59">
        <f ca="1">AVERAGE(OFFSET($GD$3,0,0,'Données projet'!$E$17+1,1))-AVERAGE(OFFSET($H$3,0,0,'Données projet'!$E$17+1,1))</f>
        <v>298.96480270023716</v>
      </c>
      <c r="GF163" s="59">
        <f t="shared" si="158"/>
        <v>293.11447542333889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4.2976114685901345</v>
      </c>
      <c r="GM163" s="21">
        <f>EXP(-LN(2)/25)*GM162+(1-EXP(-LN(2)/25))/(LN(2)/25)*Calculateur!GH163*Calculateur!GJ163*VLOOKUP('Données projet'!$B$17,Paramètres!$A$1:$I$89,3,0)*0.475*44/12</f>
        <v>2.0313184247956397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6.3289298933857747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-1.4210854715202004E-13</v>
      </c>
      <c r="GV163" s="17">
        <f>GU163*VLOOKUP('Données projet'!$B$18,Paramètres!$A$1:$I$89,3,0)*VLOOKUP('Données projet'!$B$18,Paramètres!$A$1:$I$89,5,0)</f>
        <v>-8.128608897095547E-14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320.76883487964511</v>
      </c>
      <c r="HA163" s="59">
        <f t="shared" si="160"/>
        <v>290.51177680335746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33.957089172331159</v>
      </c>
      <c r="HH163" s="21">
        <f>EXP(-LN(2)/25)*HH162+(1-EXP(-LN(2)/25))/(LN(2)/25)*Calculateur!HC163*Calculateur!HE163*VLOOKUP('Données projet'!$B$18,Paramètres!$A$1:$I$89,3,0)*0.475*44/12</f>
        <v>4.7885867036339498</v>
      </c>
      <c r="HI163" s="21">
        <f>EXP(-LN(2)/2)*HI162+(1-EXP(-LN(2)/2))/(LN(2)/2)*HC163*HF163*VLOOKUP('Données projet'!$B$18,Paramètres!$A$1:$I$89,3,0)*0.475*44/12</f>
        <v>9.2615190978502856E-10</v>
      </c>
      <c r="HJ163" s="22">
        <f t="shared" si="190"/>
        <v>38.745675876891255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5.763922672485933E-13</v>
      </c>
      <c r="AK164" s="13">
        <f t="shared" si="164"/>
        <v>7.0619171555808457E-12</v>
      </c>
      <c r="AL164" s="20">
        <f t="shared" si="165"/>
        <v>1.3303388911427938E-11</v>
      </c>
      <c r="AM164" s="59">
        <f t="shared" si="113"/>
        <v>293.33333333334662</v>
      </c>
      <c r="AN164" s="59">
        <f ca="1">AVERAGE(OFFSET($AM$3,0,0,'Données projet'!$E$10+1,1))-AVERAGE(OFFSET($H$3,0,0,'Données projet'!$E$10+1,1))</f>
        <v>425.47148407510412</v>
      </c>
      <c r="AO164" s="59">
        <f t="shared" si="144"/>
        <v>308.54448799922471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105.78394238961053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105.78394238961053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212.00000000000009</v>
      </c>
      <c r="BE164" s="13">
        <f>BD164*VLOOKUP('Données projet'!$B$11,Paramètres!$A$1:$I$89,3,0)*VLOOKUP('Données projet'!$B$11,Paramètres!$A$1:$I$89,5,0)</f>
        <v>185.20320000000009</v>
      </c>
      <c r="BF164" s="13">
        <f t="shared" si="167"/>
        <v>46.477875402099386</v>
      </c>
      <c r="BG164" s="20">
        <f t="shared" si="168"/>
        <v>403.5112063253232</v>
      </c>
      <c r="BH164" s="59">
        <f t="shared" si="116"/>
        <v>696.84453965865646</v>
      </c>
      <c r="BI164" s="59">
        <f ca="1">AVERAGE(OFFSET($BH$3,0,0,'Données projet'!$E$11+1,1))-AVERAGE(OFFSET($H$3,0,0,'Données projet'!$E$11+1,1))</f>
        <v>300.63505444445104</v>
      </c>
      <c r="BJ164" s="59">
        <f t="shared" si="146"/>
        <v>266.32508105927997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4.4621054108098797</v>
      </c>
      <c r="BQ164" s="21">
        <f>EXP(-LN(2)/25)*BQ163+(1-EXP(-LN(2)/25))/(LN(2)/25)*Calculateur!BL164*Calculateur!BN164*VLOOKUP('Données projet'!$B$11,Paramètres!$A$1:$I$89,3,0)*0.475*44/12</f>
        <v>2.5775983220355458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7.0397037328454255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91.365384615384613</v>
      </c>
      <c r="BW164" s="12">
        <f>VLOOKUP(A164,'Données projet'!$A$113:$I$133,9,0)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projet'!$A$114&gt;35,BY163+BX164-CG163,IF(A164&lt;'Données projet'!$A$114,$BV$205^A164,IF(A164='Données projet'!$A$114,'Données projet'!$B$114,BY163+BX164-CG163)))</f>
        <v>91.365384615384158</v>
      </c>
      <c r="BZ164" s="13">
        <f>BY164*VLOOKUP('Données projet'!$B$12,Paramètres!$A$1:$I$89,3,0)*VLOOKUP('Données projet'!$B$12,Paramètres!$A$1:$I$89,5,0)</f>
        <v>86.943299999999567</v>
      </c>
      <c r="CA164" s="13">
        <f t="shared" si="170"/>
        <v>23.826546600539892</v>
      </c>
      <c r="CB164" s="20">
        <f t="shared" si="171"/>
        <v>192.92414949593956</v>
      </c>
      <c r="CC164" s="59">
        <f t="shared" si="119"/>
        <v>486.25748282927287</v>
      </c>
      <c r="CD164" s="59">
        <f ca="1">AVERAGE(OFFSET($CC$3,0,0,'Données projet'!$E$12+1,1))-AVERAGE(OFFSET($H$3,0,0,'Données projet'!$E$12+1,1))</f>
        <v>361.26385625423757</v>
      </c>
      <c r="CE164" s="59">
        <f t="shared" si="148"/>
        <v>222.05197404028576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91.365384615384613</v>
      </c>
      <c r="CH164" s="16">
        <f>IF(ISNA(VLOOKUP(A164,'Données projet'!$A$113:$I$133,5,0)),0%,VLOOKUP(A164,'Données projet'!$A$113:$I$133,5,0)*VLOOKUP('Données projet'!$B$12,Paramètres!$A$1:$I$89,7,0))</f>
        <v>0.38700000000000001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149.49191796398912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149.49191796398912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247.00000000000017</v>
      </c>
      <c r="CU164" s="17">
        <f>CT164*VLOOKUP('Données projet'!$B$13,Paramètres!$A$1:$I$89,3,0)*VLOOKUP('Données projet'!$B$13,Paramètres!$A$1:$I$89,5,0)</f>
        <v>223.48560000000012</v>
      </c>
      <c r="CV164" s="13">
        <f t="shared" si="173"/>
        <v>54.87176918107798</v>
      </c>
      <c r="CW164" s="20">
        <f t="shared" si="174"/>
        <v>484.80575132371092</v>
      </c>
      <c r="CX164" s="59">
        <f t="shared" si="122"/>
        <v>778.13908465704424</v>
      </c>
      <c r="CY164" s="59">
        <f ca="1">AVERAGE(OFFSET($CX$3,0,0,'Données projet'!$E$13+1,1))-AVERAGE(OFFSET($H$3,0,0,'Données projet'!$E$13+1,1))</f>
        <v>302.6937347295995</v>
      </c>
      <c r="CZ164" s="59">
        <f t="shared" si="150"/>
        <v>423.44006663873375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4.5249397601560215E-2</v>
      </c>
      <c r="DG164" s="21">
        <f>EXP(-LN(2)/25)*DG163+(1-EXP(-LN(2)/25))/(LN(2)/25)*Calculateur!DB164*Calculateur!DD164*VLOOKUP('Données projet'!$B$13,Paramètres!$A$1:$I$89,3,0)*0.475*44/12</f>
        <v>0.1134963533769284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0.15874575097848861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91.365384615384158</v>
      </c>
      <c r="DP164" s="17">
        <f>DO164*VLOOKUP('Données projet'!$B$14,Paramètres!$A$1:$I$89,3,0)*VLOOKUP('Données projet'!$B$14,Paramètres!$A$1:$I$89,5,0)</f>
        <v>88.36859999999956</v>
      </c>
      <c r="DQ164" s="13">
        <f t="shared" si="176"/>
        <v>24.171352687445268</v>
      </c>
      <c r="DR164" s="20">
        <f t="shared" si="177"/>
        <v>196.00708426396639</v>
      </c>
      <c r="DS164" s="59">
        <f t="shared" si="125"/>
        <v>489.34041759729973</v>
      </c>
      <c r="DT164" s="59">
        <f ca="1">AVERAGE(OFFSET($DS$3,0,0,'Données projet'!$E$14+1,1))-AVERAGE(OFFSET($H$3,0,0,'Données projet'!$E$14+1,1))</f>
        <v>366.51581861366333</v>
      </c>
      <c r="DU164" s="59">
        <f t="shared" si="152"/>
        <v>225.01415116995503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0.38700000000000001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151.94260514372667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151.94260514372667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328.00000000000017</v>
      </c>
      <c r="EK164" s="17">
        <f>EJ164*VLOOKUP('Données projet'!$B$15,Paramètres!$A$1:$I$89,3,0)*VLOOKUP('Données projet'!$B$15,Paramètres!$A$1:$I$89,5,0)</f>
        <v>255.84000000000015</v>
      </c>
      <c r="EL164" s="13">
        <f t="shared" si="179"/>
        <v>61.834803371075886</v>
      </c>
      <c r="EM164" s="20">
        <f t="shared" si="180"/>
        <v>553.28361587129086</v>
      </c>
      <c r="EN164" s="59">
        <f t="shared" si="128"/>
        <v>846.61694920462423</v>
      </c>
      <c r="EO164" s="59">
        <f ca="1">AVERAGE(OFFSET($EN$3,0,0,'Données projet'!$E$15+1,1))-AVERAGE(OFFSET($H$3,0,0,'Données projet'!$E$15+1,1))</f>
        <v>288.80569134263209</v>
      </c>
      <c r="EP164" s="59">
        <f t="shared" si="154"/>
        <v>283.48738729114024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3.2868927965518067</v>
      </c>
      <c r="EW164" s="21">
        <f>EXP(-LN(2)/25)*EW163+(1-EXP(-LN(2)/25))/(LN(2)/25)*Calculateur!ER164*Calculateur!ET164*VLOOKUP('Données projet'!$B$15,Paramètres!$A$1:$I$89,3,0)*0.475*44/12</f>
        <v>1.5413315016841451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4.828224298235952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-1.0197709343628959E-13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323.17232038705157</v>
      </c>
      <c r="FK164" s="59">
        <f t="shared" si="156"/>
        <v>402.34685738619197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20.35599097839021</v>
      </c>
      <c r="FR164" s="21">
        <f>EXP(-LN(2)/25)*FR163+(1-EXP(-LN(2)/25))/(LN(2)/25)*Calculateur!FM164*Calculateur!FO164*VLOOKUP('Données projet'!$B$16,Paramètres!$A$1:$I$89,3,0)*0.475*44/12</f>
        <v>2.4049273576060366</v>
      </c>
      <c r="FS164" s="21">
        <f>EXP(-LN(2)/2)*FS163+(1-EXP(-LN(2)/2))/(LN(2)/2)*FM164*FP164*VLOOKUP('Données projet'!$B$16,Paramètres!$A$1:$I$89,3,0)*0.475*44/12</f>
        <v>6.3441738300084463E-15</v>
      </c>
      <c r="FT164" s="22">
        <f t="shared" si="184"/>
        <v>22.760918335996255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328.00000000000017</v>
      </c>
      <c r="GA164" s="17">
        <f>FZ164*VLOOKUP('Données projet'!$B$17,Paramètres!$A$1:$I$89,3,0)*VLOOKUP('Données projet'!$B$17,Paramètres!$A$1:$I$89,5,0)</f>
        <v>266.07360000000017</v>
      </c>
      <c r="GB164" s="13">
        <f t="shared" si="185"/>
        <v>64.015279012301136</v>
      </c>
      <c r="GC164" s="20">
        <f t="shared" si="186"/>
        <v>574.90479761309132</v>
      </c>
      <c r="GD164" s="59">
        <f t="shared" si="134"/>
        <v>868.23813094642469</v>
      </c>
      <c r="GE164" s="59">
        <f ca="1">AVERAGE(OFFSET($GD$3,0,0,'Données projet'!$E$17+1,1))-AVERAGE(OFFSET($H$3,0,0,'Données projet'!$E$17+1,1))</f>
        <v>298.96480270023716</v>
      </c>
      <c r="GF164" s="59">
        <f t="shared" si="158"/>
        <v>293.11447542333889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4.2133379289752479</v>
      </c>
      <c r="GM164" s="21">
        <f>EXP(-LN(2)/25)*GM163+(1-EXP(-LN(2)/25))/(LN(2)/25)*Calculateur!GH164*Calculateur!GJ164*VLOOKUP('Données projet'!$B$17,Paramètres!$A$1:$I$89,3,0)*0.475*44/12</f>
        <v>1.9757719156472096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6.1891098446224575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-1.4210854715202004E-13</v>
      </c>
      <c r="GV164" s="17">
        <f>GU164*VLOOKUP('Données projet'!$B$18,Paramètres!$A$1:$I$89,3,0)*VLOOKUP('Données projet'!$B$18,Paramètres!$A$1:$I$89,5,0)</f>
        <v>-8.128608897095547E-14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320.76883487964511</v>
      </c>
      <c r="HA164" s="59">
        <f t="shared" si="160"/>
        <v>290.51177680335746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33.291211365441022</v>
      </c>
      <c r="HH164" s="21">
        <f>EXP(-LN(2)/25)*HH163+(1-EXP(-LN(2)/25))/(LN(2)/25)*Calculateur!HC164*Calculateur!HE164*VLOOKUP('Données projet'!$B$18,Paramètres!$A$1:$I$89,3,0)*0.475*44/12</f>
        <v>4.657642548402249</v>
      </c>
      <c r="HI164" s="21">
        <f>EXP(-LN(2)/2)*HI163+(1-EXP(-LN(2)/2))/(LN(2)/2)*HC164*HF164*VLOOKUP('Données projet'!$B$18,Paramètres!$A$1:$I$89,3,0)*0.475*44/12</f>
        <v>6.5488829581786537E-10</v>
      </c>
      <c r="HJ164" s="22">
        <f t="shared" si="190"/>
        <v>37.948853914498159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5.763922672485933E-13</v>
      </c>
      <c r="AK165" s="13">
        <f t="shared" si="164"/>
        <v>7.0619171555808457E-12</v>
      </c>
      <c r="AL165" s="20">
        <f t="shared" si="165"/>
        <v>1.3303388911427938E-11</v>
      </c>
      <c r="AM165" s="59">
        <f t="shared" si="113"/>
        <v>293.33333333334662</v>
      </c>
      <c r="AN165" s="59">
        <f ca="1">AVERAGE(OFFSET($AM$3,0,0,'Données projet'!$E$10+1,1))-AVERAGE(OFFSET($H$3,0,0,'Données projet'!$E$10+1,1))</f>
        <v>425.47148407510412</v>
      </c>
      <c r="AO165" s="59">
        <f t="shared" si="144"/>
        <v>308.54448799922471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103.70958380118412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103.70958380118412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212.00000000000009</v>
      </c>
      <c r="BE165" s="13">
        <f>BD165*VLOOKUP('Données projet'!$B$11,Paramètres!$A$1:$I$89,3,0)*VLOOKUP('Données projet'!$B$11,Paramètres!$A$1:$I$89,5,0)</f>
        <v>185.20320000000009</v>
      </c>
      <c r="BF165" s="13">
        <f t="shared" si="167"/>
        <v>46.477875402099386</v>
      </c>
      <c r="BG165" s="20">
        <f t="shared" si="168"/>
        <v>403.5112063253232</v>
      </c>
      <c r="BH165" s="59">
        <f t="shared" si="116"/>
        <v>696.84453965865646</v>
      </c>
      <c r="BI165" s="59">
        <f ca="1">AVERAGE(OFFSET($BH$3,0,0,'Données projet'!$E$11+1,1))-AVERAGE(OFFSET($H$3,0,0,'Données projet'!$E$11+1,1))</f>
        <v>300.63505444445104</v>
      </c>
      <c r="BJ165" s="59">
        <f t="shared" si="146"/>
        <v>266.32508105927997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4.3746062453194616</v>
      </c>
      <c r="BQ165" s="21">
        <f>EXP(-LN(2)/25)*BQ164+(1-EXP(-LN(2)/25))/(LN(2)/25)*Calculateur!BL165*Calculateur!BN165*VLOOKUP('Données projet'!$B$11,Paramètres!$A$1:$I$89,3,0)*0.475*44/12</f>
        <v>2.5071137603694793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6.8817200056889405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-4.3273757910355926E-13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361.26385625423757</v>
      </c>
      <c r="CE165" s="59">
        <f t="shared" si="148"/>
        <v>222.05197404028576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146.56047263378187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146.56047263378187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247.00000000000017</v>
      </c>
      <c r="CU165" s="17">
        <f>CT165*VLOOKUP('Données projet'!$B$13,Paramètres!$A$1:$I$89,3,0)*VLOOKUP('Données projet'!$B$13,Paramètres!$A$1:$I$89,5,0)</f>
        <v>223.48560000000012</v>
      </c>
      <c r="CV165" s="13">
        <f t="shared" si="173"/>
        <v>54.87176918107798</v>
      </c>
      <c r="CW165" s="20">
        <f t="shared" si="174"/>
        <v>484.80575132371092</v>
      </c>
      <c r="CX165" s="59">
        <f t="shared" si="122"/>
        <v>778.13908465704424</v>
      </c>
      <c r="CY165" s="59">
        <f ca="1">AVERAGE(OFFSET($CX$3,0,0,'Données projet'!$E$13+1,1))-AVERAGE(OFFSET($H$3,0,0,'Données projet'!$E$13+1,1))</f>
        <v>302.6937347295995</v>
      </c>
      <c r="CZ165" s="59">
        <f t="shared" si="150"/>
        <v>423.44006663873375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4.4362084514000942E-2</v>
      </c>
      <c r="DG165" s="21">
        <f>EXP(-LN(2)/25)*DG164+(1-EXP(-LN(2)/25))/(LN(2)/25)*Calculateur!DB165*Calculateur!DD165*VLOOKUP('Données projet'!$B$13,Paramètres!$A$1:$I$89,3,0)*0.475*44/12</f>
        <v>0.11039278962532247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0.1547548741393234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-4.3983163777738812E-13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366.51581861366333</v>
      </c>
      <c r="DU165" s="59">
        <f t="shared" si="152"/>
        <v>225.01415116995503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148.96310333269633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148.96310333269633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328.00000000000017</v>
      </c>
      <c r="EK165" s="17">
        <f>EJ165*VLOOKUP('Données projet'!$B$15,Paramètres!$A$1:$I$89,3,0)*VLOOKUP('Données projet'!$B$15,Paramètres!$A$1:$I$89,5,0)</f>
        <v>255.84000000000015</v>
      </c>
      <c r="EL165" s="13">
        <f t="shared" si="179"/>
        <v>61.834803371075886</v>
      </c>
      <c r="EM165" s="20">
        <f t="shared" si="180"/>
        <v>553.28361587129086</v>
      </c>
      <c r="EN165" s="59">
        <f t="shared" si="128"/>
        <v>846.61694920462423</v>
      </c>
      <c r="EO165" s="59">
        <f ca="1">AVERAGE(OFFSET($EN$3,0,0,'Données projet'!$E$15+1,1))-AVERAGE(OFFSET($H$3,0,0,'Données projet'!$E$15+1,1))</f>
        <v>288.80569134263209</v>
      </c>
      <c r="EP165" s="59">
        <f t="shared" si="154"/>
        <v>283.48738729114024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3.2224388336180736</v>
      </c>
      <c r="EW165" s="21">
        <f>EXP(-LN(2)/25)*EW164+(1-EXP(-LN(2)/25))/(LN(2)/25)*Calculateur!ER165*Calculateur!ET165*VLOOKUP('Données projet'!$B$15,Paramètres!$A$1:$I$89,3,0)*0.475*44/12</f>
        <v>1.4991837107154913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4.7216225443335649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-1.0197709343628959E-13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323.17232038705157</v>
      </c>
      <c r="FK165" s="59">
        <f t="shared" si="156"/>
        <v>402.34685738619197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19.956822411232505</v>
      </c>
      <c r="FR165" s="21">
        <f>EXP(-LN(2)/25)*FR164+(1-EXP(-LN(2)/25))/(LN(2)/25)*Calculateur!FM165*Calculateur!FO165*VLOOKUP('Données projet'!$B$16,Paramètres!$A$1:$I$89,3,0)*0.475*44/12</f>
        <v>2.3391644925426665</v>
      </c>
      <c r="FS165" s="21">
        <f>EXP(-LN(2)/2)*FS164+(1-EXP(-LN(2)/2))/(LN(2)/2)*FM165*FP165*VLOOKUP('Données projet'!$B$16,Paramètres!$A$1:$I$89,3,0)*0.475*44/12</f>
        <v>4.4860083362252035E-15</v>
      </c>
      <c r="FT165" s="22">
        <f t="shared" si="184"/>
        <v>22.295986903775177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328.00000000000017</v>
      </c>
      <c r="GA165" s="17">
        <f>FZ165*VLOOKUP('Données projet'!$B$17,Paramètres!$A$1:$I$89,3,0)*VLOOKUP('Données projet'!$B$17,Paramètres!$A$1:$I$89,5,0)</f>
        <v>266.07360000000017</v>
      </c>
      <c r="GB165" s="13">
        <f t="shared" si="185"/>
        <v>64.015279012301136</v>
      </c>
      <c r="GC165" s="20">
        <f t="shared" si="186"/>
        <v>574.90479761309132</v>
      </c>
      <c r="GD165" s="59">
        <f t="shared" si="134"/>
        <v>868.23813094642469</v>
      </c>
      <c r="GE165" s="59">
        <f ca="1">AVERAGE(OFFSET($GD$3,0,0,'Données projet'!$E$17+1,1))-AVERAGE(OFFSET($H$3,0,0,'Données projet'!$E$17+1,1))</f>
        <v>298.96480270023716</v>
      </c>
      <c r="GF165" s="59">
        <f t="shared" si="158"/>
        <v>293.11447542333889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4.1307169420704248</v>
      </c>
      <c r="GM165" s="21">
        <f>EXP(-LN(2)/25)*GM164+(1-EXP(-LN(2)/25))/(LN(2)/25)*Calculateur!GH165*Calculateur!GJ165*VLOOKUP('Données projet'!$B$17,Paramètres!$A$1:$I$89,3,0)*0.475*44/12</f>
        <v>1.9217443287125073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6.0524612707829322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-1.4210854715202004E-13</v>
      </c>
      <c r="GV165" s="17">
        <f>GU165*VLOOKUP('Données projet'!$B$18,Paramètres!$A$1:$I$89,3,0)*VLOOKUP('Données projet'!$B$18,Paramètres!$A$1:$I$89,5,0)</f>
        <v>-8.128608897095547E-14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320.76883487964511</v>
      </c>
      <c r="HA165" s="59">
        <f t="shared" si="160"/>
        <v>290.51177680335746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32.638391016198639</v>
      </c>
      <c r="HH165" s="21">
        <f>EXP(-LN(2)/25)*HH164+(1-EXP(-LN(2)/25))/(LN(2)/25)*Calculateur!HC165*Calculateur!HE165*VLOOKUP('Données projet'!$B$18,Paramètres!$A$1:$I$89,3,0)*0.475*44/12</f>
        <v>4.5302790679814127</v>
      </c>
      <c r="HI165" s="21">
        <f>EXP(-LN(2)/2)*HI164+(1-EXP(-LN(2)/2))/(LN(2)/2)*HC165*HF165*VLOOKUP('Données projet'!$B$18,Paramètres!$A$1:$I$89,3,0)*0.475*44/12</f>
        <v>4.6307595489251438E-10</v>
      </c>
      <c r="HJ165" s="22">
        <f t="shared" si="190"/>
        <v>37.168670084643125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5.763922672485933E-13</v>
      </c>
      <c r="AK166" s="13">
        <f t="shared" si="164"/>
        <v>7.0619171555808457E-12</v>
      </c>
      <c r="AL166" s="20">
        <f t="shared" si="165"/>
        <v>1.3303388911427938E-11</v>
      </c>
      <c r="AM166" s="59">
        <f t="shared" si="113"/>
        <v>293.33333333334662</v>
      </c>
      <c r="AN166" s="59">
        <f ca="1">AVERAGE(OFFSET($AM$3,0,0,'Données projet'!$E$10+1,1))-AVERAGE(OFFSET($H$3,0,0,'Données projet'!$E$10+1,1))</f>
        <v>425.47148407510412</v>
      </c>
      <c r="AO166" s="59">
        <f t="shared" si="144"/>
        <v>308.54448799922471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101.67590211944295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101.67590211944295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212.00000000000009</v>
      </c>
      <c r="BE166" s="13">
        <f>BD166*VLOOKUP('Données projet'!$B$11,Paramètres!$A$1:$I$89,3,0)*VLOOKUP('Données projet'!$B$11,Paramètres!$A$1:$I$89,5,0)</f>
        <v>185.20320000000009</v>
      </c>
      <c r="BF166" s="13">
        <f t="shared" si="167"/>
        <v>46.477875402099386</v>
      </c>
      <c r="BG166" s="20">
        <f t="shared" si="168"/>
        <v>403.5112063253232</v>
      </c>
      <c r="BH166" s="59">
        <f t="shared" si="116"/>
        <v>696.84453965865646</v>
      </c>
      <c r="BI166" s="59">
        <f ca="1">AVERAGE(OFFSET($BH$3,0,0,'Données projet'!$E$11+1,1))-AVERAGE(OFFSET($H$3,0,0,'Données projet'!$E$11+1,1))</f>
        <v>300.63505444445104</v>
      </c>
      <c r="BJ166" s="59">
        <f t="shared" si="146"/>
        <v>266.32508105927997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4.2888228850950894</v>
      </c>
      <c r="BQ166" s="21">
        <f>EXP(-LN(2)/25)*BQ165+(1-EXP(-LN(2)/25))/(LN(2)/25)*Calculateur!BL166*Calculateur!BN166*VLOOKUP('Données projet'!$B$11,Paramètres!$A$1:$I$89,3,0)*0.475*44/12</f>
        <v>2.4385566027487933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6.7273794878438826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-4.3273757910355926E-13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361.26385625423757</v>
      </c>
      <c r="CE166" s="59">
        <f t="shared" si="148"/>
        <v>222.05197404028576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143.68651115849488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143.68651115849488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247.00000000000017</v>
      </c>
      <c r="CU166" s="17">
        <f>CT166*VLOOKUP('Données projet'!$B$13,Paramètres!$A$1:$I$89,3,0)*VLOOKUP('Données projet'!$B$13,Paramètres!$A$1:$I$89,5,0)</f>
        <v>223.48560000000012</v>
      </c>
      <c r="CV166" s="13">
        <f t="shared" si="173"/>
        <v>54.87176918107798</v>
      </c>
      <c r="CW166" s="20">
        <f t="shared" si="174"/>
        <v>484.80575132371092</v>
      </c>
      <c r="CX166" s="59">
        <f t="shared" si="122"/>
        <v>778.13908465704424</v>
      </c>
      <c r="CY166" s="59">
        <f ca="1">AVERAGE(OFFSET($CX$3,0,0,'Données projet'!$E$13+1,1))-AVERAGE(OFFSET($H$3,0,0,'Données projet'!$E$13+1,1))</f>
        <v>302.6937347295995</v>
      </c>
      <c r="CZ166" s="59">
        <f t="shared" si="150"/>
        <v>423.44006663873375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4.3492171094881162E-2</v>
      </c>
      <c r="DG166" s="21">
        <f>EXP(-LN(2)/25)*DG165+(1-EXP(-LN(2)/25))/(LN(2)/25)*Calculateur!DB166*Calculateur!DD166*VLOOKUP('Données projet'!$B$13,Paramètres!$A$1:$I$89,3,0)*0.475*44/12</f>
        <v>0.10737409298771353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0.15086626408259468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-4.3983163777738812E-13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366.51581861366333</v>
      </c>
      <c r="DU166" s="59">
        <f t="shared" si="152"/>
        <v>225.01415116995503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146.04202773486367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146.04202773486367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328.00000000000017</v>
      </c>
      <c r="EK166" s="17">
        <f>EJ166*VLOOKUP('Données projet'!$B$15,Paramètres!$A$1:$I$89,3,0)*VLOOKUP('Données projet'!$B$15,Paramètres!$A$1:$I$89,5,0)</f>
        <v>255.84000000000015</v>
      </c>
      <c r="EL166" s="13">
        <f t="shared" si="179"/>
        <v>61.834803371075886</v>
      </c>
      <c r="EM166" s="20">
        <f t="shared" si="180"/>
        <v>553.28361587129086</v>
      </c>
      <c r="EN166" s="59">
        <f t="shared" si="128"/>
        <v>846.61694920462423</v>
      </c>
      <c r="EO166" s="59">
        <f ca="1">AVERAGE(OFFSET($EN$3,0,0,'Données projet'!$E$15+1,1))-AVERAGE(OFFSET($H$3,0,0,'Données projet'!$E$15+1,1))</f>
        <v>288.80569134263209</v>
      </c>
      <c r="EP166" s="59">
        <f t="shared" si="154"/>
        <v>283.48738729114024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3.1592487735844355</v>
      </c>
      <c r="EW166" s="21">
        <f>EXP(-LN(2)/25)*EW165+(1-EXP(-LN(2)/25))/(LN(2)/25)*Calculateur!ER166*Calculateur!ET166*VLOOKUP('Données projet'!$B$15,Paramètres!$A$1:$I$89,3,0)*0.475*44/12</f>
        <v>1.4581884533073313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4.6174372268917665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-1.0197709343628959E-13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323.17232038705157</v>
      </c>
      <c r="FK166" s="59">
        <f t="shared" si="156"/>
        <v>402.34685738619197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19.565481296207977</v>
      </c>
      <c r="FR166" s="21">
        <f>EXP(-LN(2)/25)*FR165+(1-EXP(-LN(2)/25))/(LN(2)/25)*Calculateur!FM166*Calculateur!FO166*VLOOKUP('Données projet'!$B$16,Paramètres!$A$1:$I$89,3,0)*0.475*44/12</f>
        <v>2.275199916482773</v>
      </c>
      <c r="FS166" s="21">
        <f>EXP(-LN(2)/2)*FS165+(1-EXP(-LN(2)/2))/(LN(2)/2)*FM166*FP166*VLOOKUP('Données projet'!$B$16,Paramètres!$A$1:$I$89,3,0)*0.475*44/12</f>
        <v>3.1720869150042232E-15</v>
      </c>
      <c r="FT166" s="22">
        <f t="shared" si="184"/>
        <v>21.840681212690754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328.00000000000017</v>
      </c>
      <c r="GA166" s="17">
        <f>FZ166*VLOOKUP('Données projet'!$B$17,Paramètres!$A$1:$I$89,3,0)*VLOOKUP('Données projet'!$B$17,Paramètres!$A$1:$I$89,5,0)</f>
        <v>266.07360000000017</v>
      </c>
      <c r="GB166" s="13">
        <f t="shared" si="185"/>
        <v>64.015279012301136</v>
      </c>
      <c r="GC166" s="20">
        <f t="shared" si="186"/>
        <v>574.90479761309132</v>
      </c>
      <c r="GD166" s="59">
        <f t="shared" si="134"/>
        <v>868.23813094642469</v>
      </c>
      <c r="GE166" s="59">
        <f ca="1">AVERAGE(OFFSET($GD$3,0,0,'Données projet'!$E$17+1,1))-AVERAGE(OFFSET($H$3,0,0,'Données projet'!$E$17+1,1))</f>
        <v>298.96480270023716</v>
      </c>
      <c r="GF166" s="59">
        <f t="shared" si="158"/>
        <v>293.11447542333889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4.0497161023249797</v>
      </c>
      <c r="GM166" s="21">
        <f>EXP(-LN(2)/25)*GM165+(1-EXP(-LN(2)/25))/(LN(2)/25)*Calculateur!GH166*Calculateur!GJ166*VLOOKUP('Données projet'!$B$17,Paramètres!$A$1:$I$89,3,0)*0.475*44/12</f>
        <v>1.8691941289837217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5.9189102313087014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-1.4210854715202004E-13</v>
      </c>
      <c r="GV166" s="17">
        <f>GU166*VLOOKUP('Données projet'!$B$18,Paramètres!$A$1:$I$89,3,0)*VLOOKUP('Données projet'!$B$18,Paramètres!$A$1:$I$89,5,0)</f>
        <v>-8.128608897095547E-14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320.76883487964511</v>
      </c>
      <c r="HA166" s="59">
        <f t="shared" si="160"/>
        <v>290.51177680335746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31.998372075823806</v>
      </c>
      <c r="HH166" s="21">
        <f>EXP(-LN(2)/25)*HH165+(1-EXP(-LN(2)/25))/(LN(2)/25)*Calculateur!HC166*Calculateur!HE166*VLOOKUP('Données projet'!$B$18,Paramètres!$A$1:$I$89,3,0)*0.475*44/12</f>
        <v>4.4063983486304386</v>
      </c>
      <c r="HI166" s="21">
        <f>EXP(-LN(2)/2)*HI165+(1-EXP(-LN(2)/2))/(LN(2)/2)*HC166*HF166*VLOOKUP('Données projet'!$B$18,Paramètres!$A$1:$I$89,3,0)*0.475*44/12</f>
        <v>3.2744414790893274E-10</v>
      </c>
      <c r="HJ166" s="22">
        <f t="shared" si="190"/>
        <v>36.404770424781688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5.763922672485933E-13</v>
      </c>
      <c r="AK167" s="13">
        <f t="shared" si="164"/>
        <v>7.0619171555808457E-12</v>
      </c>
      <c r="AL167" s="20">
        <f t="shared" si="165"/>
        <v>1.3303388911427938E-11</v>
      </c>
      <c r="AM167" s="59">
        <f t="shared" si="113"/>
        <v>293.33333333334662</v>
      </c>
      <c r="AN167" s="59">
        <f ca="1">AVERAGE(OFFSET($AM$3,0,0,'Données projet'!$E$10+1,1))-AVERAGE(OFFSET($H$3,0,0,'Données projet'!$E$10+1,1))</f>
        <v>425.47148407510412</v>
      </c>
      <c r="AO167" s="59">
        <f t="shared" si="144"/>
        <v>308.54448799922471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99.682099695057374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99.682099695057374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212.00000000000009</v>
      </c>
      <c r="BE167" s="13">
        <f>BD167*VLOOKUP('Données projet'!$B$11,Paramètres!$A$1:$I$89,3,0)*VLOOKUP('Données projet'!$B$11,Paramètres!$A$1:$I$89,5,0)</f>
        <v>185.20320000000009</v>
      </c>
      <c r="BF167" s="13">
        <f t="shared" si="167"/>
        <v>46.477875402099386</v>
      </c>
      <c r="BG167" s="20">
        <f t="shared" si="168"/>
        <v>403.5112063253232</v>
      </c>
      <c r="BH167" s="59">
        <f t="shared" si="116"/>
        <v>696.84453965865646</v>
      </c>
      <c r="BI167" s="59">
        <f ca="1">AVERAGE(OFFSET($BH$3,0,0,'Données projet'!$E$11+1,1))-AVERAGE(OFFSET($H$3,0,0,'Données projet'!$E$11+1,1))</f>
        <v>300.63505444445104</v>
      </c>
      <c r="BJ167" s="59">
        <f t="shared" si="146"/>
        <v>266.32508105927997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4.2047216842420339</v>
      </c>
      <c r="BQ167" s="21">
        <f>EXP(-LN(2)/25)*BQ166+(1-EXP(-LN(2)/25))/(LN(2)/25)*Calculateur!BL167*Calculateur!BN167*VLOOKUP('Données projet'!$B$11,Paramètres!$A$1:$I$89,3,0)*0.475*44/12</f>
        <v>2.3718741442085092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6.576595828450543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-4.3273757910355926E-13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361.26385625423757</v>
      </c>
      <c r="CE167" s="59">
        <f t="shared" si="148"/>
        <v>222.05197404028576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140.86890631479486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140.86890631479486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247.00000000000017</v>
      </c>
      <c r="CU167" s="17">
        <f>CT167*VLOOKUP('Données projet'!$B$13,Paramètres!$A$1:$I$89,3,0)*VLOOKUP('Données projet'!$B$13,Paramètres!$A$1:$I$89,5,0)</f>
        <v>223.48560000000012</v>
      </c>
      <c r="CV167" s="13">
        <f t="shared" si="173"/>
        <v>54.87176918107798</v>
      </c>
      <c r="CW167" s="20">
        <f t="shared" si="174"/>
        <v>484.80575132371092</v>
      </c>
      <c r="CX167" s="59">
        <f t="shared" si="122"/>
        <v>778.13908465704424</v>
      </c>
      <c r="CY167" s="59">
        <f ca="1">AVERAGE(OFFSET($CX$3,0,0,'Données projet'!$E$13+1,1))-AVERAGE(OFFSET($H$3,0,0,'Données projet'!$E$13+1,1))</f>
        <v>302.6937347295995</v>
      </c>
      <c r="CZ167" s="59">
        <f t="shared" si="150"/>
        <v>423.44006663873375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4.2639316147315524E-2</v>
      </c>
      <c r="DG167" s="21">
        <f>EXP(-LN(2)/25)*DG166+(1-EXP(-LN(2)/25))/(LN(2)/25)*Calculateur!DB167*Calculateur!DD167*VLOOKUP('Données projet'!$B$13,Paramètres!$A$1:$I$89,3,0)*0.475*44/12</f>
        <v>0.10443794276840636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0.14707725891572188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-4.3983163777738812E-13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366.51581861366333</v>
      </c>
      <c r="DU167" s="59">
        <f t="shared" si="152"/>
        <v>225.01415116995503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143.1782326478243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143.1782326478243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328.00000000000017</v>
      </c>
      <c r="EK167" s="17">
        <f>EJ167*VLOOKUP('Données projet'!$B$15,Paramètres!$A$1:$I$89,3,0)*VLOOKUP('Données projet'!$B$15,Paramètres!$A$1:$I$89,5,0)</f>
        <v>255.84000000000015</v>
      </c>
      <c r="EL167" s="13">
        <f t="shared" si="179"/>
        <v>61.834803371075886</v>
      </c>
      <c r="EM167" s="20">
        <f t="shared" si="180"/>
        <v>553.28361587129086</v>
      </c>
      <c r="EN167" s="59">
        <f t="shared" si="128"/>
        <v>846.61694920462423</v>
      </c>
      <c r="EO167" s="59">
        <f ca="1">AVERAGE(OFFSET($EN$3,0,0,'Données projet'!$E$15+1,1))-AVERAGE(OFFSET($H$3,0,0,'Données projet'!$E$15+1,1))</f>
        <v>288.80569134263209</v>
      </c>
      <c r="EP167" s="59">
        <f t="shared" si="154"/>
        <v>283.48738729114024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3.0972978320859261</v>
      </c>
      <c r="EW167" s="21">
        <f>EXP(-LN(2)/25)*EW166+(1-EXP(-LN(2)/25))/(LN(2)/25)*Calculateur!ER167*Calculateur!ET167*VLOOKUP('Données projet'!$B$15,Paramètres!$A$1:$I$89,3,0)*0.475*44/12</f>
        <v>1.4183142133688442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4.5156120454547706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-1.0197709343628959E-13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323.17232038705157</v>
      </c>
      <c r="FK167" s="59">
        <f t="shared" si="156"/>
        <v>402.34685738619197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19.181814141754568</v>
      </c>
      <c r="FR167" s="21">
        <f>EXP(-LN(2)/25)*FR166+(1-EXP(-LN(2)/25))/(LN(2)/25)*Calculateur!FM167*Calculateur!FO167*VLOOKUP('Données projet'!$B$16,Paramètres!$A$1:$I$89,3,0)*0.475*44/12</f>
        <v>2.2129844551189879</v>
      </c>
      <c r="FS167" s="21">
        <f>EXP(-LN(2)/2)*FS166+(1-EXP(-LN(2)/2))/(LN(2)/2)*FM167*FP167*VLOOKUP('Données projet'!$B$16,Paramètres!$A$1:$I$89,3,0)*0.475*44/12</f>
        <v>2.2430041681126018E-15</v>
      </c>
      <c r="FT167" s="22">
        <f t="shared" si="184"/>
        <v>21.39479859687356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328.00000000000017</v>
      </c>
      <c r="GA167" s="17">
        <f>FZ167*VLOOKUP('Données projet'!$B$17,Paramètres!$A$1:$I$89,3,0)*VLOOKUP('Données projet'!$B$17,Paramètres!$A$1:$I$89,5,0)</f>
        <v>266.07360000000017</v>
      </c>
      <c r="GB167" s="13">
        <f t="shared" si="185"/>
        <v>64.015279012301136</v>
      </c>
      <c r="GC167" s="20">
        <f t="shared" si="186"/>
        <v>574.90479761309132</v>
      </c>
      <c r="GD167" s="59">
        <f t="shared" si="134"/>
        <v>868.23813094642469</v>
      </c>
      <c r="GE167" s="59">
        <f ca="1">AVERAGE(OFFSET($GD$3,0,0,'Données projet'!$E$17+1,1))-AVERAGE(OFFSET($H$3,0,0,'Données projet'!$E$17+1,1))</f>
        <v>298.96480270023716</v>
      </c>
      <c r="GF167" s="59">
        <f t="shared" si="158"/>
        <v>293.11447542333889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3.9703036396413087</v>
      </c>
      <c r="GM167" s="21">
        <f>EXP(-LN(2)/25)*GM166+(1-EXP(-LN(2)/25))/(LN(2)/25)*Calculateur!GH167*Calculateur!GJ167*VLOOKUP('Données projet'!$B$17,Paramètres!$A$1:$I$89,3,0)*0.475*44/12</f>
        <v>1.8180809172300147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5.788384556871323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-1.4210854715202004E-13</v>
      </c>
      <c r="GV167" s="17">
        <f>GU167*VLOOKUP('Données projet'!$B$18,Paramètres!$A$1:$I$89,3,0)*VLOOKUP('Données projet'!$B$18,Paramètres!$A$1:$I$89,5,0)</f>
        <v>-8.128608897095547E-14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320.76883487964511</v>
      </c>
      <c r="HA167" s="59">
        <f t="shared" si="160"/>
        <v>290.51177680335746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31.370903516496714</v>
      </c>
      <c r="HH167" s="21">
        <f>EXP(-LN(2)/25)*HH166+(1-EXP(-LN(2)/25))/(LN(2)/25)*Calculateur!HC167*Calculateur!HE167*VLOOKUP('Données projet'!$B$18,Paramètres!$A$1:$I$89,3,0)*0.475*44/12</f>
        <v>4.2859051540647206</v>
      </c>
      <c r="HI167" s="21">
        <f>EXP(-LN(2)/2)*HI166+(1-EXP(-LN(2)/2))/(LN(2)/2)*HC167*HF167*VLOOKUP('Données projet'!$B$18,Paramètres!$A$1:$I$89,3,0)*0.475*44/12</f>
        <v>2.3153797744625722E-10</v>
      </c>
      <c r="HJ167" s="22">
        <f t="shared" si="190"/>
        <v>35.656808670792969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5.763922672485933E-13</v>
      </c>
      <c r="AK168" s="13">
        <f t="shared" si="164"/>
        <v>7.0619171555808457E-12</v>
      </c>
      <c r="AL168" s="20">
        <f t="shared" si="165"/>
        <v>1.3303388911427938E-11</v>
      </c>
      <c r="AM168" s="59">
        <f t="shared" si="113"/>
        <v>293.33333333334662</v>
      </c>
      <c r="AN168" s="59">
        <f ca="1">AVERAGE(OFFSET($AM$3,0,0,'Données projet'!$E$10+1,1))-AVERAGE(OFFSET($H$3,0,0,'Données projet'!$E$10+1,1))</f>
        <v>425.47148407510412</v>
      </c>
      <c r="AO168" s="59">
        <f t="shared" si="144"/>
        <v>308.54448799922471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97.727394520114601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97.727394520114601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212.00000000000009</v>
      </c>
      <c r="BE168" s="13">
        <f>BD168*VLOOKUP('Données projet'!$B$11,Paramètres!$A$1:$I$89,3,0)*VLOOKUP('Données projet'!$B$11,Paramètres!$A$1:$I$89,5,0)</f>
        <v>185.20320000000009</v>
      </c>
      <c r="BF168" s="13">
        <f t="shared" si="167"/>
        <v>46.477875402099386</v>
      </c>
      <c r="BG168" s="20">
        <f t="shared" si="168"/>
        <v>403.5112063253232</v>
      </c>
      <c r="BH168" s="59">
        <f t="shared" si="116"/>
        <v>696.84453965865646</v>
      </c>
      <c r="BI168" s="59">
        <f ca="1">AVERAGE(OFFSET($BH$3,0,0,'Données projet'!$E$11+1,1))-AVERAGE(OFFSET($H$3,0,0,'Données projet'!$E$11+1,1))</f>
        <v>300.63505444445104</v>
      </c>
      <c r="BJ168" s="59">
        <f t="shared" si="146"/>
        <v>266.32508105927997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4.1222696566410395</v>
      </c>
      <c r="BQ168" s="21">
        <f>EXP(-LN(2)/25)*BQ167+(1-EXP(-LN(2)/25))/(LN(2)/25)*Calculateur!BL168*Calculateur!BN168*VLOOKUP('Données projet'!$B$11,Paramètres!$A$1:$I$89,3,0)*0.475*44/12</f>
        <v>2.3070151210036873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6.4292847776447264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-4.3273757910355926E-13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361.26385625423757</v>
      </c>
      <c r="CE168" s="59">
        <f t="shared" si="148"/>
        <v>222.05197404028576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138.10655298351054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138.10655298351054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247.00000000000017</v>
      </c>
      <c r="CU168" s="17">
        <f>CT168*VLOOKUP('Données projet'!$B$13,Paramètres!$A$1:$I$89,3,0)*VLOOKUP('Données projet'!$B$13,Paramètres!$A$1:$I$89,5,0)</f>
        <v>223.48560000000012</v>
      </c>
      <c r="CV168" s="13">
        <f t="shared" si="173"/>
        <v>54.87176918107798</v>
      </c>
      <c r="CW168" s="20">
        <f t="shared" si="174"/>
        <v>484.80575132371092</v>
      </c>
      <c r="CX168" s="59">
        <f t="shared" si="122"/>
        <v>778.13908465704424</v>
      </c>
      <c r="CY168" s="59">
        <f ca="1">AVERAGE(OFFSET($CX$3,0,0,'Données projet'!$E$13+1,1))-AVERAGE(OFFSET($H$3,0,0,'Données projet'!$E$13+1,1))</f>
        <v>302.6937347295995</v>
      </c>
      <c r="CZ168" s="59">
        <f t="shared" si="150"/>
        <v>423.44006663873375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4.1803185165081497E-2</v>
      </c>
      <c r="DG168" s="21">
        <f>EXP(-LN(2)/25)*DG167+(1-EXP(-LN(2)/25))/(LN(2)/25)*Calculateur!DB168*Calculateur!DD168*VLOOKUP('Données projet'!$B$13,Paramètres!$A$1:$I$89,3,0)*0.475*44/12</f>
        <v>0.10158208173125158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0.14338526689633307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-4.3983163777738812E-13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366.51581861366333</v>
      </c>
      <c r="DU168" s="59">
        <f t="shared" si="152"/>
        <v>225.01415116995503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140.37059483569925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140.37059483569925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328.00000000000017</v>
      </c>
      <c r="EK168" s="17">
        <f>EJ168*VLOOKUP('Données projet'!$B$15,Paramètres!$A$1:$I$89,3,0)*VLOOKUP('Données projet'!$B$15,Paramètres!$A$1:$I$89,5,0)</f>
        <v>255.84000000000015</v>
      </c>
      <c r="EL168" s="13">
        <f t="shared" si="179"/>
        <v>61.834803371075886</v>
      </c>
      <c r="EM168" s="20">
        <f t="shared" si="180"/>
        <v>553.28361587129086</v>
      </c>
      <c r="EN168" s="59">
        <f t="shared" si="128"/>
        <v>846.61694920462423</v>
      </c>
      <c r="EO168" s="59">
        <f ca="1">AVERAGE(OFFSET($EN$3,0,0,'Données projet'!$E$15+1,1))-AVERAGE(OFFSET($H$3,0,0,'Données projet'!$E$15+1,1))</f>
        <v>288.80569134263209</v>
      </c>
      <c r="EP168" s="59">
        <f t="shared" si="154"/>
        <v>283.48738729114024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3.0365617107638592</v>
      </c>
      <c r="EW168" s="21">
        <f>EXP(-LN(2)/25)*EW167+(1-EXP(-LN(2)/25))/(LN(2)/25)*Calculateur!ER168*Calculateur!ET168*VLOOKUP('Données projet'!$B$15,Paramètres!$A$1:$I$89,3,0)*0.475*44/12</f>
        <v>1.3795303366183702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4.4160920473822296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-1.0197709343628959E-13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323.17232038705157</v>
      </c>
      <c r="FK168" s="59">
        <f t="shared" si="156"/>
        <v>402.34685738619197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18.805670466186132</v>
      </c>
      <c r="FR168" s="21">
        <f>EXP(-LN(2)/25)*FR167+(1-EXP(-LN(2)/25))/(LN(2)/25)*Calculateur!FM168*Calculateur!FO168*VLOOKUP('Données projet'!$B$16,Paramètres!$A$1:$I$89,3,0)*0.475*44/12</f>
        <v>2.1524702788179644</v>
      </c>
      <c r="FS168" s="21">
        <f>EXP(-LN(2)/2)*FS167+(1-EXP(-LN(2)/2))/(LN(2)/2)*FM168*FP168*VLOOKUP('Données projet'!$B$16,Paramètres!$A$1:$I$89,3,0)*0.475*44/12</f>
        <v>1.5860434575021116E-15</v>
      </c>
      <c r="FT168" s="22">
        <f t="shared" si="184"/>
        <v>20.958140745004098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328.00000000000017</v>
      </c>
      <c r="GA168" s="17">
        <f>FZ168*VLOOKUP('Données projet'!$B$17,Paramètres!$A$1:$I$89,3,0)*VLOOKUP('Données projet'!$B$17,Paramètres!$A$1:$I$89,5,0)</f>
        <v>266.07360000000017</v>
      </c>
      <c r="GB168" s="13">
        <f t="shared" si="185"/>
        <v>64.015279012301136</v>
      </c>
      <c r="GC168" s="20">
        <f t="shared" si="186"/>
        <v>574.90479761309132</v>
      </c>
      <c r="GD168" s="59">
        <f t="shared" si="134"/>
        <v>868.23813094642469</v>
      </c>
      <c r="GE168" s="59">
        <f ca="1">AVERAGE(OFFSET($GD$3,0,0,'Données projet'!$E$17+1,1))-AVERAGE(OFFSET($H$3,0,0,'Données projet'!$E$17+1,1))</f>
        <v>298.96480270023716</v>
      </c>
      <c r="GF168" s="59">
        <f t="shared" si="158"/>
        <v>293.11447542333889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3.892448406914045</v>
      </c>
      <c r="GM168" s="21">
        <f>EXP(-LN(2)/25)*GM167+(1-EXP(-LN(2)/25))/(LN(2)/25)*Calculateur!GH168*Calculateur!GJ168*VLOOKUP('Données projet'!$B$17,Paramètres!$A$1:$I$89,3,0)*0.475*44/12</f>
        <v>1.7683653989396397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5.6608138058536852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-1.4210854715202004E-13</v>
      </c>
      <c r="GV168" s="17">
        <f>GU168*VLOOKUP('Données projet'!$B$18,Paramètres!$A$1:$I$89,3,0)*VLOOKUP('Données projet'!$B$18,Paramètres!$A$1:$I$89,5,0)</f>
        <v>-8.128608897095547E-14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320.76883487964511</v>
      </c>
      <c r="HA168" s="59">
        <f t="shared" si="160"/>
        <v>290.51177680335746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30.755739232899998</v>
      </c>
      <c r="HH168" s="21">
        <f>EXP(-LN(2)/25)*HH167+(1-EXP(-LN(2)/25))/(LN(2)/25)*Calculateur!HC168*Calculateur!HE168*VLOOKUP('Données projet'!$B$18,Paramètres!$A$1:$I$89,3,0)*0.475*44/12</f>
        <v>4.1687068522408639</v>
      </c>
      <c r="HI168" s="21">
        <f>EXP(-LN(2)/2)*HI167+(1-EXP(-LN(2)/2))/(LN(2)/2)*HC168*HF168*VLOOKUP('Données projet'!$B$18,Paramètres!$A$1:$I$89,3,0)*0.475*44/12</f>
        <v>1.637220739544664E-10</v>
      </c>
      <c r="HJ168" s="22">
        <f t="shared" si="190"/>
        <v>34.924446085304588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5.763922672485933E-13</v>
      </c>
      <c r="AK169" s="13">
        <f t="shared" si="164"/>
        <v>7.0619171555808457E-12</v>
      </c>
      <c r="AL169" s="20">
        <f t="shared" si="165"/>
        <v>1.3303388911427938E-11</v>
      </c>
      <c r="AM169" s="59">
        <f t="shared" si="113"/>
        <v>293.33333333334662</v>
      </c>
      <c r="AN169" s="59">
        <f ca="1">AVERAGE(OFFSET($AM$3,0,0,'Données projet'!$E$10+1,1))-AVERAGE(OFFSET($H$3,0,0,'Données projet'!$E$10+1,1))</f>
        <v>425.47148407510412</v>
      </c>
      <c r="AO169" s="59">
        <f t="shared" si="144"/>
        <v>308.54448799922471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95.811019921400032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95.811019921400032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212.00000000000009</v>
      </c>
      <c r="BE169" s="13">
        <f>BD169*VLOOKUP('Données projet'!$B$11,Paramètres!$A$1:$I$89,3,0)*VLOOKUP('Données projet'!$B$11,Paramètres!$A$1:$I$89,5,0)</f>
        <v>185.20320000000009</v>
      </c>
      <c r="BF169" s="13">
        <f t="shared" si="167"/>
        <v>46.477875402099386</v>
      </c>
      <c r="BG169" s="20">
        <f t="shared" si="168"/>
        <v>403.5112063253232</v>
      </c>
      <c r="BH169" s="59">
        <f t="shared" si="116"/>
        <v>696.84453965865646</v>
      </c>
      <c r="BI169" s="59">
        <f ca="1">AVERAGE(OFFSET($BH$3,0,0,'Données projet'!$E$11+1,1))-AVERAGE(OFFSET($H$3,0,0,'Données projet'!$E$11+1,1))</f>
        <v>300.63505444445104</v>
      </c>
      <c r="BJ169" s="59">
        <f t="shared" si="146"/>
        <v>266.32508105927997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4.0414344630105292</v>
      </c>
      <c r="BQ169" s="21">
        <f>EXP(-LN(2)/25)*BQ168+(1-EXP(-LN(2)/25))/(LN(2)/25)*Calculateur!BL169*Calculateur!BN169*VLOOKUP('Données projet'!$B$11,Paramètres!$A$1:$I$89,3,0)*0.475*44/12</f>
        <v>2.2439296711991892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6.2853641342097184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-4.3273757910355926E-13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361.26385625423757</v>
      </c>
      <c r="CE169" s="59">
        <f t="shared" si="148"/>
        <v>222.05197404028576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135.39836771618354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135.39836771618354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247.00000000000017</v>
      </c>
      <c r="CU169" s="17">
        <f>CT169*VLOOKUP('Données projet'!$B$13,Paramètres!$A$1:$I$89,3,0)*VLOOKUP('Données projet'!$B$13,Paramètres!$A$1:$I$89,5,0)</f>
        <v>223.48560000000012</v>
      </c>
      <c r="CV169" s="13">
        <f t="shared" si="173"/>
        <v>54.87176918107798</v>
      </c>
      <c r="CW169" s="20">
        <f t="shared" si="174"/>
        <v>484.80575132371092</v>
      </c>
      <c r="CX169" s="59">
        <f t="shared" si="122"/>
        <v>778.13908465704424</v>
      </c>
      <c r="CY169" s="59">
        <f ca="1">AVERAGE(OFFSET($CX$3,0,0,'Données projet'!$E$13+1,1))-AVERAGE(OFFSET($H$3,0,0,'Données projet'!$E$13+1,1))</f>
        <v>302.6937347295995</v>
      </c>
      <c r="CZ169" s="59">
        <f t="shared" si="150"/>
        <v>423.44006663873375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4.0983450201419538E-2</v>
      </c>
      <c r="DG169" s="21">
        <f>EXP(-LN(2)/25)*DG168+(1-EXP(-LN(2)/25))/(LN(2)/25)*Calculateur!DB169*Calculateur!DD169*VLOOKUP('Données projet'!$B$13,Paramètres!$A$1:$I$89,3,0)*0.475*44/12</f>
        <v>9.8804314364340992E-2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0.13978776456576053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-4.3983163777738812E-13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366.51581861366333</v>
      </c>
      <c r="DU169" s="59">
        <f t="shared" si="152"/>
        <v>225.01415116995503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137.61801308858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137.61801308858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328.00000000000017</v>
      </c>
      <c r="EK169" s="17">
        <f>EJ169*VLOOKUP('Données projet'!$B$15,Paramètres!$A$1:$I$89,3,0)*VLOOKUP('Données projet'!$B$15,Paramètres!$A$1:$I$89,5,0)</f>
        <v>255.84000000000015</v>
      </c>
      <c r="EL169" s="13">
        <f t="shared" si="179"/>
        <v>61.834803371075886</v>
      </c>
      <c r="EM169" s="20">
        <f t="shared" si="180"/>
        <v>553.28361587129086</v>
      </c>
      <c r="EN169" s="59">
        <f t="shared" si="128"/>
        <v>846.61694920462423</v>
      </c>
      <c r="EO169" s="59">
        <f ca="1">AVERAGE(OFFSET($EN$3,0,0,'Données projet'!$E$15+1,1))-AVERAGE(OFFSET($H$3,0,0,'Données projet'!$E$15+1,1))</f>
        <v>288.80569134263209</v>
      </c>
      <c r="EP169" s="59">
        <f t="shared" si="154"/>
        <v>283.48738729114024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2.9770165877355419</v>
      </c>
      <c r="EW169" s="21">
        <f>EXP(-LN(2)/25)*EW168+(1-EXP(-LN(2)/25))/(LN(2)/25)*Calculateur!ER169*Calculateur!ET169*VLOOKUP('Données projet'!$B$15,Paramètres!$A$1:$I$89,3,0)*0.475*44/12</f>
        <v>1.3418070070171935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4.3188235947527351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-1.0197709343628959E-13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323.17232038705157</v>
      </c>
      <c r="FK169" s="59">
        <f t="shared" si="156"/>
        <v>402.34685738619197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18.436902738670607</v>
      </c>
      <c r="FR169" s="21">
        <f>EXP(-LN(2)/25)*FR168+(1-EXP(-LN(2)/25))/(LN(2)/25)*Calculateur!FM169*Calculateur!FO169*VLOOKUP('Données projet'!$B$16,Paramètres!$A$1:$I$89,3,0)*0.475*44/12</f>
        <v>2.0936108658501946</v>
      </c>
      <c r="FS169" s="21">
        <f>EXP(-LN(2)/2)*FS168+(1-EXP(-LN(2)/2))/(LN(2)/2)*FM169*FP169*VLOOKUP('Données projet'!$B$16,Paramètres!$A$1:$I$89,3,0)*0.475*44/12</f>
        <v>1.1215020840563009E-15</v>
      </c>
      <c r="FT169" s="22">
        <f t="shared" si="184"/>
        <v>20.530513604520802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328.00000000000017</v>
      </c>
      <c r="GA169" s="17">
        <f>FZ169*VLOOKUP('Données projet'!$B$17,Paramètres!$A$1:$I$89,3,0)*VLOOKUP('Données projet'!$B$17,Paramètres!$A$1:$I$89,5,0)</f>
        <v>266.07360000000017</v>
      </c>
      <c r="GB169" s="13">
        <f t="shared" si="185"/>
        <v>64.015279012301136</v>
      </c>
      <c r="GC169" s="20">
        <f t="shared" si="186"/>
        <v>574.90479761309132</v>
      </c>
      <c r="GD169" s="59">
        <f t="shared" si="134"/>
        <v>868.23813094642469</v>
      </c>
      <c r="GE169" s="59">
        <f ca="1">AVERAGE(OFFSET($GD$3,0,0,'Données projet'!$E$17+1,1))-AVERAGE(OFFSET($H$3,0,0,'Données projet'!$E$17+1,1))</f>
        <v>298.96480270023716</v>
      </c>
      <c r="GF169" s="59">
        <f t="shared" si="158"/>
        <v>293.11447542333889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3.8161198678135602</v>
      </c>
      <c r="GM169" s="21">
        <f>EXP(-LN(2)/25)*GM168+(1-EXP(-LN(2)/25))/(LN(2)/25)*Calculateur!GH169*Calculateur!GJ169*VLOOKUP('Données projet'!$B$17,Paramètres!$A$1:$I$89,3,0)*0.475*44/12</f>
        <v>1.7200093541113406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5.5361292219249005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-1.4210854715202004E-13</v>
      </c>
      <c r="GV169" s="17">
        <f>GU169*VLOOKUP('Données projet'!$B$18,Paramètres!$A$1:$I$89,3,0)*VLOOKUP('Données projet'!$B$18,Paramètres!$A$1:$I$89,5,0)</f>
        <v>-8.128608897095547E-14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320.76883487964511</v>
      </c>
      <c r="HA169" s="59">
        <f t="shared" si="160"/>
        <v>290.51177680335746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30.152637945691449</v>
      </c>
      <c r="HH169" s="21">
        <f>EXP(-LN(2)/25)*HH168+(1-EXP(-LN(2)/25))/(LN(2)/25)*Calculateur!HC169*Calculateur!HE169*VLOOKUP('Données projet'!$B$18,Paramètres!$A$1:$I$89,3,0)*0.475*44/12</f>
        <v>4.0547133441435719</v>
      </c>
      <c r="HI169" s="21">
        <f>EXP(-LN(2)/2)*HI168+(1-EXP(-LN(2)/2))/(LN(2)/2)*HC169*HF169*VLOOKUP('Données projet'!$B$18,Paramètres!$A$1:$I$89,3,0)*0.475*44/12</f>
        <v>1.1576898872312863E-10</v>
      </c>
      <c r="HJ169" s="22">
        <f t="shared" si="190"/>
        <v>34.207351289950786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5.763922672485933E-13</v>
      </c>
      <c r="AK170" s="13">
        <f t="shared" si="164"/>
        <v>7.0619171555808457E-12</v>
      </c>
      <c r="AL170" s="20">
        <f t="shared" si="165"/>
        <v>1.3303388911427938E-11</v>
      </c>
      <c r="AM170" s="59">
        <f t="shared" si="113"/>
        <v>293.33333333334662</v>
      </c>
      <c r="AN170" s="59">
        <f ca="1">AVERAGE(OFFSET($AM$3,0,0,'Données projet'!$E$10+1,1))-AVERAGE(OFFSET($H$3,0,0,'Données projet'!$E$10+1,1))</f>
        <v>425.47148407510412</v>
      </c>
      <c r="AO170" s="59">
        <f t="shared" si="144"/>
        <v>308.54448799922471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93.932224259693157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93.932224259693157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212.00000000000009</v>
      </c>
      <c r="BE170" s="13">
        <f>BD170*VLOOKUP('Données projet'!$B$11,Paramètres!$A$1:$I$89,3,0)*VLOOKUP('Données projet'!$B$11,Paramètres!$A$1:$I$89,5,0)</f>
        <v>185.20320000000009</v>
      </c>
      <c r="BF170" s="13">
        <f t="shared" si="167"/>
        <v>46.477875402099386</v>
      </c>
      <c r="BG170" s="20">
        <f t="shared" si="168"/>
        <v>403.5112063253232</v>
      </c>
      <c r="BH170" s="59">
        <f t="shared" si="116"/>
        <v>696.84453965865646</v>
      </c>
      <c r="BI170" s="59">
        <f ca="1">AVERAGE(OFFSET($BH$3,0,0,'Données projet'!$E$11+1,1))-AVERAGE(OFFSET($H$3,0,0,'Données projet'!$E$11+1,1))</f>
        <v>300.63505444445104</v>
      </c>
      <c r="BJ170" s="59">
        <f t="shared" si="146"/>
        <v>266.32508105927997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3.9621843982225133</v>
      </c>
      <c r="BQ170" s="21">
        <f>EXP(-LN(2)/25)*BQ169+(1-EXP(-LN(2)/25))/(LN(2)/25)*Calculateur!BL170*Calculateur!BN170*VLOOKUP('Données projet'!$B$11,Paramètres!$A$1:$I$89,3,0)*0.475*44/12</f>
        <v>2.1825692963371144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6.1447536945596273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-4.3273757910355926E-13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361.26385625423757</v>
      </c>
      <c r="CE170" s="59">
        <f t="shared" si="148"/>
        <v>222.05197404028576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132.74328831011891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132.74328831011891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247.00000000000017</v>
      </c>
      <c r="CU170" s="17">
        <f>CT170*VLOOKUP('Données projet'!$B$13,Paramètres!$A$1:$I$89,3,0)*VLOOKUP('Données projet'!$B$13,Paramètres!$A$1:$I$89,5,0)</f>
        <v>223.48560000000012</v>
      </c>
      <c r="CV170" s="13">
        <f t="shared" si="173"/>
        <v>54.87176918107798</v>
      </c>
      <c r="CW170" s="20">
        <f t="shared" si="174"/>
        <v>484.80575132371092</v>
      </c>
      <c r="CX170" s="59">
        <f t="shared" si="122"/>
        <v>778.13908465704424</v>
      </c>
      <c r="CY170" s="59">
        <f ca="1">AVERAGE(OFFSET($CX$3,0,0,'Données projet'!$E$13+1,1))-AVERAGE(OFFSET($H$3,0,0,'Données projet'!$E$13+1,1))</f>
        <v>302.6937347295995</v>
      </c>
      <c r="CZ170" s="59">
        <f t="shared" si="150"/>
        <v>423.44006663873375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4.0179789740406036E-2</v>
      </c>
      <c r="DG170" s="21">
        <f>EXP(-LN(2)/25)*DG169+(1-EXP(-LN(2)/25))/(LN(2)/25)*Calculateur!DB170*Calculateur!DD170*VLOOKUP('Données projet'!$B$13,Paramètres!$A$1:$I$89,3,0)*0.475*44/12</f>
        <v>9.6102505192155019E-2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0.13628229493256105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-4.3983163777738812E-13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366.51581861366333</v>
      </c>
      <c r="DU170" s="59">
        <f t="shared" si="152"/>
        <v>225.01415116995503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134.91940779061267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134.91940779061267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328.00000000000017</v>
      </c>
      <c r="EK170" s="17">
        <f>EJ170*VLOOKUP('Données projet'!$B$15,Paramètres!$A$1:$I$89,3,0)*VLOOKUP('Données projet'!$B$15,Paramètres!$A$1:$I$89,5,0)</f>
        <v>255.84000000000015</v>
      </c>
      <c r="EL170" s="13">
        <f t="shared" si="179"/>
        <v>61.834803371075886</v>
      </c>
      <c r="EM170" s="20">
        <f t="shared" si="180"/>
        <v>553.28361587129086</v>
      </c>
      <c r="EN170" s="59">
        <f t="shared" si="128"/>
        <v>846.61694920462423</v>
      </c>
      <c r="EO170" s="59">
        <f ca="1">AVERAGE(OFFSET($EN$3,0,0,'Données projet'!$E$15+1,1))-AVERAGE(OFFSET($H$3,0,0,'Données projet'!$E$15+1,1))</f>
        <v>288.80569134263209</v>
      </c>
      <c r="EP170" s="59">
        <f t="shared" si="154"/>
        <v>283.48738729114024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2.9186391082508711</v>
      </c>
      <c r="EW170" s="21">
        <f>EXP(-LN(2)/25)*EW169+(1-EXP(-LN(2)/25))/(LN(2)/25)*Calculateur!ER170*Calculateur!ET170*VLOOKUP('Données projet'!$B$15,Paramètres!$A$1:$I$89,3,0)*0.475*44/12</f>
        <v>1.3051152238477446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4.2237543320986157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-1.0197709343628959E-13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323.17232038705157</v>
      </c>
      <c r="FK170" s="59">
        <f t="shared" si="156"/>
        <v>402.34685738619197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18.075366321365557</v>
      </c>
      <c r="FR170" s="21">
        <f>EXP(-LN(2)/25)*FR169+(1-EXP(-LN(2)/25))/(LN(2)/25)*Calculateur!FM170*Calculateur!FO170*VLOOKUP('Données projet'!$B$16,Paramètres!$A$1:$I$89,3,0)*0.475*44/12</f>
        <v>2.0363609666253106</v>
      </c>
      <c r="FS170" s="21">
        <f>EXP(-LN(2)/2)*FS169+(1-EXP(-LN(2)/2))/(LN(2)/2)*FM170*FP170*VLOOKUP('Données projet'!$B$16,Paramètres!$A$1:$I$89,3,0)*0.475*44/12</f>
        <v>7.9302172875105579E-16</v>
      </c>
      <c r="FT170" s="22">
        <f t="shared" si="184"/>
        <v>20.111727287990867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328.00000000000017</v>
      </c>
      <c r="GA170" s="17">
        <f>FZ170*VLOOKUP('Données projet'!$B$17,Paramètres!$A$1:$I$89,3,0)*VLOOKUP('Données projet'!$B$17,Paramètres!$A$1:$I$89,5,0)</f>
        <v>266.07360000000017</v>
      </c>
      <c r="GB170" s="13">
        <f t="shared" si="185"/>
        <v>64.015279012301136</v>
      </c>
      <c r="GC170" s="20">
        <f t="shared" si="186"/>
        <v>574.90479761309132</v>
      </c>
      <c r="GD170" s="59">
        <f t="shared" si="134"/>
        <v>868.23813094642469</v>
      </c>
      <c r="GE170" s="59">
        <f ca="1">AVERAGE(OFFSET($GD$3,0,0,'Données projet'!$E$17+1,1))-AVERAGE(OFFSET($H$3,0,0,'Données projet'!$E$17+1,1))</f>
        <v>298.96480270023716</v>
      </c>
      <c r="GF170" s="59">
        <f t="shared" si="158"/>
        <v>293.11447542333889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3.7412880848090238</v>
      </c>
      <c r="GM170" s="21">
        <f>EXP(-LN(2)/25)*GM169+(1-EXP(-LN(2)/25))/(LN(2)/25)*Calculateur!GH170*Calculateur!GJ170*VLOOKUP('Données projet'!$B$17,Paramètres!$A$1:$I$89,3,0)*0.475*44/12</f>
        <v>1.6729756078718052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5.4142636926808292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-1.4210854715202004E-13</v>
      </c>
      <c r="GV170" s="17">
        <f>GU170*VLOOKUP('Données projet'!$B$18,Paramètres!$A$1:$I$89,3,0)*VLOOKUP('Données projet'!$B$18,Paramètres!$A$1:$I$89,5,0)</f>
        <v>-8.128608897095547E-14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320.76883487964511</v>
      </c>
      <c r="HA170" s="59">
        <f t="shared" si="160"/>
        <v>290.51177680335746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29.561363106869596</v>
      </c>
      <c r="HH170" s="21">
        <f>EXP(-LN(2)/25)*HH169+(1-EXP(-LN(2)/25))/(LN(2)/25)*Calculateur!HC170*Calculateur!HE170*VLOOKUP('Données projet'!$B$18,Paramètres!$A$1:$I$89,3,0)*0.475*44/12</f>
        <v>3.9438369945198581</v>
      </c>
      <c r="HI170" s="21">
        <f>EXP(-LN(2)/2)*HI169+(1-EXP(-LN(2)/2))/(LN(2)/2)*HC170*HF170*VLOOKUP('Données projet'!$B$18,Paramètres!$A$1:$I$89,3,0)*0.475*44/12</f>
        <v>8.1861036977233211E-11</v>
      </c>
      <c r="HJ170" s="22">
        <f t="shared" si="190"/>
        <v>33.505200101471317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5.763922672485933E-13</v>
      </c>
      <c r="AK171" s="13">
        <f t="shared" si="164"/>
        <v>7.0619171555808457E-12</v>
      </c>
      <c r="AL171" s="20">
        <f t="shared" si="165"/>
        <v>1.3303388911427938E-11</v>
      </c>
      <c r="AM171" s="59">
        <f t="shared" si="113"/>
        <v>293.33333333334662</v>
      </c>
      <c r="AN171" s="59">
        <f ca="1">AVERAGE(OFFSET($AM$3,0,0,'Données projet'!$E$10+1,1))-AVERAGE(OFFSET($H$3,0,0,'Données projet'!$E$10+1,1))</f>
        <v>425.47148407510412</v>
      </c>
      <c r="AO171" s="59">
        <f t="shared" si="144"/>
        <v>308.54448799922471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92.090270634960163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92.090270634960163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212.00000000000009</v>
      </c>
      <c r="BE171" s="13">
        <f>BD171*VLOOKUP('Données projet'!$B$11,Paramètres!$A$1:$I$89,3,0)*VLOOKUP('Données projet'!$B$11,Paramètres!$A$1:$I$89,5,0)</f>
        <v>185.20320000000009</v>
      </c>
      <c r="BF171" s="13">
        <f t="shared" si="167"/>
        <v>46.477875402099386</v>
      </c>
      <c r="BG171" s="20">
        <f t="shared" si="168"/>
        <v>403.5112063253232</v>
      </c>
      <c r="BH171" s="59">
        <f t="shared" si="116"/>
        <v>696.84453965865646</v>
      </c>
      <c r="BI171" s="59">
        <f ca="1">AVERAGE(OFFSET($BH$3,0,0,'Données projet'!$E$11+1,1))-AVERAGE(OFFSET($H$3,0,0,'Données projet'!$E$11+1,1))</f>
        <v>300.63505444445104</v>
      </c>
      <c r="BJ171" s="59">
        <f t="shared" si="146"/>
        <v>266.32508105927997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3.884488378867224</v>
      </c>
      <c r="BQ171" s="21">
        <f>EXP(-LN(2)/25)*BQ170+(1-EXP(-LN(2)/25))/(LN(2)/25)*Calculateur!BL171*Calculateur!BN171*VLOOKUP('Données projet'!$B$11,Paramètres!$A$1:$I$89,3,0)*0.475*44/12</f>
        <v>2.1228868241524452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6.0073752030196692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-4.3273757910355926E-13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361.26385625423757</v>
      </c>
      <c r="CE171" s="59">
        <f t="shared" si="148"/>
        <v>222.05197404028576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130.14027339176869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130.14027339176869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247.00000000000017</v>
      </c>
      <c r="CU171" s="17">
        <f>CT171*VLOOKUP('Données projet'!$B$13,Paramètres!$A$1:$I$89,3,0)*VLOOKUP('Données projet'!$B$13,Paramètres!$A$1:$I$89,5,0)</f>
        <v>223.48560000000012</v>
      </c>
      <c r="CV171" s="13">
        <f t="shared" si="173"/>
        <v>54.87176918107798</v>
      </c>
      <c r="CW171" s="20">
        <f t="shared" si="174"/>
        <v>484.80575132371092</v>
      </c>
      <c r="CX171" s="59">
        <f t="shared" si="122"/>
        <v>778.13908465704424</v>
      </c>
      <c r="CY171" s="59">
        <f ca="1">AVERAGE(OFFSET($CX$3,0,0,'Données projet'!$E$13+1,1))-AVERAGE(OFFSET($H$3,0,0,'Données projet'!$E$13+1,1))</f>
        <v>302.6937347295995</v>
      </c>
      <c r="CZ171" s="59">
        <f t="shared" si="150"/>
        <v>423.44006663873375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3.9391888570848528E-2</v>
      </c>
      <c r="DG171" s="21">
        <f>EXP(-LN(2)/25)*DG170+(1-EXP(-LN(2)/25))/(LN(2)/25)*Calculateur!DB171*Calculateur!DD171*VLOOKUP('Données projet'!$B$13,Paramètres!$A$1:$I$89,3,0)*0.475*44/12</f>
        <v>9.3474577133864437E-2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0.13286646570471297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-4.3983163777738812E-13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366.51581861366333</v>
      </c>
      <c r="DU171" s="59">
        <f t="shared" si="152"/>
        <v>225.01415116995503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132.27372049655176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132.27372049655176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328.00000000000017</v>
      </c>
      <c r="EK171" s="17">
        <f>EJ171*VLOOKUP('Données projet'!$B$15,Paramètres!$A$1:$I$89,3,0)*VLOOKUP('Données projet'!$B$15,Paramètres!$A$1:$I$89,5,0)</f>
        <v>255.84000000000015</v>
      </c>
      <c r="EL171" s="13">
        <f t="shared" si="179"/>
        <v>61.834803371075886</v>
      </c>
      <c r="EM171" s="20">
        <f t="shared" si="180"/>
        <v>553.28361587129086</v>
      </c>
      <c r="EN171" s="59">
        <f t="shared" si="128"/>
        <v>846.61694920462423</v>
      </c>
      <c r="EO171" s="59">
        <f ca="1">AVERAGE(OFFSET($EN$3,0,0,'Données projet'!$E$15+1,1))-AVERAGE(OFFSET($H$3,0,0,'Données projet'!$E$15+1,1))</f>
        <v>288.80569134263209</v>
      </c>
      <c r="EP171" s="59">
        <f t="shared" si="154"/>
        <v>283.48738729114024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2.8614063755321482</v>
      </c>
      <c r="EW171" s="21">
        <f>EXP(-LN(2)/25)*EW170+(1-EXP(-LN(2)/25))/(LN(2)/25)*Calculateur!ER171*Calculateur!ET171*VLOOKUP('Données projet'!$B$15,Paramètres!$A$1:$I$89,3,0)*0.475*44/12</f>
        <v>1.2694267794186014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4.13083315495075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-1.0197709343628959E-13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323.17232038705157</v>
      </c>
      <c r="FK171" s="59">
        <f t="shared" si="156"/>
        <v>402.34685738619197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17.720919412688417</v>
      </c>
      <c r="FR171" s="21">
        <f>EXP(-LN(2)/25)*FR170+(1-EXP(-LN(2)/25))/(LN(2)/25)*Calculateur!FM171*Calculateur!FO171*VLOOKUP('Données projet'!$B$16,Paramètres!$A$1:$I$89,3,0)*0.475*44/12</f>
        <v>1.9806765689053725</v>
      </c>
      <c r="FS171" s="21">
        <f>EXP(-LN(2)/2)*FS170+(1-EXP(-LN(2)/2))/(LN(2)/2)*FM171*FP171*VLOOKUP('Données projet'!$B$16,Paramètres!$A$1:$I$89,3,0)*0.475*44/12</f>
        <v>5.6075104202815044E-16</v>
      </c>
      <c r="FT171" s="22">
        <f t="shared" si="184"/>
        <v>19.70159598159379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328.00000000000017</v>
      </c>
      <c r="GA171" s="17">
        <f>FZ171*VLOOKUP('Données projet'!$B$17,Paramètres!$A$1:$I$89,3,0)*VLOOKUP('Données projet'!$B$17,Paramètres!$A$1:$I$89,5,0)</f>
        <v>266.07360000000017</v>
      </c>
      <c r="GB171" s="13">
        <f t="shared" si="185"/>
        <v>64.015279012301136</v>
      </c>
      <c r="GC171" s="20">
        <f t="shared" si="186"/>
        <v>574.90479761309132</v>
      </c>
      <c r="GD171" s="59">
        <f t="shared" si="134"/>
        <v>868.23813094642469</v>
      </c>
      <c r="GE171" s="59">
        <f ca="1">AVERAGE(OFFSET($GD$3,0,0,'Données projet'!$E$17+1,1))-AVERAGE(OFFSET($H$3,0,0,'Données projet'!$E$17+1,1))</f>
        <v>298.96480270023716</v>
      </c>
      <c r="GF171" s="59">
        <f t="shared" si="158"/>
        <v>293.11447542333889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3.6679237074263256</v>
      </c>
      <c r="GM171" s="21">
        <f>EXP(-LN(2)/25)*GM170+(1-EXP(-LN(2)/25))/(LN(2)/25)*Calculateur!GH171*Calculateur!GJ171*VLOOKUP('Données projet'!$B$17,Paramètres!$A$1:$I$89,3,0)*0.475*44/12</f>
        <v>1.6272280018965872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5.295151709322913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-1.4210854715202004E-13</v>
      </c>
      <c r="GV171" s="17">
        <f>GU171*VLOOKUP('Données projet'!$B$18,Paramètres!$A$1:$I$89,3,0)*VLOOKUP('Données projet'!$B$18,Paramètres!$A$1:$I$89,5,0)</f>
        <v>-8.128608897095547E-14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320.76883487964511</v>
      </c>
      <c r="HA171" s="59">
        <f t="shared" si="160"/>
        <v>290.51177680335746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28.981682806995</v>
      </c>
      <c r="HH171" s="21">
        <f>EXP(-LN(2)/25)*HH170+(1-EXP(-LN(2)/25))/(LN(2)/25)*Calculateur!HC171*Calculateur!HE171*VLOOKUP('Données projet'!$B$18,Paramètres!$A$1:$I$89,3,0)*0.475*44/12</f>
        <v>3.8359925645073387</v>
      </c>
      <c r="HI171" s="21">
        <f>EXP(-LN(2)/2)*HI170+(1-EXP(-LN(2)/2))/(LN(2)/2)*HC171*HF171*VLOOKUP('Données projet'!$B$18,Paramètres!$A$1:$I$89,3,0)*0.475*44/12</f>
        <v>5.7884494361564324E-11</v>
      </c>
      <c r="HJ171" s="22">
        <f t="shared" si="190"/>
        <v>32.817675371560227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5.763922672485933E-13</v>
      </c>
      <c r="AK172" s="13">
        <f t="shared" si="164"/>
        <v>7.0619171555808457E-12</v>
      </c>
      <c r="AL172" s="20">
        <f t="shared" si="165"/>
        <v>1.3303388911427938E-11</v>
      </c>
      <c r="AM172" s="59">
        <f t="shared" si="113"/>
        <v>293.33333333334662</v>
      </c>
      <c r="AN172" s="59">
        <f ca="1">AVERAGE(OFFSET($AM$3,0,0,'Données projet'!$E$10+1,1))-AVERAGE(OFFSET($H$3,0,0,'Données projet'!$E$10+1,1))</f>
        <v>425.47148407510412</v>
      </c>
      <c r="AO172" s="59">
        <f t="shared" si="144"/>
        <v>308.54448799922471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90.284436597327399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90.284436597327399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212.00000000000009</v>
      </c>
      <c r="BE172" s="13">
        <f>BD172*VLOOKUP('Données projet'!$B$11,Paramètres!$A$1:$I$89,3,0)*VLOOKUP('Données projet'!$B$11,Paramètres!$A$1:$I$89,5,0)</f>
        <v>185.20320000000009</v>
      </c>
      <c r="BF172" s="13">
        <f t="shared" si="167"/>
        <v>46.477875402099386</v>
      </c>
      <c r="BG172" s="20">
        <f t="shared" si="168"/>
        <v>403.5112063253232</v>
      </c>
      <c r="BH172" s="59">
        <f t="shared" si="116"/>
        <v>696.84453965865646</v>
      </c>
      <c r="BI172" s="59">
        <f ca="1">AVERAGE(OFFSET($BH$3,0,0,'Données projet'!$E$11+1,1))-AVERAGE(OFFSET($H$3,0,0,'Données projet'!$E$11+1,1))</f>
        <v>300.63505444445104</v>
      </c>
      <c r="BJ172" s="59">
        <f t="shared" si="146"/>
        <v>266.32508105927997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3.8083159310615997</v>
      </c>
      <c r="BQ172" s="21">
        <f>EXP(-LN(2)/25)*BQ171+(1-EXP(-LN(2)/25))/(LN(2)/25)*Calculateur!BL172*Calculateur!BN172*VLOOKUP('Données projet'!$B$11,Paramètres!$A$1:$I$89,3,0)*0.475*44/12</f>
        <v>2.0648363723082306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5.8731523033698299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-4.3273757910355926E-13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361.26385625423757</v>
      </c>
      <c r="CE172" s="59">
        <f t="shared" si="148"/>
        <v>222.05197404028576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127.58830200828497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127.58830200828497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247.00000000000017</v>
      </c>
      <c r="CU172" s="17">
        <f>CT172*VLOOKUP('Données projet'!$B$13,Paramètres!$A$1:$I$89,3,0)*VLOOKUP('Données projet'!$B$13,Paramètres!$A$1:$I$89,5,0)</f>
        <v>223.48560000000012</v>
      </c>
      <c r="CV172" s="13">
        <f t="shared" si="173"/>
        <v>54.87176918107798</v>
      </c>
      <c r="CW172" s="20">
        <f t="shared" si="174"/>
        <v>484.80575132371092</v>
      </c>
      <c r="CX172" s="59">
        <f t="shared" si="122"/>
        <v>778.13908465704424</v>
      </c>
      <c r="CY172" s="59">
        <f ca="1">AVERAGE(OFFSET($CX$3,0,0,'Données projet'!$E$13+1,1))-AVERAGE(OFFSET($H$3,0,0,'Données projet'!$E$13+1,1))</f>
        <v>302.6937347295995</v>
      </c>
      <c r="CZ172" s="59">
        <f t="shared" si="150"/>
        <v>423.44006663873375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3.8619437662653779E-2</v>
      </c>
      <c r="DG172" s="21">
        <f>EXP(-LN(2)/25)*DG171+(1-EXP(-LN(2)/25))/(LN(2)/25)*Calculateur!DB172*Calculateur!DD172*VLOOKUP('Données projet'!$B$13,Paramètres!$A$1:$I$89,3,0)*0.475*44/12</f>
        <v>9.0918509906524544E-2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0.12953794756917833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-4.3983163777738812E-13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366.51581861366333</v>
      </c>
      <c r="DU172" s="59">
        <f t="shared" si="152"/>
        <v>225.01415116995503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129.67991351661749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129.67991351661749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328.00000000000017</v>
      </c>
      <c r="EK172" s="17">
        <f>EJ172*VLOOKUP('Données projet'!$B$15,Paramètres!$A$1:$I$89,3,0)*VLOOKUP('Données projet'!$B$15,Paramètres!$A$1:$I$89,5,0)</f>
        <v>255.84000000000015</v>
      </c>
      <c r="EL172" s="13">
        <f t="shared" si="179"/>
        <v>61.834803371075886</v>
      </c>
      <c r="EM172" s="20">
        <f t="shared" si="180"/>
        <v>553.28361587129086</v>
      </c>
      <c r="EN172" s="59">
        <f t="shared" si="128"/>
        <v>846.61694920462423</v>
      </c>
      <c r="EO172" s="59">
        <f ca="1">AVERAGE(OFFSET($EN$3,0,0,'Données projet'!$E$15+1,1))-AVERAGE(OFFSET($H$3,0,0,'Données projet'!$E$15+1,1))</f>
        <v>288.80569134263209</v>
      </c>
      <c r="EP172" s="59">
        <f t="shared" si="154"/>
        <v>283.48738729114024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2.8052959417935193</v>
      </c>
      <c r="EW172" s="21">
        <f>EXP(-LN(2)/25)*EW171+(1-EXP(-LN(2)/25))/(LN(2)/25)*Calculateur!ER172*Calculateur!ET172*VLOOKUP('Données projet'!$B$15,Paramètres!$A$1:$I$89,3,0)*0.475*44/12</f>
        <v>1.2347142373791467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4.0400101791726657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-1.0197709343628959E-13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323.17232038705157</v>
      </c>
      <c r="FK172" s="59">
        <f t="shared" si="156"/>
        <v>402.34685738619197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17.373422991699169</v>
      </c>
      <c r="FR172" s="21">
        <f>EXP(-LN(2)/25)*FR171+(1-EXP(-LN(2)/25))/(LN(2)/25)*Calculateur!FM172*Calculateur!FO172*VLOOKUP('Données projet'!$B$16,Paramètres!$A$1:$I$89,3,0)*0.475*44/12</f>
        <v>1.9265148639694012</v>
      </c>
      <c r="FS172" s="21">
        <f>EXP(-LN(2)/2)*FS171+(1-EXP(-LN(2)/2))/(LN(2)/2)*FM172*FP172*VLOOKUP('Données projet'!$B$16,Paramètres!$A$1:$I$89,3,0)*0.475*44/12</f>
        <v>3.965108643755279E-16</v>
      </c>
      <c r="FT172" s="22">
        <f t="shared" si="184"/>
        <v>19.299937855668571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328.00000000000017</v>
      </c>
      <c r="GA172" s="17">
        <f>FZ172*VLOOKUP('Données projet'!$B$17,Paramètres!$A$1:$I$89,3,0)*VLOOKUP('Données projet'!$B$17,Paramètres!$A$1:$I$89,5,0)</f>
        <v>266.07360000000017</v>
      </c>
      <c r="GB172" s="13">
        <f t="shared" si="185"/>
        <v>64.015279012301136</v>
      </c>
      <c r="GC172" s="20">
        <f t="shared" si="186"/>
        <v>574.90479761309132</v>
      </c>
      <c r="GD172" s="59">
        <f t="shared" si="134"/>
        <v>868.23813094642469</v>
      </c>
      <c r="GE172" s="59">
        <f ca="1">AVERAGE(OFFSET($GD$3,0,0,'Données projet'!$E$17+1,1))-AVERAGE(OFFSET($H$3,0,0,'Données projet'!$E$17+1,1))</f>
        <v>298.96480270023716</v>
      </c>
      <c r="GF172" s="59">
        <f t="shared" si="158"/>
        <v>293.11447542333889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3.5959979607362507</v>
      </c>
      <c r="GM172" s="21">
        <f>EXP(-LN(2)/25)*GM171+(1-EXP(-LN(2)/25))/(LN(2)/25)*Calculateur!GH172*Calculateur!GJ172*VLOOKUP('Données projet'!$B$17,Paramètres!$A$1:$I$89,3,0)*0.475*44/12</f>
        <v>1.5827313666125236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5.1787293273487744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-1.4210854715202004E-13</v>
      </c>
      <c r="GV172" s="17">
        <f>GU172*VLOOKUP('Données projet'!$B$18,Paramètres!$A$1:$I$89,3,0)*VLOOKUP('Données projet'!$B$18,Paramètres!$A$1:$I$89,5,0)</f>
        <v>-8.128608897095547E-14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320.76883487964511</v>
      </c>
      <c r="HA172" s="59">
        <f t="shared" si="160"/>
        <v>290.51177680335746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28.413369684230872</v>
      </c>
      <c r="HH172" s="21">
        <f>EXP(-LN(2)/25)*HH171+(1-EXP(-LN(2)/25))/(LN(2)/25)*Calculateur!HC172*Calculateur!HE172*VLOOKUP('Données projet'!$B$18,Paramètres!$A$1:$I$89,3,0)*0.475*44/12</f>
        <v>3.7310971461048039</v>
      </c>
      <c r="HI172" s="21">
        <f>EXP(-LN(2)/2)*HI171+(1-EXP(-LN(2)/2))/(LN(2)/2)*HC172*HF172*VLOOKUP('Données projet'!$B$18,Paramètres!$A$1:$I$89,3,0)*0.475*44/12</f>
        <v>4.0930518488616612E-11</v>
      </c>
      <c r="HJ172" s="22">
        <f t="shared" si="190"/>
        <v>32.144466830376601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5.763922672485933E-13</v>
      </c>
      <c r="AK173" s="13">
        <f t="shared" si="164"/>
        <v>7.0619171555808457E-12</v>
      </c>
      <c r="AL173" s="20">
        <f t="shared" si="165"/>
        <v>1.3303388911427938E-11</v>
      </c>
      <c r="AM173" s="59">
        <f t="shared" si="113"/>
        <v>293.33333333334662</v>
      </c>
      <c r="AN173" s="59">
        <f ca="1">AVERAGE(OFFSET($AM$3,0,0,'Données projet'!$E$10+1,1))-AVERAGE(OFFSET($H$3,0,0,'Données projet'!$E$10+1,1))</f>
        <v>425.47148407510412</v>
      </c>
      <c r="AO173" s="59">
        <f t="shared" si="144"/>
        <v>308.54448799922471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88.51401386372261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88.51401386372261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212.00000000000009</v>
      </c>
      <c r="BE173" s="13">
        <f>BD173*VLOOKUP('Données projet'!$B$11,Paramètres!$A$1:$I$89,3,0)*VLOOKUP('Données projet'!$B$11,Paramètres!$A$1:$I$89,5,0)</f>
        <v>185.20320000000009</v>
      </c>
      <c r="BF173" s="13">
        <f t="shared" si="167"/>
        <v>46.477875402099386</v>
      </c>
      <c r="BG173" s="20">
        <f t="shared" si="168"/>
        <v>403.5112063253232</v>
      </c>
      <c r="BH173" s="59">
        <f t="shared" si="116"/>
        <v>696.84453965865646</v>
      </c>
      <c r="BI173" s="59">
        <f ca="1">AVERAGE(OFFSET($BH$3,0,0,'Données projet'!$E$11+1,1))-AVERAGE(OFFSET($H$3,0,0,'Données projet'!$E$11+1,1))</f>
        <v>300.63505444445104</v>
      </c>
      <c r="BJ173" s="59">
        <f t="shared" si="146"/>
        <v>266.32508105927997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3.7336371784968381</v>
      </c>
      <c r="BQ173" s="21">
        <f>EXP(-LN(2)/25)*BQ172+(1-EXP(-LN(2)/25))/(LN(2)/25)*Calculateur!BL173*Calculateur!BN173*VLOOKUP('Données projet'!$B$11,Paramètres!$A$1:$I$89,3,0)*0.475*44/12</f>
        <v>2.0083733131224366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5.7420104916192747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-4.3273757910355926E-13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361.26385625423757</v>
      </c>
      <c r="CE173" s="59">
        <f t="shared" si="148"/>
        <v>222.05197404028576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125.08637322708252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125.08637322708252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247.00000000000017</v>
      </c>
      <c r="CU173" s="17">
        <f>CT173*VLOOKUP('Données projet'!$B$13,Paramètres!$A$1:$I$89,3,0)*VLOOKUP('Données projet'!$B$13,Paramètres!$A$1:$I$89,5,0)</f>
        <v>223.48560000000012</v>
      </c>
      <c r="CV173" s="13">
        <f t="shared" si="173"/>
        <v>54.87176918107798</v>
      </c>
      <c r="CW173" s="20">
        <f t="shared" si="174"/>
        <v>484.80575132371092</v>
      </c>
      <c r="CX173" s="59">
        <f t="shared" si="122"/>
        <v>778.13908465704424</v>
      </c>
      <c r="CY173" s="59">
        <f ca="1">AVERAGE(OFFSET($CX$3,0,0,'Données projet'!$E$13+1,1))-AVERAGE(OFFSET($H$3,0,0,'Données projet'!$E$13+1,1))</f>
        <v>302.6937347295995</v>
      </c>
      <c r="CZ173" s="59">
        <f t="shared" si="150"/>
        <v>423.44006663873375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3.7862134045620194E-2</v>
      </c>
      <c r="DG173" s="21">
        <f>EXP(-LN(2)/25)*DG172+(1-EXP(-LN(2)/25))/(LN(2)/25)*Calculateur!DB173*Calculateur!DD173*VLOOKUP('Données projet'!$B$13,Paramètres!$A$1:$I$89,3,0)*0.475*44/12</f>
        <v>8.8432338471933991E-2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0.12629447251755418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-4.3983163777738812E-13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366.51581861366333</v>
      </c>
      <c r="DU173" s="59">
        <f t="shared" si="152"/>
        <v>225.01415116995503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127.1369695094937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127.1369695094937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328.00000000000017</v>
      </c>
      <c r="EK173" s="17">
        <f>EJ173*VLOOKUP('Données projet'!$B$15,Paramètres!$A$1:$I$89,3,0)*VLOOKUP('Données projet'!$B$15,Paramètres!$A$1:$I$89,5,0)</f>
        <v>255.84000000000015</v>
      </c>
      <c r="EL173" s="13">
        <f t="shared" si="179"/>
        <v>61.834803371075886</v>
      </c>
      <c r="EM173" s="20">
        <f t="shared" si="180"/>
        <v>553.28361587129086</v>
      </c>
      <c r="EN173" s="59">
        <f t="shared" si="128"/>
        <v>846.61694920462423</v>
      </c>
      <c r="EO173" s="59">
        <f ca="1">AVERAGE(OFFSET($EN$3,0,0,'Données projet'!$E$15+1,1))-AVERAGE(OFFSET($H$3,0,0,'Données projet'!$E$15+1,1))</f>
        <v>288.80569134263209</v>
      </c>
      <c r="EP173" s="59">
        <f t="shared" si="154"/>
        <v>283.48738729114024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2.7502857994365195</v>
      </c>
      <c r="EW173" s="21">
        <f>EXP(-LN(2)/25)*EW172+(1-EXP(-LN(2)/25))/(LN(2)/25)*Calculateur!ER173*Calculateur!ET173*VLOOKUP('Données projet'!$B$15,Paramètres!$A$1:$I$89,3,0)*0.475*44/12</f>
        <v>1.2009509116272141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3.9512367110637339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-1.0197709343628959E-13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323.17232038705157</v>
      </c>
      <c r="FK173" s="59">
        <f t="shared" si="156"/>
        <v>402.34685738619197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17.032740763573631</v>
      </c>
      <c r="FR173" s="21">
        <f>EXP(-LN(2)/25)*FR172+(1-EXP(-LN(2)/25))/(LN(2)/25)*Calculateur!FM173*Calculateur!FO173*VLOOKUP('Données projet'!$B$16,Paramètres!$A$1:$I$89,3,0)*0.475*44/12</f>
        <v>1.8738342137031443</v>
      </c>
      <c r="FS173" s="21">
        <f>EXP(-LN(2)/2)*FS172+(1-EXP(-LN(2)/2))/(LN(2)/2)*FM173*FP173*VLOOKUP('Données projet'!$B$16,Paramètres!$A$1:$I$89,3,0)*0.475*44/12</f>
        <v>2.8037552101407522E-16</v>
      </c>
      <c r="FT173" s="22">
        <f t="shared" si="184"/>
        <v>18.906574977276776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328.00000000000017</v>
      </c>
      <c r="GA173" s="17">
        <f>FZ173*VLOOKUP('Données projet'!$B$17,Paramètres!$A$1:$I$89,3,0)*VLOOKUP('Données projet'!$B$17,Paramètres!$A$1:$I$89,5,0)</f>
        <v>266.07360000000017</v>
      </c>
      <c r="GB173" s="13">
        <f t="shared" si="185"/>
        <v>64.015279012301136</v>
      </c>
      <c r="GC173" s="20">
        <f t="shared" si="186"/>
        <v>574.90479761309132</v>
      </c>
      <c r="GD173" s="59">
        <f t="shared" si="134"/>
        <v>868.23813094642469</v>
      </c>
      <c r="GE173" s="59">
        <f ca="1">AVERAGE(OFFSET($GD$3,0,0,'Données projet'!$E$17+1,1))-AVERAGE(OFFSET($H$3,0,0,'Données projet'!$E$17+1,1))</f>
        <v>298.96480270023716</v>
      </c>
      <c r="GF173" s="59">
        <f t="shared" si="158"/>
        <v>293.11447542333889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3.5254826340683945</v>
      </c>
      <c r="GM173" s="21">
        <f>EXP(-LN(2)/25)*GM172+(1-EXP(-LN(2)/25))/(LN(2)/25)*Calculateur!GH173*Calculateur!GJ173*VLOOKUP('Données projet'!$B$17,Paramètres!$A$1:$I$89,3,0)*0.475*44/12</f>
        <v>1.5394514941602788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5.0649341282286731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-1.4210854715202004E-13</v>
      </c>
      <c r="GV173" s="17">
        <f>GU173*VLOOKUP('Données projet'!$B$18,Paramètres!$A$1:$I$89,3,0)*VLOOKUP('Données projet'!$B$18,Paramètres!$A$1:$I$89,5,0)</f>
        <v>-8.128608897095547E-14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320.76883487964511</v>
      </c>
      <c r="HA173" s="59">
        <f t="shared" si="160"/>
        <v>290.51177680335746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27.856200835167375</v>
      </c>
      <c r="HH173" s="21">
        <f>EXP(-LN(2)/25)*HH172+(1-EXP(-LN(2)/25))/(LN(2)/25)*Calculateur!HC173*Calculateur!HE173*VLOOKUP('Données projet'!$B$18,Paramètres!$A$1:$I$89,3,0)*0.475*44/12</f>
        <v>3.6290700984346969</v>
      </c>
      <c r="HI173" s="21">
        <f>EXP(-LN(2)/2)*HI172+(1-EXP(-LN(2)/2))/(LN(2)/2)*HC173*HF173*VLOOKUP('Données projet'!$B$18,Paramètres!$A$1:$I$89,3,0)*0.475*44/12</f>
        <v>2.8942247180782165E-11</v>
      </c>
      <c r="HJ173" s="22">
        <f t="shared" si="190"/>
        <v>31.485270933631014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5.763922672485933E-13</v>
      </c>
      <c r="AK174" s="13">
        <f t="shared" si="164"/>
        <v>7.0619171555808457E-12</v>
      </c>
      <c r="AL174" s="20">
        <f t="shared" si="165"/>
        <v>1.3303388911427938E-11</v>
      </c>
      <c r="AM174" s="59">
        <f t="shared" si="113"/>
        <v>293.33333333334662</v>
      </c>
      <c r="AN174" s="59">
        <f ca="1">AVERAGE(OFFSET($AM$3,0,0,'Données projet'!$E$10+1,1))-AVERAGE(OFFSET($H$3,0,0,'Données projet'!$E$10+1,1))</f>
        <v>425.47148407510412</v>
      </c>
      <c r="AO174" s="59">
        <f t="shared" si="144"/>
        <v>308.54448799922471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86.778308040072574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86.778308040072574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212.00000000000009</v>
      </c>
      <c r="BE174" s="13">
        <f>BD174*VLOOKUP('Données projet'!$B$11,Paramètres!$A$1:$I$89,3,0)*VLOOKUP('Données projet'!$B$11,Paramètres!$A$1:$I$89,5,0)</f>
        <v>185.20320000000009</v>
      </c>
      <c r="BF174" s="13">
        <f t="shared" si="167"/>
        <v>46.477875402099386</v>
      </c>
      <c r="BG174" s="20">
        <f t="shared" si="168"/>
        <v>403.5112063253232</v>
      </c>
      <c r="BH174" s="59">
        <f t="shared" si="116"/>
        <v>696.84453965865646</v>
      </c>
      <c r="BI174" s="59">
        <f ca="1">AVERAGE(OFFSET($BH$3,0,0,'Données projet'!$E$11+1,1))-AVERAGE(OFFSET($H$3,0,0,'Données projet'!$E$11+1,1))</f>
        <v>300.63505444445104</v>
      </c>
      <c r="BJ174" s="59">
        <f t="shared" si="146"/>
        <v>266.32508105927997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3.6604228307203299</v>
      </c>
      <c r="BQ174" s="21">
        <f>EXP(-LN(2)/25)*BQ173+(1-EXP(-LN(2)/25))/(LN(2)/25)*Calculateur!BL174*Calculateur!BN174*VLOOKUP('Données projet'!$B$11,Paramètres!$A$1:$I$89,3,0)*0.475*44/12</f>
        <v>1.9534542392593413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5.6138770699796714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-4.3273757910355926E-13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361.26385625423757</v>
      </c>
      <c r="CE174" s="59">
        <f t="shared" si="148"/>
        <v>222.05197404028576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122.63350574325358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122.63350574325358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247.00000000000017</v>
      </c>
      <c r="CU174" s="17">
        <f>CT174*VLOOKUP('Données projet'!$B$13,Paramètres!$A$1:$I$89,3,0)*VLOOKUP('Données projet'!$B$13,Paramètres!$A$1:$I$89,5,0)</f>
        <v>223.48560000000012</v>
      </c>
      <c r="CV174" s="13">
        <f t="shared" si="173"/>
        <v>54.87176918107798</v>
      </c>
      <c r="CW174" s="20">
        <f t="shared" si="174"/>
        <v>484.80575132371092</v>
      </c>
      <c r="CX174" s="59">
        <f t="shared" si="122"/>
        <v>778.13908465704424</v>
      </c>
      <c r="CY174" s="59">
        <f ca="1">AVERAGE(OFFSET($CX$3,0,0,'Données projet'!$E$13+1,1))-AVERAGE(OFFSET($H$3,0,0,'Données projet'!$E$13+1,1))</f>
        <v>302.6937347295995</v>
      </c>
      <c r="CZ174" s="59">
        <f t="shared" si="150"/>
        <v>423.44006663873375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3.7119680690607046E-2</v>
      </c>
      <c r="DG174" s="21">
        <f>EXP(-LN(2)/25)*DG173+(1-EXP(-LN(2)/25))/(LN(2)/25)*Calculateur!DB174*Calculateur!DD174*VLOOKUP('Données projet'!$B$13,Paramètres!$A$1:$I$89,3,0)*0.475*44/12</f>
        <v>8.6014151525964394E-2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0.12313383221657144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-4.3983163777738812E-13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366.51581861366333</v>
      </c>
      <c r="DU174" s="59">
        <f t="shared" si="152"/>
        <v>225.01415116995503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124.6438910833069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124.6438910833069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328.00000000000017</v>
      </c>
      <c r="EK174" s="17">
        <f>EJ174*VLOOKUP('Données projet'!$B$15,Paramètres!$A$1:$I$89,3,0)*VLOOKUP('Données projet'!$B$15,Paramètres!$A$1:$I$89,5,0)</f>
        <v>255.84000000000015</v>
      </c>
      <c r="EL174" s="13">
        <f t="shared" si="179"/>
        <v>61.834803371075886</v>
      </c>
      <c r="EM174" s="20">
        <f t="shared" si="180"/>
        <v>553.28361587129086</v>
      </c>
      <c r="EN174" s="59">
        <f t="shared" si="128"/>
        <v>846.61694920462423</v>
      </c>
      <c r="EO174" s="59">
        <f ca="1">AVERAGE(OFFSET($EN$3,0,0,'Données projet'!$E$15+1,1))-AVERAGE(OFFSET($H$3,0,0,'Données projet'!$E$15+1,1))</f>
        <v>288.80569134263209</v>
      </c>
      <c r="EP174" s="59">
        <f t="shared" si="154"/>
        <v>283.48738729114024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2.6963543724182668</v>
      </c>
      <c r="EW174" s="21">
        <f>EXP(-LN(2)/25)*EW173+(1-EXP(-LN(2)/25))/(LN(2)/25)*Calculateur!ER174*Calculateur!ET174*VLOOKUP('Données projet'!$B$15,Paramètres!$A$1:$I$89,3,0)*0.475*44/12</f>
        <v>1.1681108457935043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3.8644652182117714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-1.0197709343628959E-13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323.17232038705157</v>
      </c>
      <c r="FK174" s="59">
        <f t="shared" si="156"/>
        <v>402.34685738619197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16.698739106145997</v>
      </c>
      <c r="FR174" s="21">
        <f>EXP(-LN(2)/25)*FR173+(1-EXP(-LN(2)/25))/(LN(2)/25)*Calculateur!FM174*Calculateur!FO174*VLOOKUP('Données projet'!$B$16,Paramètres!$A$1:$I$89,3,0)*0.475*44/12</f>
        <v>1.8225941185887733</v>
      </c>
      <c r="FS174" s="21">
        <f>EXP(-LN(2)/2)*FS173+(1-EXP(-LN(2)/2))/(LN(2)/2)*FM174*FP174*VLOOKUP('Données projet'!$B$16,Paramètres!$A$1:$I$89,3,0)*0.475*44/12</f>
        <v>1.9825543218776395E-16</v>
      </c>
      <c r="FT174" s="22">
        <f t="shared" si="184"/>
        <v>18.521333224734772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328.00000000000017</v>
      </c>
      <c r="GA174" s="17">
        <f>FZ174*VLOOKUP('Données projet'!$B$17,Paramètres!$A$1:$I$89,3,0)*VLOOKUP('Données projet'!$B$17,Paramètres!$A$1:$I$89,5,0)</f>
        <v>266.07360000000017</v>
      </c>
      <c r="GB174" s="13">
        <f t="shared" si="185"/>
        <v>64.015279012301136</v>
      </c>
      <c r="GC174" s="20">
        <f t="shared" si="186"/>
        <v>574.90479761309132</v>
      </c>
      <c r="GD174" s="59">
        <f t="shared" si="134"/>
        <v>868.23813094642469</v>
      </c>
      <c r="GE174" s="59">
        <f ca="1">AVERAGE(OFFSET($GD$3,0,0,'Données projet'!$E$17+1,1))-AVERAGE(OFFSET($H$3,0,0,'Données projet'!$E$17+1,1))</f>
        <v>298.96480270023716</v>
      </c>
      <c r="GF174" s="59">
        <f t="shared" si="158"/>
        <v>293.11447542333889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3.4563500699463923</v>
      </c>
      <c r="GM174" s="21">
        <f>EXP(-LN(2)/25)*GM173+(1-EXP(-LN(2)/25))/(LN(2)/25)*Calculateur!GH174*Calculateur!GJ174*VLOOKUP('Données projet'!$B$17,Paramètres!$A$1:$I$89,3,0)*0.475*44/12</f>
        <v>1.4973551120962303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4.9537051820426221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-1.4210854715202004E-13</v>
      </c>
      <c r="GV174" s="17">
        <f>GU174*VLOOKUP('Données projet'!$B$18,Paramètres!$A$1:$I$89,3,0)*VLOOKUP('Données projet'!$B$18,Paramètres!$A$1:$I$89,5,0)</f>
        <v>-8.128608897095547E-14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320.76883487964511</v>
      </c>
      <c r="HA174" s="59">
        <f t="shared" si="160"/>
        <v>290.51177680335746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27.309957727394568</v>
      </c>
      <c r="HH174" s="21">
        <f>EXP(-LN(2)/25)*HH173+(1-EXP(-LN(2)/25))/(LN(2)/25)*Calculateur!HC174*Calculateur!HE174*VLOOKUP('Données projet'!$B$18,Paramètres!$A$1:$I$89,3,0)*0.475*44/12</f>
        <v>3.5298329857484978</v>
      </c>
      <c r="HI174" s="21">
        <f>EXP(-LN(2)/2)*HI173+(1-EXP(-LN(2)/2))/(LN(2)/2)*HC174*HF174*VLOOKUP('Données projet'!$B$18,Paramètres!$A$1:$I$89,3,0)*0.475*44/12</f>
        <v>2.0465259244308309E-11</v>
      </c>
      <c r="HJ174" s="22">
        <f t="shared" si="190"/>
        <v>30.839790713163531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5.763922672485933E-13</v>
      </c>
      <c r="AK175" s="13">
        <f t="shared" si="164"/>
        <v>7.0619171555808457E-12</v>
      </c>
      <c r="AL175" s="20">
        <f t="shared" si="165"/>
        <v>1.3303388911427938E-11</v>
      </c>
      <c r="AM175" s="59">
        <f t="shared" si="113"/>
        <v>293.33333333334662</v>
      </c>
      <c r="AN175" s="59">
        <f ca="1">AVERAGE(OFFSET($AM$3,0,0,'Données projet'!$E$10+1,1))-AVERAGE(OFFSET($H$3,0,0,'Données projet'!$E$10+1,1))</f>
        <v>425.47148407510412</v>
      </c>
      <c r="AO175" s="59">
        <f t="shared" si="144"/>
        <v>308.54448799922471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85.076638348948293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85.076638348948293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212.00000000000009</v>
      </c>
      <c r="BE175" s="13">
        <f>BD175*VLOOKUP('Données projet'!$B$11,Paramètres!$A$1:$I$89,3,0)*VLOOKUP('Données projet'!$B$11,Paramètres!$A$1:$I$89,5,0)</f>
        <v>185.20320000000009</v>
      </c>
      <c r="BF175" s="13">
        <f t="shared" si="167"/>
        <v>46.477875402099386</v>
      </c>
      <c r="BG175" s="20">
        <f t="shared" si="168"/>
        <v>403.5112063253232</v>
      </c>
      <c r="BH175" s="59">
        <f t="shared" si="116"/>
        <v>696.84453965865646</v>
      </c>
      <c r="BI175" s="59">
        <f ca="1">AVERAGE(OFFSET($BH$3,0,0,'Données projet'!$E$11+1,1))-AVERAGE(OFFSET($H$3,0,0,'Données projet'!$E$11+1,1))</f>
        <v>300.63505444445104</v>
      </c>
      <c r="BJ175" s="59">
        <f t="shared" si="146"/>
        <v>266.32508105927997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3.5886441716473763</v>
      </c>
      <c r="BQ175" s="21">
        <f>EXP(-LN(2)/25)*BQ174+(1-EXP(-LN(2)/25))/(LN(2)/25)*Calculateur!BL175*Calculateur!BN175*VLOOKUP('Données projet'!$B$11,Paramètres!$A$1:$I$89,3,0)*0.475*44/12</f>
        <v>1.9000369303591007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5.4886811020064767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-4.3273757910355926E-13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361.26385625423757</v>
      </c>
      <c r="CE175" s="59">
        <f t="shared" si="148"/>
        <v>222.05197404028576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120.22873749468108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120.22873749468108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247.00000000000017</v>
      </c>
      <c r="CU175" s="17">
        <f>CT175*VLOOKUP('Données projet'!$B$13,Paramètres!$A$1:$I$89,3,0)*VLOOKUP('Données projet'!$B$13,Paramètres!$A$1:$I$89,5,0)</f>
        <v>223.48560000000012</v>
      </c>
      <c r="CV175" s="13">
        <f t="shared" si="173"/>
        <v>54.87176918107798</v>
      </c>
      <c r="CW175" s="20">
        <f t="shared" si="174"/>
        <v>484.80575132371092</v>
      </c>
      <c r="CX175" s="59">
        <f t="shared" si="122"/>
        <v>778.13908465704424</v>
      </c>
      <c r="CY175" s="59">
        <f ca="1">AVERAGE(OFFSET($CX$3,0,0,'Données projet'!$E$13+1,1))-AVERAGE(OFFSET($H$3,0,0,'Données projet'!$E$13+1,1))</f>
        <v>302.6937347295995</v>
      </c>
      <c r="CZ175" s="59">
        <f t="shared" si="150"/>
        <v>423.44006663873375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3.6391786393033872E-2</v>
      </c>
      <c r="DG175" s="21">
        <f>EXP(-LN(2)/25)*DG174+(1-EXP(-LN(2)/25))/(LN(2)/25)*Calculateur!DB175*Calculateur!DD175*VLOOKUP('Données projet'!$B$13,Paramètres!$A$1:$I$89,3,0)*0.475*44/12</f>
        <v>8.3662090029199263E-2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0.12005387642223314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-4.3983163777738812E-13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366.51581861366333</v>
      </c>
      <c r="DU175" s="59">
        <f t="shared" si="152"/>
        <v>225.01415116995503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122.19970040442993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122.19970040442993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328.00000000000017</v>
      </c>
      <c r="EK175" s="17">
        <f>EJ175*VLOOKUP('Données projet'!$B$15,Paramètres!$A$1:$I$89,3,0)*VLOOKUP('Données projet'!$B$15,Paramètres!$A$1:$I$89,5,0)</f>
        <v>255.84000000000015</v>
      </c>
      <c r="EL175" s="13">
        <f t="shared" si="179"/>
        <v>61.834803371075886</v>
      </c>
      <c r="EM175" s="20">
        <f t="shared" si="180"/>
        <v>553.28361587129086</v>
      </c>
      <c r="EN175" s="59">
        <f t="shared" si="128"/>
        <v>846.61694920462423</v>
      </c>
      <c r="EO175" s="59">
        <f ca="1">AVERAGE(OFFSET($EN$3,0,0,'Données projet'!$E$15+1,1))-AVERAGE(OFFSET($H$3,0,0,'Données projet'!$E$15+1,1))</f>
        <v>288.80569134263209</v>
      </c>
      <c r="EP175" s="59">
        <f t="shared" si="154"/>
        <v>283.48738729114024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2.6434805077889196</v>
      </c>
      <c r="EW175" s="21">
        <f>EXP(-LN(2)/25)*EW174+(1-EXP(-LN(2)/25))/(LN(2)/25)*Calculateur!ER175*Calculateur!ET175*VLOOKUP('Données projet'!$B$15,Paramètres!$A$1:$I$89,3,0)*0.475*44/12</f>
        <v>1.1361687932870013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3.7796493010759207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-1.0197709343628959E-13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323.17232038705157</v>
      </c>
      <c r="FK175" s="59">
        <f t="shared" si="156"/>
        <v>402.34685738619197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16.371287017499622</v>
      </c>
      <c r="FR175" s="21">
        <f>EXP(-LN(2)/25)*FR174+(1-EXP(-LN(2)/25))/(LN(2)/25)*Calculateur!FM175*Calculateur!FO175*VLOOKUP('Données projet'!$B$16,Paramètres!$A$1:$I$89,3,0)*0.475*44/12</f>
        <v>1.7727551865699043</v>
      </c>
      <c r="FS175" s="21">
        <f>EXP(-LN(2)/2)*FS174+(1-EXP(-LN(2)/2))/(LN(2)/2)*FM175*FP175*VLOOKUP('Données projet'!$B$16,Paramètres!$A$1:$I$89,3,0)*0.475*44/12</f>
        <v>1.4018776050703761E-16</v>
      </c>
      <c r="FT175" s="22">
        <f t="shared" si="184"/>
        <v>18.144042204069525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328.00000000000017</v>
      </c>
      <c r="GA175" s="17">
        <f>FZ175*VLOOKUP('Données projet'!$B$17,Paramètres!$A$1:$I$89,3,0)*VLOOKUP('Données projet'!$B$17,Paramètres!$A$1:$I$89,5,0)</f>
        <v>266.07360000000017</v>
      </c>
      <c r="GB175" s="13">
        <f t="shared" si="185"/>
        <v>64.015279012301136</v>
      </c>
      <c r="GC175" s="20">
        <f t="shared" si="186"/>
        <v>574.90479761309132</v>
      </c>
      <c r="GD175" s="59">
        <f t="shared" si="134"/>
        <v>868.23813094642469</v>
      </c>
      <c r="GE175" s="59">
        <f ca="1">AVERAGE(OFFSET($GD$3,0,0,'Données projet'!$E$17+1,1))-AVERAGE(OFFSET($H$3,0,0,'Données projet'!$E$17+1,1))</f>
        <v>298.96480270023716</v>
      </c>
      <c r="GF175" s="59">
        <f t="shared" si="158"/>
        <v>293.11447542333889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3.388573153240122</v>
      </c>
      <c r="GM175" s="21">
        <f>EXP(-LN(2)/25)*GM174+(1-EXP(-LN(2)/25))/(LN(2)/25)*Calculateur!GH175*Calculateur!GJ175*VLOOKUP('Données projet'!$B$17,Paramètres!$A$1:$I$89,3,0)*0.475*44/12</f>
        <v>1.4564098578134759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4.8449830110535981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-1.4210854715202004E-13</v>
      </c>
      <c r="GV175" s="17">
        <f>GU175*VLOOKUP('Données projet'!$B$18,Paramètres!$A$1:$I$89,3,0)*VLOOKUP('Données projet'!$B$18,Paramètres!$A$1:$I$89,5,0)</f>
        <v>-8.128608897095547E-14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320.76883487964511</v>
      </c>
      <c r="HA175" s="59">
        <f t="shared" si="160"/>
        <v>290.51177680335746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26.77442611378979</v>
      </c>
      <c r="HH175" s="21">
        <f>EXP(-LN(2)/25)*HH174+(1-EXP(-LN(2)/25))/(LN(2)/25)*Calculateur!HC175*Calculateur!HE175*VLOOKUP('Données projet'!$B$18,Paramètres!$A$1:$I$89,3,0)*0.475*44/12</f>
        <v>3.433309517127356</v>
      </c>
      <c r="HI175" s="21">
        <f>EXP(-LN(2)/2)*HI174+(1-EXP(-LN(2)/2))/(LN(2)/2)*HC175*HF175*VLOOKUP('Données projet'!$B$18,Paramètres!$A$1:$I$89,3,0)*0.475*44/12</f>
        <v>1.4471123590391086E-11</v>
      </c>
      <c r="HJ175" s="22">
        <f t="shared" si="190"/>
        <v>30.207735630931616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5.763922672485933E-13</v>
      </c>
      <c r="AK176" s="13">
        <f t="shared" si="164"/>
        <v>7.0619171555808457E-12</v>
      </c>
      <c r="AL176" s="20">
        <f t="shared" si="165"/>
        <v>1.3303388911427938E-11</v>
      </c>
      <c r="AM176" s="59">
        <f t="shared" si="113"/>
        <v>293.33333333334662</v>
      </c>
      <c r="AN176" s="59">
        <f ca="1">AVERAGE(OFFSET($AM$3,0,0,'Données projet'!$E$10+1,1))-AVERAGE(OFFSET($H$3,0,0,'Données projet'!$E$10+1,1))</f>
        <v>425.47148407510412</v>
      </c>
      <c r="AO176" s="59">
        <f t="shared" si="144"/>
        <v>308.54448799922471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83.408337362550938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83.408337362550938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212.00000000000009</v>
      </c>
      <c r="BE176" s="13">
        <f>BD176*VLOOKUP('Données projet'!$B$11,Paramètres!$A$1:$I$89,3,0)*VLOOKUP('Données projet'!$B$11,Paramètres!$A$1:$I$89,5,0)</f>
        <v>185.20320000000009</v>
      </c>
      <c r="BF176" s="13">
        <f t="shared" si="167"/>
        <v>46.477875402099386</v>
      </c>
      <c r="BG176" s="20">
        <f t="shared" si="168"/>
        <v>403.5112063253232</v>
      </c>
      <c r="BH176" s="59">
        <f t="shared" si="116"/>
        <v>696.84453965865646</v>
      </c>
      <c r="BI176" s="59">
        <f ca="1">AVERAGE(OFFSET($BH$3,0,0,'Données projet'!$E$11+1,1))-AVERAGE(OFFSET($H$3,0,0,'Données projet'!$E$11+1,1))</f>
        <v>300.63505444445104</v>
      </c>
      <c r="BJ176" s="59">
        <f t="shared" si="146"/>
        <v>266.32508105927997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3.5182730482981843</v>
      </c>
      <c r="BQ176" s="21">
        <f>EXP(-LN(2)/25)*BQ175+(1-EXP(-LN(2)/25))/(LN(2)/25)*Calculateur!BL176*Calculateur!BN176*VLOOKUP('Données projet'!$B$11,Paramètres!$A$1:$I$89,3,0)*0.475*44/12</f>
        <v>1.8480803205798315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5.3663533688780163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-4.3273757910355926E-13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361.26385625423757</v>
      </c>
      <c r="CE176" s="59">
        <f t="shared" si="148"/>
        <v>222.05197404028576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117.8711252846993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117.8711252846993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247.00000000000017</v>
      </c>
      <c r="CU176" s="17">
        <f>CT176*VLOOKUP('Données projet'!$B$13,Paramètres!$A$1:$I$89,3,0)*VLOOKUP('Données projet'!$B$13,Paramètres!$A$1:$I$89,5,0)</f>
        <v>223.48560000000012</v>
      </c>
      <c r="CV176" s="13">
        <f t="shared" si="173"/>
        <v>54.87176918107798</v>
      </c>
      <c r="CW176" s="20">
        <f t="shared" si="174"/>
        <v>484.80575132371092</v>
      </c>
      <c r="CX176" s="59">
        <f t="shared" si="122"/>
        <v>778.13908465704424</v>
      </c>
      <c r="CY176" s="59">
        <f ca="1">AVERAGE(OFFSET($CX$3,0,0,'Données projet'!$E$13+1,1))-AVERAGE(OFFSET($H$3,0,0,'Données projet'!$E$13+1,1))</f>
        <v>302.6937347295995</v>
      </c>
      <c r="CZ176" s="59">
        <f t="shared" si="150"/>
        <v>423.44006663873375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3.5678165658664426E-2</v>
      </c>
      <c r="DG176" s="21">
        <f>EXP(-LN(2)/25)*DG175+(1-EXP(-LN(2)/25))/(LN(2)/25)*Calculateur!DB176*Calculateur!DD176*VLOOKUP('Données projet'!$B$13,Paramètres!$A$1:$I$89,3,0)*0.475*44/12</f>
        <v>8.137434577775271E-2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0.11705251143641714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-4.3983163777738812E-13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366.51581861366333</v>
      </c>
      <c r="DU176" s="59">
        <f t="shared" si="152"/>
        <v>225.01415116995503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119.80343881395665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119.80343881395665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328.00000000000017</v>
      </c>
      <c r="EK176" s="17">
        <f>EJ176*VLOOKUP('Données projet'!$B$15,Paramètres!$A$1:$I$89,3,0)*VLOOKUP('Données projet'!$B$15,Paramètres!$A$1:$I$89,5,0)</f>
        <v>255.84000000000015</v>
      </c>
      <c r="EL176" s="13">
        <f t="shared" si="179"/>
        <v>61.834803371075886</v>
      </c>
      <c r="EM176" s="20">
        <f t="shared" si="180"/>
        <v>553.28361587129086</v>
      </c>
      <c r="EN176" s="59">
        <f t="shared" si="128"/>
        <v>846.61694920462423</v>
      </c>
      <c r="EO176" s="59">
        <f ca="1">AVERAGE(OFFSET($EN$3,0,0,'Données projet'!$E$15+1,1))-AVERAGE(OFFSET($H$3,0,0,'Données projet'!$E$15+1,1))</f>
        <v>288.80569134263209</v>
      </c>
      <c r="EP176" s="59">
        <f t="shared" si="154"/>
        <v>283.48738729114024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2.5916434673950808</v>
      </c>
      <c r="EW176" s="21">
        <f>EXP(-LN(2)/25)*EW175+(1-EXP(-LN(2)/25))/(LN(2)/25)*Calculateur!ER176*Calculateur!ET176*VLOOKUP('Données projet'!$B$15,Paramètres!$A$1:$I$89,3,0)*0.475*44/12</f>
        <v>1.1051001978860482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3.696743665281129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-1.0197709343628959E-13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323.17232038705157</v>
      </c>
      <c r="FK176" s="59">
        <f t="shared" si="156"/>
        <v>402.34685738619197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16.05025606458555</v>
      </c>
      <c r="FR176" s="21">
        <f>EXP(-LN(2)/25)*FR175+(1-EXP(-LN(2)/25))/(LN(2)/25)*Calculateur!FM176*Calculateur!FO176*VLOOKUP('Données projet'!$B$16,Paramètres!$A$1:$I$89,3,0)*0.475*44/12</f>
        <v>1.7242791027680067</v>
      </c>
      <c r="FS176" s="21">
        <f>EXP(-LN(2)/2)*FS175+(1-EXP(-LN(2)/2))/(LN(2)/2)*FM176*FP176*VLOOKUP('Données projet'!$B$16,Paramètres!$A$1:$I$89,3,0)*0.475*44/12</f>
        <v>9.9127716093881974E-17</v>
      </c>
      <c r="FT176" s="22">
        <f t="shared" si="184"/>
        <v>17.774535167353555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328.00000000000017</v>
      </c>
      <c r="GA176" s="17">
        <f>FZ176*VLOOKUP('Données projet'!$B$17,Paramètres!$A$1:$I$89,3,0)*VLOOKUP('Données projet'!$B$17,Paramètres!$A$1:$I$89,5,0)</f>
        <v>266.07360000000017</v>
      </c>
      <c r="GB176" s="13">
        <f t="shared" si="185"/>
        <v>64.015279012301136</v>
      </c>
      <c r="GC176" s="20">
        <f t="shared" si="186"/>
        <v>574.90479761309132</v>
      </c>
      <c r="GD176" s="59">
        <f t="shared" si="134"/>
        <v>868.23813094642469</v>
      </c>
      <c r="GE176" s="59">
        <f ca="1">AVERAGE(OFFSET($GD$3,0,0,'Données projet'!$E$17+1,1))-AVERAGE(OFFSET($H$3,0,0,'Données projet'!$E$17+1,1))</f>
        <v>298.96480270023716</v>
      </c>
      <c r="GF176" s="59">
        <f t="shared" si="158"/>
        <v>293.11447542333889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3.3221253005306246</v>
      </c>
      <c r="GM176" s="21">
        <f>EXP(-LN(2)/25)*GM175+(1-EXP(-LN(2)/25))/(LN(2)/25)*Calculateur!GH176*Calculateur!GJ176*VLOOKUP('Données projet'!$B$17,Paramètres!$A$1:$I$89,3,0)*0.475*44/12</f>
        <v>1.4165842536623006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4.7387095541929254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-1.4210854715202004E-13</v>
      </c>
      <c r="GV176" s="17">
        <f>GU176*VLOOKUP('Données projet'!$B$18,Paramètres!$A$1:$I$89,3,0)*VLOOKUP('Données projet'!$B$18,Paramètres!$A$1:$I$89,5,0)</f>
        <v>-8.128608897095547E-14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320.76883487964511</v>
      </c>
      <c r="HA176" s="59">
        <f t="shared" si="160"/>
        <v>290.51177680335746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26.24939594848577</v>
      </c>
      <c r="HH176" s="21">
        <f>EXP(-LN(2)/25)*HH175+(1-EXP(-LN(2)/25))/(LN(2)/25)*Calculateur!HC176*Calculateur!HE176*VLOOKUP('Données projet'!$B$18,Paramètres!$A$1:$I$89,3,0)*0.475*44/12</f>
        <v>3.3394254878316079</v>
      </c>
      <c r="HI176" s="21">
        <f>EXP(-LN(2)/2)*HI175+(1-EXP(-LN(2)/2))/(LN(2)/2)*HC176*HF176*VLOOKUP('Données projet'!$B$18,Paramètres!$A$1:$I$89,3,0)*0.475*44/12</f>
        <v>1.0232629622154156E-11</v>
      </c>
      <c r="HJ176" s="22">
        <f t="shared" si="190"/>
        <v>29.58882143632761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5.763922672485933E-13</v>
      </c>
      <c r="AK177" s="13">
        <f t="shared" si="164"/>
        <v>7.0619171555808457E-12</v>
      </c>
      <c r="AL177" s="20">
        <f t="shared" si="165"/>
        <v>1.3303388911427938E-11</v>
      </c>
      <c r="AM177" s="59">
        <f t="shared" si="113"/>
        <v>293.33333333334662</v>
      </c>
      <c r="AN177" s="59">
        <f ca="1">AVERAGE(OFFSET($AM$3,0,0,'Données projet'!$E$10+1,1))-AVERAGE(OFFSET($H$3,0,0,'Données projet'!$E$10+1,1))</f>
        <v>425.47148407510412</v>
      </c>
      <c r="AO177" s="59">
        <f t="shared" si="144"/>
        <v>308.54448799922471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81.772750740933702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81.772750740933702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212.00000000000009</v>
      </c>
      <c r="BE177" s="13">
        <f>BD177*VLOOKUP('Données projet'!$B$11,Paramètres!$A$1:$I$89,3,0)*VLOOKUP('Données projet'!$B$11,Paramètres!$A$1:$I$89,5,0)</f>
        <v>185.20320000000009</v>
      </c>
      <c r="BF177" s="13">
        <f t="shared" si="167"/>
        <v>46.477875402099386</v>
      </c>
      <c r="BG177" s="20">
        <f t="shared" si="168"/>
        <v>403.5112063253232</v>
      </c>
      <c r="BH177" s="59">
        <f t="shared" si="116"/>
        <v>696.84453965865646</v>
      </c>
      <c r="BI177" s="59">
        <f ca="1">AVERAGE(OFFSET($BH$3,0,0,'Données projet'!$E$11+1,1))-AVERAGE(OFFSET($H$3,0,0,'Données projet'!$E$11+1,1))</f>
        <v>300.63505444445104</v>
      </c>
      <c r="BJ177" s="59">
        <f t="shared" si="146"/>
        <v>266.32508105927997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3.4492818597557231</v>
      </c>
      <c r="BQ177" s="21">
        <f>EXP(-LN(2)/25)*BQ176+(1-EXP(-LN(2)/25))/(LN(2)/25)*Calculateur!BL177*Calculateur!BN177*VLOOKUP('Données projet'!$B$11,Paramètres!$A$1:$I$89,3,0)*0.475*44/12</f>
        <v>1.7975444670272558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5.2468263267829789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-4.3273757910355926E-13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361.26385625423757</v>
      </c>
      <c r="CE177" s="59">
        <f t="shared" si="148"/>
        <v>222.05197404028576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115.5597444121538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115.5597444121538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247.00000000000017</v>
      </c>
      <c r="CU177" s="17">
        <f>CT177*VLOOKUP('Données projet'!$B$13,Paramètres!$A$1:$I$89,3,0)*VLOOKUP('Données projet'!$B$13,Paramètres!$A$1:$I$89,5,0)</f>
        <v>223.48560000000012</v>
      </c>
      <c r="CV177" s="13">
        <f t="shared" si="173"/>
        <v>54.87176918107798</v>
      </c>
      <c r="CW177" s="20">
        <f t="shared" si="174"/>
        <v>484.80575132371092</v>
      </c>
      <c r="CX177" s="59">
        <f t="shared" si="122"/>
        <v>778.13908465704424</v>
      </c>
      <c r="CY177" s="59">
        <f ca="1">AVERAGE(OFFSET($CX$3,0,0,'Données projet'!$E$13+1,1))-AVERAGE(OFFSET($H$3,0,0,'Données projet'!$E$13+1,1))</f>
        <v>302.6937347295995</v>
      </c>
      <c r="CZ177" s="59">
        <f t="shared" si="150"/>
        <v>423.44006663873375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3.4978538591630297E-2</v>
      </c>
      <c r="DG177" s="21">
        <f>EXP(-LN(2)/25)*DG176+(1-EXP(-LN(2)/25))/(LN(2)/25)*Calculateur!DB177*Calculateur!DD177*VLOOKUP('Données projet'!$B$13,Paramètres!$A$1:$I$89,3,0)*0.475*44/12</f>
        <v>7.9149160013169198E-2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0.11412769860479949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-4.3983163777738812E-13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366.51581861366333</v>
      </c>
      <c r="DU177" s="59">
        <f t="shared" si="152"/>
        <v>225.01415116995503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117.45416645169729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117.45416645169729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328.00000000000017</v>
      </c>
      <c r="EK177" s="17">
        <f>EJ177*VLOOKUP('Données projet'!$B$15,Paramètres!$A$1:$I$89,3,0)*VLOOKUP('Données projet'!$B$15,Paramètres!$A$1:$I$89,5,0)</f>
        <v>255.84000000000015</v>
      </c>
      <c r="EL177" s="13">
        <f t="shared" si="179"/>
        <v>61.834803371075886</v>
      </c>
      <c r="EM177" s="20">
        <f t="shared" si="180"/>
        <v>553.28361587129086</v>
      </c>
      <c r="EN177" s="59">
        <f t="shared" si="128"/>
        <v>846.61694920462423</v>
      </c>
      <c r="EO177" s="59">
        <f ca="1">AVERAGE(OFFSET($EN$3,0,0,'Données projet'!$E$15+1,1))-AVERAGE(OFFSET($H$3,0,0,'Données projet'!$E$15+1,1))</f>
        <v>288.80569134263209</v>
      </c>
      <c r="EP177" s="59">
        <f t="shared" si="154"/>
        <v>283.48738729114024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2.5408229197458927</v>
      </c>
      <c r="EW177" s="21">
        <f>EXP(-LN(2)/25)*EW176+(1-EXP(-LN(2)/25))/(LN(2)/25)*Calculateur!ER177*Calculateur!ET177*VLOOKUP('Données projet'!$B$15,Paramètres!$A$1:$I$89,3,0)*0.475*44/12</f>
        <v>1.0748811748601605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3.6157040946060532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-1.0197709343628959E-13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323.17232038705157</v>
      </c>
      <c r="FK177" s="59">
        <f t="shared" si="156"/>
        <v>402.34685738619197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15.735520332848575</v>
      </c>
      <c r="FR177" s="21">
        <f>EXP(-LN(2)/25)*FR176+(1-EXP(-LN(2)/25))/(LN(2)/25)*Calculateur!FM177*Calculateur!FO177*VLOOKUP('Données projet'!$B$16,Paramètres!$A$1:$I$89,3,0)*0.475*44/12</f>
        <v>1.6771286000269183</v>
      </c>
      <c r="FS177" s="21">
        <f>EXP(-LN(2)/2)*FS176+(1-EXP(-LN(2)/2))/(LN(2)/2)*FM177*FP177*VLOOKUP('Données projet'!$B$16,Paramètres!$A$1:$I$89,3,0)*0.475*44/12</f>
        <v>7.0093880253518805E-17</v>
      </c>
      <c r="FT177" s="22">
        <f t="shared" si="184"/>
        <v>17.412648932875491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328.00000000000017</v>
      </c>
      <c r="GA177" s="17">
        <f>FZ177*VLOOKUP('Données projet'!$B$17,Paramètres!$A$1:$I$89,3,0)*VLOOKUP('Données projet'!$B$17,Paramètres!$A$1:$I$89,5,0)</f>
        <v>266.07360000000017</v>
      </c>
      <c r="GB177" s="13">
        <f t="shared" si="185"/>
        <v>64.015279012301136</v>
      </c>
      <c r="GC177" s="20">
        <f t="shared" si="186"/>
        <v>574.90479761309132</v>
      </c>
      <c r="GD177" s="59">
        <f t="shared" si="134"/>
        <v>868.23813094642469</v>
      </c>
      <c r="GE177" s="59">
        <f ca="1">AVERAGE(OFFSET($GD$3,0,0,'Données projet'!$E$17+1,1))-AVERAGE(OFFSET($H$3,0,0,'Données projet'!$E$17+1,1))</f>
        <v>298.96480270023716</v>
      </c>
      <c r="GF177" s="59">
        <f t="shared" si="158"/>
        <v>293.11447542333889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3.2569804496835721</v>
      </c>
      <c r="GM177" s="21">
        <f>EXP(-LN(2)/25)*GM176+(1-EXP(-LN(2)/25))/(LN(2)/25)*Calculateur!GH177*Calculateur!GJ177*VLOOKUP('Données projet'!$B$17,Paramètres!$A$1:$I$89,3,0)*0.475*44/12</f>
        <v>1.3778476827509767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4.6348281324345493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-1.4210854715202004E-13</v>
      </c>
      <c r="GV177" s="17">
        <f>GU177*VLOOKUP('Données projet'!$B$18,Paramètres!$A$1:$I$89,3,0)*VLOOKUP('Données projet'!$B$18,Paramètres!$A$1:$I$89,5,0)</f>
        <v>-8.128608897095547E-14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320.76883487964511</v>
      </c>
      <c r="HA177" s="59">
        <f t="shared" si="160"/>
        <v>290.51177680335746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25.734661304486583</v>
      </c>
      <c r="HH177" s="21">
        <f>EXP(-LN(2)/25)*HH176+(1-EXP(-LN(2)/25))/(LN(2)/25)*Calculateur!HC177*Calculateur!HE177*VLOOKUP('Données projet'!$B$18,Paramètres!$A$1:$I$89,3,0)*0.475*44/12</f>
        <v>3.2481087222540985</v>
      </c>
      <c r="HI177" s="21">
        <f>EXP(-LN(2)/2)*HI176+(1-EXP(-LN(2)/2))/(LN(2)/2)*HC177*HF177*VLOOKUP('Données projet'!$B$18,Paramètres!$A$1:$I$89,3,0)*0.475*44/12</f>
        <v>7.2355617951955437E-12</v>
      </c>
      <c r="HJ177" s="22">
        <f t="shared" si="190"/>
        <v>28.982770026747918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5.763922672485933E-13</v>
      </c>
      <c r="AK178" s="13">
        <f t="shared" si="164"/>
        <v>7.0619171555808457E-12</v>
      </c>
      <c r="AL178" s="20">
        <f t="shared" si="165"/>
        <v>1.3303388911427938E-11</v>
      </c>
      <c r="AM178" s="59">
        <f t="shared" si="113"/>
        <v>293.33333333334662</v>
      </c>
      <c r="AN178" s="59">
        <f ca="1">AVERAGE(OFFSET($AM$3,0,0,'Données projet'!$E$10+1,1))-AVERAGE(OFFSET($H$3,0,0,'Données projet'!$E$10+1,1))</f>
        <v>425.47148407510412</v>
      </c>
      <c r="AO178" s="59">
        <f t="shared" si="144"/>
        <v>308.54448799922471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80.169236975357052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80.169236975357052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212.00000000000009</v>
      </c>
      <c r="BE178" s="13">
        <f>BD178*VLOOKUP('Données projet'!$B$11,Paramètres!$A$1:$I$89,3,0)*VLOOKUP('Données projet'!$B$11,Paramètres!$A$1:$I$89,5,0)</f>
        <v>185.20320000000009</v>
      </c>
      <c r="BF178" s="13">
        <f t="shared" si="167"/>
        <v>46.477875402099386</v>
      </c>
      <c r="BG178" s="20">
        <f t="shared" si="168"/>
        <v>403.5112063253232</v>
      </c>
      <c r="BH178" s="59">
        <f t="shared" si="116"/>
        <v>696.84453965865646</v>
      </c>
      <c r="BI178" s="59">
        <f ca="1">AVERAGE(OFFSET($BH$3,0,0,'Données projet'!$E$11+1,1))-AVERAGE(OFFSET($H$3,0,0,'Données projet'!$E$11+1,1))</f>
        <v>300.63505444445104</v>
      </c>
      <c r="BJ178" s="59">
        <f t="shared" si="146"/>
        <v>266.32508105927997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3.3816435463401096</v>
      </c>
      <c r="BQ178" s="21">
        <f>EXP(-LN(2)/25)*BQ177+(1-EXP(-LN(2)/25))/(LN(2)/25)*Calculateur!BL178*Calculateur!BN178*VLOOKUP('Données projet'!$B$11,Paramètres!$A$1:$I$89,3,0)*0.475*44/12</f>
        <v>1.7483905190476403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5.1300340653877496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-4.3273757910355926E-13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361.26385625423757</v>
      </c>
      <c r="CE178" s="59">
        <f t="shared" si="148"/>
        <v>222.05197404028576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113.2936883087158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113.2936883087158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247.00000000000017</v>
      </c>
      <c r="CU178" s="17">
        <f>CT178*VLOOKUP('Données projet'!$B$13,Paramètres!$A$1:$I$89,3,0)*VLOOKUP('Données projet'!$B$13,Paramètres!$A$1:$I$89,5,0)</f>
        <v>223.48560000000012</v>
      </c>
      <c r="CV178" s="13">
        <f t="shared" si="173"/>
        <v>54.87176918107798</v>
      </c>
      <c r="CW178" s="20">
        <f t="shared" si="174"/>
        <v>484.80575132371092</v>
      </c>
      <c r="CX178" s="59">
        <f t="shared" si="122"/>
        <v>778.13908465704424</v>
      </c>
      <c r="CY178" s="59">
        <f ca="1">AVERAGE(OFFSET($CX$3,0,0,'Données projet'!$E$13+1,1))-AVERAGE(OFFSET($H$3,0,0,'Données projet'!$E$13+1,1))</f>
        <v>302.6937347295995</v>
      </c>
      <c r="CZ178" s="59">
        <f t="shared" si="150"/>
        <v>423.44006663873375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3.4292630784650328E-2</v>
      </c>
      <c r="DG178" s="21">
        <f>EXP(-LN(2)/25)*DG177+(1-EXP(-LN(2)/25))/(LN(2)/25)*Calculateur!DB178*Calculateur!DD178*VLOOKUP('Données projet'!$B$13,Paramètres!$A$1:$I$89,3,0)*0.475*44/12</f>
        <v>7.6984822070335662E-2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0.111277452854986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-4.3983163777738812E-13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366.51581861366333</v>
      </c>
      <c r="DU178" s="59">
        <f t="shared" si="152"/>
        <v>225.01415116995503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115.15096188754718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115.15096188754718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328.00000000000017</v>
      </c>
      <c r="EK178" s="17">
        <f>EJ178*VLOOKUP('Données projet'!$B$15,Paramètres!$A$1:$I$89,3,0)*VLOOKUP('Données projet'!$B$15,Paramètres!$A$1:$I$89,5,0)</f>
        <v>255.84000000000015</v>
      </c>
      <c r="EL178" s="13">
        <f t="shared" si="179"/>
        <v>61.834803371075886</v>
      </c>
      <c r="EM178" s="20">
        <f t="shared" si="180"/>
        <v>553.28361587129086</v>
      </c>
      <c r="EN178" s="59">
        <f t="shared" si="128"/>
        <v>846.61694920462423</v>
      </c>
      <c r="EO178" s="59">
        <f ca="1">AVERAGE(OFFSET($EN$3,0,0,'Données projet'!$E$15+1,1))-AVERAGE(OFFSET($H$3,0,0,'Données projet'!$E$15+1,1))</f>
        <v>288.80569134263209</v>
      </c>
      <c r="EP178" s="59">
        <f t="shared" si="154"/>
        <v>283.48738729114024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2.4909989320386319</v>
      </c>
      <c r="EW178" s="21">
        <f>EXP(-LN(2)/25)*EW177+(1-EXP(-LN(2)/25))/(LN(2)/25)*Calculateur!ER178*Calculateur!ET178*VLOOKUP('Données projet'!$B$15,Paramètres!$A$1:$I$89,3,0)*0.475*44/12</f>
        <v>1.0454884926080652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3.5364874246466971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-1.0197709343628959E-13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323.17232038705157</v>
      </c>
      <c r="FK178" s="59">
        <f t="shared" si="156"/>
        <v>402.34685738619197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15.426956376841121</v>
      </c>
      <c r="FR178" s="21">
        <f>EXP(-LN(2)/25)*FR177+(1-EXP(-LN(2)/25))/(LN(2)/25)*Calculateur!FM178*Calculateur!FO178*VLOOKUP('Données projet'!$B$16,Paramètres!$A$1:$I$89,3,0)*0.475*44/12</f>
        <v>1.6312674302628223</v>
      </c>
      <c r="FS178" s="21">
        <f>EXP(-LN(2)/2)*FS177+(1-EXP(-LN(2)/2))/(LN(2)/2)*FM178*FP178*VLOOKUP('Données projet'!$B$16,Paramètres!$A$1:$I$89,3,0)*0.475*44/12</f>
        <v>4.9563858046940987E-17</v>
      </c>
      <c r="FT178" s="22">
        <f t="shared" si="184"/>
        <v>17.058223807103943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328.00000000000017</v>
      </c>
      <c r="GA178" s="17">
        <f>FZ178*VLOOKUP('Données projet'!$B$17,Paramètres!$A$1:$I$89,3,0)*VLOOKUP('Données projet'!$B$17,Paramètres!$A$1:$I$89,5,0)</f>
        <v>266.07360000000017</v>
      </c>
      <c r="GB178" s="13">
        <f t="shared" si="185"/>
        <v>64.015279012301136</v>
      </c>
      <c r="GC178" s="20">
        <f t="shared" si="186"/>
        <v>574.90479761309132</v>
      </c>
      <c r="GD178" s="59">
        <f t="shared" si="134"/>
        <v>868.23813094642469</v>
      </c>
      <c r="GE178" s="59">
        <f ca="1">AVERAGE(OFFSET($GD$3,0,0,'Données projet'!$E$17+1,1))-AVERAGE(OFFSET($H$3,0,0,'Données projet'!$E$17+1,1))</f>
        <v>298.96480270023716</v>
      </c>
      <c r="GF178" s="59">
        <f t="shared" si="158"/>
        <v>293.11447542333889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3.1931130496271951</v>
      </c>
      <c r="GM178" s="21">
        <f>EXP(-LN(2)/25)*GM177+(1-EXP(-LN(2)/25))/(LN(2)/25)*Calculateur!GH178*Calculateur!GJ178*VLOOKUP('Données projet'!$B$17,Paramètres!$A$1:$I$89,3,0)*0.475*44/12</f>
        <v>1.3401703654082906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4.5332834150354859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-1.4210854715202004E-13</v>
      </c>
      <c r="GV178" s="17">
        <f>GU178*VLOOKUP('Données projet'!$B$18,Paramètres!$A$1:$I$89,3,0)*VLOOKUP('Données projet'!$B$18,Paramètres!$A$1:$I$89,5,0)</f>
        <v>-8.128608897095547E-14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320.76883487964511</v>
      </c>
      <c r="HA178" s="59">
        <f t="shared" si="160"/>
        <v>290.51177680335746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25.230020292899088</v>
      </c>
      <c r="HH178" s="21">
        <f>EXP(-LN(2)/25)*HH177+(1-EXP(-LN(2)/25))/(LN(2)/25)*Calculateur!HC178*Calculateur!HE178*VLOOKUP('Données projet'!$B$18,Paramètres!$A$1:$I$89,3,0)*0.475*44/12</f>
        <v>3.1592890184334461</v>
      </c>
      <c r="HI178" s="21">
        <f>EXP(-LN(2)/2)*HI177+(1-EXP(-LN(2)/2))/(LN(2)/2)*HC178*HF178*VLOOKUP('Données projet'!$B$18,Paramètres!$A$1:$I$89,3,0)*0.475*44/12</f>
        <v>5.1163148110770789E-12</v>
      </c>
      <c r="HJ178" s="22">
        <f t="shared" si="190"/>
        <v>28.389309311337648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5.763922672485933E-13</v>
      </c>
      <c r="AK179" s="13">
        <f t="shared" si="164"/>
        <v>7.0619171555808457E-12</v>
      </c>
      <c r="AL179" s="20">
        <f t="shared" si="165"/>
        <v>1.3303388911427938E-11</v>
      </c>
      <c r="AM179" s="59">
        <f t="shared" si="113"/>
        <v>293.33333333334662</v>
      </c>
      <c r="AN179" s="59">
        <f ca="1">AVERAGE(OFFSET($AM$3,0,0,'Données projet'!$E$10+1,1))-AVERAGE(OFFSET($H$3,0,0,'Données projet'!$E$10+1,1))</f>
        <v>425.47148407510412</v>
      </c>
      <c r="AO179" s="59">
        <f t="shared" si="144"/>
        <v>308.54448799922471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78.597167136676532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78.597167136676532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212.00000000000009</v>
      </c>
      <c r="BE179" s="13">
        <f>BD179*VLOOKUP('Données projet'!$B$11,Paramètres!$A$1:$I$89,3,0)*VLOOKUP('Données projet'!$B$11,Paramètres!$A$1:$I$89,5,0)</f>
        <v>185.20320000000009</v>
      </c>
      <c r="BF179" s="13">
        <f t="shared" si="167"/>
        <v>46.477875402099386</v>
      </c>
      <c r="BG179" s="20">
        <f t="shared" si="168"/>
        <v>403.5112063253232</v>
      </c>
      <c r="BH179" s="59">
        <f t="shared" si="116"/>
        <v>696.84453965865646</v>
      </c>
      <c r="BI179" s="59">
        <f ca="1">AVERAGE(OFFSET($BH$3,0,0,'Données projet'!$E$11+1,1))-AVERAGE(OFFSET($H$3,0,0,'Données projet'!$E$11+1,1))</f>
        <v>300.63505444445104</v>
      </c>
      <c r="BJ179" s="59">
        <f t="shared" si="146"/>
        <v>266.32508105927997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3.3153315789952784</v>
      </c>
      <c r="BQ179" s="21">
        <f>EXP(-LN(2)/25)*BQ178+(1-EXP(-LN(2)/25))/(LN(2)/25)*Calculateur!BL179*Calculateur!BN179*VLOOKUP('Données projet'!$B$11,Paramètres!$A$1:$I$89,3,0)*0.475*44/12</f>
        <v>1.7005806883604211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5.0159122673556995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-4.3273757910355926E-13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361.26385625423757</v>
      </c>
      <c r="CE179" s="59">
        <f t="shared" si="148"/>
        <v>222.05197404028576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111.07206818330846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111.07206818330846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247.00000000000017</v>
      </c>
      <c r="CU179" s="17">
        <f>CT179*VLOOKUP('Données projet'!$B$13,Paramètres!$A$1:$I$89,3,0)*VLOOKUP('Données projet'!$B$13,Paramètres!$A$1:$I$89,5,0)</f>
        <v>223.48560000000012</v>
      </c>
      <c r="CV179" s="13">
        <f t="shared" si="173"/>
        <v>54.87176918107798</v>
      </c>
      <c r="CW179" s="20">
        <f t="shared" si="174"/>
        <v>484.80575132371092</v>
      </c>
      <c r="CX179" s="59">
        <f t="shared" si="122"/>
        <v>778.13908465704424</v>
      </c>
      <c r="CY179" s="59">
        <f ca="1">AVERAGE(OFFSET($CX$3,0,0,'Données projet'!$E$13+1,1))-AVERAGE(OFFSET($H$3,0,0,'Données projet'!$E$13+1,1))</f>
        <v>302.6937347295995</v>
      </c>
      <c r="CZ179" s="59">
        <f t="shared" si="150"/>
        <v>423.44006663873375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3.3620173211402787E-2</v>
      </c>
      <c r="DG179" s="21">
        <f>EXP(-LN(2)/25)*DG178+(1-EXP(-LN(2)/25))/(LN(2)/25)*Calculateur!DB179*Calculateur!DD179*VLOOKUP('Données projet'!$B$13,Paramètres!$A$1:$I$89,3,0)*0.475*44/12</f>
        <v>7.4879668062366497E-2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0.10849984127376928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-4.3983163777738812E-13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366.51581861366333</v>
      </c>
      <c r="DU179" s="59">
        <f t="shared" si="152"/>
        <v>225.01415116995503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112.89292176008399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112.89292176008399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328.00000000000017</v>
      </c>
      <c r="EK179" s="17">
        <f>EJ179*VLOOKUP('Données projet'!$B$15,Paramètres!$A$1:$I$89,3,0)*VLOOKUP('Données projet'!$B$15,Paramètres!$A$1:$I$89,5,0)</f>
        <v>255.84000000000015</v>
      </c>
      <c r="EL179" s="13">
        <f t="shared" si="179"/>
        <v>61.834803371075886</v>
      </c>
      <c r="EM179" s="20">
        <f t="shared" si="180"/>
        <v>553.28361587129086</v>
      </c>
      <c r="EN179" s="59">
        <f t="shared" si="128"/>
        <v>846.61694920462423</v>
      </c>
      <c r="EO179" s="59">
        <f ca="1">AVERAGE(OFFSET($EN$3,0,0,'Données projet'!$E$15+1,1))-AVERAGE(OFFSET($H$3,0,0,'Données projet'!$E$15+1,1))</f>
        <v>288.80569134263209</v>
      </c>
      <c r="EP179" s="59">
        <f t="shared" si="154"/>
        <v>283.48738729114024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2.4421519623406787</v>
      </c>
      <c r="EW179" s="21">
        <f>EXP(-LN(2)/25)*EW178+(1-EXP(-LN(2)/25))/(LN(2)/25)*Calculateur!ER179*Calculateur!ET179*VLOOKUP('Données projet'!$B$15,Paramètres!$A$1:$I$89,3,0)*0.475*44/12</f>
        <v>1.0168995547978474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3.4590515171385263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-1.0197709343628959E-13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323.17232038705157</v>
      </c>
      <c r="FK179" s="59">
        <f t="shared" si="156"/>
        <v>402.34685738619197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15.124443171805543</v>
      </c>
      <c r="FR179" s="21">
        <f>EXP(-LN(2)/25)*FR178+(1-EXP(-LN(2)/25))/(LN(2)/25)*Calculateur!FM179*Calculateur!FO179*VLOOKUP('Données projet'!$B$16,Paramètres!$A$1:$I$89,3,0)*0.475*44/12</f>
        <v>1.5866603365976595</v>
      </c>
      <c r="FS179" s="21">
        <f>EXP(-LN(2)/2)*FS178+(1-EXP(-LN(2)/2))/(LN(2)/2)*FM179*FP179*VLOOKUP('Données projet'!$B$16,Paramètres!$A$1:$I$89,3,0)*0.475*44/12</f>
        <v>3.5046940126759403E-17</v>
      </c>
      <c r="FT179" s="22">
        <f t="shared" si="184"/>
        <v>16.711103508403202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328.00000000000017</v>
      </c>
      <c r="GA179" s="17">
        <f>FZ179*VLOOKUP('Données projet'!$B$17,Paramètres!$A$1:$I$89,3,0)*VLOOKUP('Données projet'!$B$17,Paramètres!$A$1:$I$89,5,0)</f>
        <v>266.07360000000017</v>
      </c>
      <c r="GB179" s="13">
        <f t="shared" si="185"/>
        <v>64.015279012301136</v>
      </c>
      <c r="GC179" s="20">
        <f t="shared" si="186"/>
        <v>574.90479761309132</v>
      </c>
      <c r="GD179" s="59">
        <f t="shared" si="134"/>
        <v>868.23813094642469</v>
      </c>
      <c r="GE179" s="59">
        <f ca="1">AVERAGE(OFFSET($GD$3,0,0,'Données projet'!$E$17+1,1))-AVERAGE(OFFSET($H$3,0,0,'Données projet'!$E$17+1,1))</f>
        <v>298.96480270023716</v>
      </c>
      <c r="GF179" s="59">
        <f t="shared" si="158"/>
        <v>293.11447542333889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3.1304980503306559</v>
      </c>
      <c r="GM179" s="21">
        <f>EXP(-LN(2)/25)*GM178+(1-EXP(-LN(2)/25))/(LN(2)/25)*Calculateur!GH179*Calculateur!GJ179*VLOOKUP('Données projet'!$B$17,Paramètres!$A$1:$I$89,3,0)*0.475*44/12</f>
        <v>1.3035233362897043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4.4340213866203602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-1.4210854715202004E-13</v>
      </c>
      <c r="GV179" s="17">
        <f>GU179*VLOOKUP('Données projet'!$B$18,Paramètres!$A$1:$I$89,3,0)*VLOOKUP('Données projet'!$B$18,Paramètres!$A$1:$I$89,5,0)</f>
        <v>-8.128608897095547E-14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320.76883487964511</v>
      </c>
      <c r="HA179" s="59">
        <f t="shared" si="160"/>
        <v>290.51177680335746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24.735274983748198</v>
      </c>
      <c r="HH179" s="21">
        <f>EXP(-LN(2)/25)*HH178+(1-EXP(-LN(2)/25))/(LN(2)/25)*Calculateur!HC179*Calculateur!HE179*VLOOKUP('Données projet'!$B$18,Paramètres!$A$1:$I$89,3,0)*0.475*44/12</f>
        <v>3.0728980940845947</v>
      </c>
      <c r="HI179" s="21">
        <f>EXP(-LN(2)/2)*HI178+(1-EXP(-LN(2)/2))/(LN(2)/2)*HC179*HF179*VLOOKUP('Données projet'!$B$18,Paramètres!$A$1:$I$89,3,0)*0.475*44/12</f>
        <v>3.6177808975977727E-12</v>
      </c>
      <c r="HJ179" s="22">
        <f t="shared" si="190"/>
        <v>27.808173077836408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5.763922672485933E-13</v>
      </c>
      <c r="AK180" s="13">
        <f t="shared" si="164"/>
        <v>7.0619171555808457E-12</v>
      </c>
      <c r="AL180" s="20">
        <f t="shared" si="165"/>
        <v>1.3303388911427938E-11</v>
      </c>
      <c r="AM180" s="59">
        <f t="shared" si="113"/>
        <v>293.33333333334662</v>
      </c>
      <c r="AN180" s="59">
        <f ca="1">AVERAGE(OFFSET($AM$3,0,0,'Données projet'!$E$10+1,1))-AVERAGE(OFFSET($H$3,0,0,'Données projet'!$E$10+1,1))</f>
        <v>425.47148407510412</v>
      </c>
      <c r="AO180" s="59">
        <f t="shared" si="144"/>
        <v>308.54448799922471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77.055924628664627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77.055924628664627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212.00000000000009</v>
      </c>
      <c r="BE180" s="13">
        <f>BD180*VLOOKUP('Données projet'!$B$11,Paramètres!$A$1:$I$89,3,0)*VLOOKUP('Données projet'!$B$11,Paramètres!$A$1:$I$89,5,0)</f>
        <v>185.20320000000009</v>
      </c>
      <c r="BF180" s="13">
        <f t="shared" si="167"/>
        <v>46.477875402099386</v>
      </c>
      <c r="BG180" s="20">
        <f t="shared" si="168"/>
        <v>403.5112063253232</v>
      </c>
      <c r="BH180" s="59">
        <f t="shared" si="116"/>
        <v>696.84453965865646</v>
      </c>
      <c r="BI180" s="59">
        <f ca="1">AVERAGE(OFFSET($BH$3,0,0,'Données projet'!$E$11+1,1))-AVERAGE(OFFSET($H$3,0,0,'Données projet'!$E$11+1,1))</f>
        <v>300.63505444445104</v>
      </c>
      <c r="BJ180" s="59">
        <f t="shared" si="146"/>
        <v>266.32508105927997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3.2503199488837731</v>
      </c>
      <c r="BQ180" s="21">
        <f>EXP(-LN(2)/25)*BQ179+(1-EXP(-LN(2)/25))/(LN(2)/25)*Calculateur!BL180*Calculateur!BN180*VLOOKUP('Données projet'!$B$11,Paramètres!$A$1:$I$89,3,0)*0.475*44/12</f>
        <v>1.6540782200075537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4.9043981688913263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-4.3273757910355926E-13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361.26385625423757</v>
      </c>
      <c r="CE180" s="59">
        <f t="shared" si="148"/>
        <v>222.05197404028576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108.89401267350588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108.89401267350588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247.00000000000017</v>
      </c>
      <c r="CU180" s="17">
        <f>CT180*VLOOKUP('Données projet'!$B$13,Paramètres!$A$1:$I$89,3,0)*VLOOKUP('Données projet'!$B$13,Paramètres!$A$1:$I$89,5,0)</f>
        <v>223.48560000000012</v>
      </c>
      <c r="CV180" s="13">
        <f t="shared" si="173"/>
        <v>54.87176918107798</v>
      </c>
      <c r="CW180" s="20">
        <f t="shared" si="174"/>
        <v>484.80575132371092</v>
      </c>
      <c r="CX180" s="59">
        <f t="shared" si="122"/>
        <v>778.13908465704424</v>
      </c>
      <c r="CY180" s="59">
        <f ca="1">AVERAGE(OFFSET($CX$3,0,0,'Données projet'!$E$13+1,1))-AVERAGE(OFFSET($H$3,0,0,'Données projet'!$E$13+1,1))</f>
        <v>302.6937347295995</v>
      </c>
      <c r="CZ180" s="59">
        <f t="shared" si="150"/>
        <v>423.44006663873375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3.2960902121008009E-2</v>
      </c>
      <c r="DG180" s="21">
        <f>EXP(-LN(2)/25)*DG179+(1-EXP(-LN(2)/25))/(LN(2)/25)*Calculateur!DB180*Calculateur!DD180*VLOOKUP('Données projet'!$B$13,Paramètres!$A$1:$I$89,3,0)*0.475*44/12</f>
        <v>7.2832079601450481E-2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0.10579298172245849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-4.3983163777738812E-13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366.51581861366333</v>
      </c>
      <c r="DU180" s="59">
        <f t="shared" si="152"/>
        <v>225.01415116995503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110.67916042225187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110.67916042225187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328.00000000000017</v>
      </c>
      <c r="EK180" s="17">
        <f>EJ180*VLOOKUP('Données projet'!$B$15,Paramètres!$A$1:$I$89,3,0)*VLOOKUP('Données projet'!$B$15,Paramètres!$A$1:$I$89,5,0)</f>
        <v>255.84000000000015</v>
      </c>
      <c r="EL180" s="13">
        <f t="shared" si="179"/>
        <v>61.834803371075886</v>
      </c>
      <c r="EM180" s="20">
        <f t="shared" si="180"/>
        <v>553.28361587129086</v>
      </c>
      <c r="EN180" s="59">
        <f t="shared" si="128"/>
        <v>846.61694920462423</v>
      </c>
      <c r="EO180" s="59">
        <f ca="1">AVERAGE(OFFSET($EN$3,0,0,'Données projet'!$E$15+1,1))-AVERAGE(OFFSET($H$3,0,0,'Données projet'!$E$15+1,1))</f>
        <v>288.80569134263209</v>
      </c>
      <c r="EP180" s="59">
        <f t="shared" si="154"/>
        <v>283.48738729114024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2.3942628519247924</v>
      </c>
      <c r="EW180" s="21">
        <f>EXP(-LN(2)/25)*EW179+(1-EXP(-LN(2)/25))/(LN(2)/25)*Calculateur!ER180*Calculateur!ET180*VLOOKUP('Données projet'!$B$15,Paramètres!$A$1:$I$89,3,0)*0.475*44/12</f>
        <v>0.98909238299547686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3.3833552349202693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-1.0197709343628959E-13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323.17232038705157</v>
      </c>
      <c r="FK180" s="59">
        <f t="shared" si="156"/>
        <v>402.34685738619197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14.827862066205878</v>
      </c>
      <c r="FR180" s="21">
        <f>EXP(-LN(2)/25)*FR179+(1-EXP(-LN(2)/25))/(LN(2)/25)*Calculateur!FM180*Calculateur!FO180*VLOOKUP('Données projet'!$B$16,Paramètres!$A$1:$I$89,3,0)*0.475*44/12</f>
        <v>1.5432730262545558</v>
      </c>
      <c r="FS180" s="21">
        <f>EXP(-LN(2)/2)*FS179+(1-EXP(-LN(2)/2))/(LN(2)/2)*FM180*FP180*VLOOKUP('Données projet'!$B$16,Paramètres!$A$1:$I$89,3,0)*0.475*44/12</f>
        <v>2.4781929023470494E-17</v>
      </c>
      <c r="FT180" s="22">
        <f t="shared" si="184"/>
        <v>16.371135092460435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328.00000000000017</v>
      </c>
      <c r="GA180" s="17">
        <f>FZ180*VLOOKUP('Données projet'!$B$17,Paramètres!$A$1:$I$89,3,0)*VLOOKUP('Données projet'!$B$17,Paramètres!$A$1:$I$89,5,0)</f>
        <v>266.07360000000017</v>
      </c>
      <c r="GB180" s="13">
        <f t="shared" si="185"/>
        <v>64.015279012301136</v>
      </c>
      <c r="GC180" s="20">
        <f t="shared" si="186"/>
        <v>574.90479761309132</v>
      </c>
      <c r="GD180" s="59">
        <f t="shared" si="134"/>
        <v>868.23813094642469</v>
      </c>
      <c r="GE180" s="59">
        <f ca="1">AVERAGE(OFFSET($GD$3,0,0,'Données projet'!$E$17+1,1))-AVERAGE(OFFSET($H$3,0,0,'Données projet'!$E$17+1,1))</f>
        <v>298.96480270023716</v>
      </c>
      <c r="GF180" s="59">
        <f t="shared" si="158"/>
        <v>293.11447542333889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3.0691108929789435</v>
      </c>
      <c r="GM180" s="21">
        <f>EXP(-LN(2)/25)*GM179+(1-EXP(-LN(2)/25))/(LN(2)/25)*Calculateur!GH180*Calculateur!GJ180*VLOOKUP('Données projet'!$B$17,Paramètres!$A$1:$I$89,3,0)*0.475*44/12</f>
        <v>1.2678784221095494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4.3369893150884931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-1.4210854715202004E-13</v>
      </c>
      <c r="GV180" s="17">
        <f>GU180*VLOOKUP('Données projet'!$B$18,Paramètres!$A$1:$I$89,3,0)*VLOOKUP('Données projet'!$B$18,Paramètres!$A$1:$I$89,5,0)</f>
        <v>-8.128608897095547E-14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320.76883487964511</v>
      </c>
      <c r="HA180" s="59">
        <f t="shared" si="160"/>
        <v>290.51177680335746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24.250231328344917</v>
      </c>
      <c r="HH180" s="21">
        <f>EXP(-LN(2)/25)*HH179+(1-EXP(-LN(2)/25))/(LN(2)/25)*Calculateur!HC180*Calculateur!HE180*VLOOKUP('Données projet'!$B$18,Paramètres!$A$1:$I$89,3,0)*0.475*44/12</f>
        <v>2.9888695341051639</v>
      </c>
      <c r="HI180" s="21">
        <f>EXP(-LN(2)/2)*HI179+(1-EXP(-LN(2)/2))/(LN(2)/2)*HC180*HF180*VLOOKUP('Données projet'!$B$18,Paramètres!$A$1:$I$89,3,0)*0.475*44/12</f>
        <v>2.5581574055385398E-12</v>
      </c>
      <c r="HJ180" s="22">
        <f t="shared" si="190"/>
        <v>27.239100862452638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5.763922672485933E-13</v>
      </c>
      <c r="AK181" s="13">
        <f t="shared" si="164"/>
        <v>7.0619171555808457E-12</v>
      </c>
      <c r="AL181" s="20">
        <f t="shared" si="165"/>
        <v>1.3303388911427938E-11</v>
      </c>
      <c r="AM181" s="59">
        <f t="shared" si="113"/>
        <v>293.33333333334662</v>
      </c>
      <c r="AN181" s="59">
        <f ca="1">AVERAGE(OFFSET($AM$3,0,0,'Données projet'!$E$10+1,1))-AVERAGE(OFFSET($H$3,0,0,'Données projet'!$E$10+1,1))</f>
        <v>425.47148407510412</v>
      </c>
      <c r="AO181" s="59">
        <f t="shared" si="144"/>
        <v>308.54448799922471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75.544904946169723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75.544904946169723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212.00000000000009</v>
      </c>
      <c r="BE181" s="13">
        <f>BD181*VLOOKUP('Données projet'!$B$11,Paramètres!$A$1:$I$89,3,0)*VLOOKUP('Données projet'!$B$11,Paramètres!$A$1:$I$89,5,0)</f>
        <v>185.20320000000009</v>
      </c>
      <c r="BF181" s="13">
        <f t="shared" si="167"/>
        <v>46.477875402099386</v>
      </c>
      <c r="BG181" s="20">
        <f t="shared" si="168"/>
        <v>403.5112063253232</v>
      </c>
      <c r="BH181" s="59">
        <f t="shared" si="116"/>
        <v>696.84453965865646</v>
      </c>
      <c r="BI181" s="59">
        <f ca="1">AVERAGE(OFFSET($BH$3,0,0,'Données projet'!$E$11+1,1))-AVERAGE(OFFSET($H$3,0,0,'Données projet'!$E$11+1,1))</f>
        <v>300.63505444445104</v>
      </c>
      <c r="BJ181" s="59">
        <f t="shared" si="146"/>
        <v>266.32508105927997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3.1865831571855754</v>
      </c>
      <c r="BQ181" s="21">
        <f>EXP(-LN(2)/25)*BQ180+(1-EXP(-LN(2)/25))/(LN(2)/25)*Calculateur!BL181*Calculateur!BN181*VLOOKUP('Données projet'!$B$11,Paramètres!$A$1:$I$89,3,0)*0.475*44/12</f>
        <v>1.608847364097254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4.7954305212828299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-4.3273757910355926E-13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361.26385625423757</v>
      </c>
      <c r="CE181" s="59">
        <f t="shared" si="148"/>
        <v>222.05197404028576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106.75866750376785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106.75866750376785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247.00000000000017</v>
      </c>
      <c r="CU181" s="17">
        <f>CT181*VLOOKUP('Données projet'!$B$13,Paramètres!$A$1:$I$89,3,0)*VLOOKUP('Données projet'!$B$13,Paramètres!$A$1:$I$89,5,0)</f>
        <v>223.48560000000012</v>
      </c>
      <c r="CV181" s="13">
        <f t="shared" si="173"/>
        <v>54.87176918107798</v>
      </c>
      <c r="CW181" s="20">
        <f t="shared" si="174"/>
        <v>484.80575132371092</v>
      </c>
      <c r="CX181" s="59">
        <f t="shared" si="122"/>
        <v>778.13908465704424</v>
      </c>
      <c r="CY181" s="59">
        <f ca="1">AVERAGE(OFFSET($CX$3,0,0,'Données projet'!$E$13+1,1))-AVERAGE(OFFSET($H$3,0,0,'Données projet'!$E$13+1,1))</f>
        <v>302.6937347295995</v>
      </c>
      <c r="CZ181" s="59">
        <f t="shared" si="150"/>
        <v>423.44006663873375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3.2314558934580212E-2</v>
      </c>
      <c r="DG181" s="21">
        <f>EXP(-LN(2)/25)*DG180+(1-EXP(-LN(2)/25))/(LN(2)/25)*Calculateur!DB181*Calculateur!DD181*VLOOKUP('Données projet'!$B$13,Paramètres!$A$1:$I$89,3,0)*0.475*44/12</f>
        <v>7.0840482554676218E-2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0.10315504148925643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-4.3983163777738812E-13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366.51581861366333</v>
      </c>
      <c r="DU181" s="59">
        <f t="shared" si="152"/>
        <v>225.01415116995503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108.50880959399355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108.50880959399355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328.00000000000017</v>
      </c>
      <c r="EK181" s="17">
        <f>EJ181*VLOOKUP('Données projet'!$B$15,Paramètres!$A$1:$I$89,3,0)*VLOOKUP('Données projet'!$B$15,Paramètres!$A$1:$I$89,5,0)</f>
        <v>255.84000000000015</v>
      </c>
      <c r="EL181" s="13">
        <f t="shared" si="179"/>
        <v>61.834803371075886</v>
      </c>
      <c r="EM181" s="20">
        <f t="shared" si="180"/>
        <v>553.28361587129086</v>
      </c>
      <c r="EN181" s="59">
        <f t="shared" si="128"/>
        <v>846.61694920462423</v>
      </c>
      <c r="EO181" s="59">
        <f ca="1">AVERAGE(OFFSET($EN$3,0,0,'Données projet'!$E$15+1,1))-AVERAGE(OFFSET($H$3,0,0,'Données projet'!$E$15+1,1))</f>
        <v>288.80569134263209</v>
      </c>
      <c r="EP181" s="59">
        <f t="shared" si="154"/>
        <v>283.48738729114024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2.3473128177546885</v>
      </c>
      <c r="EW181" s="21">
        <f>EXP(-LN(2)/25)*EW180+(1-EXP(-LN(2)/25))/(LN(2)/25)*Calculateur!ER181*Calculateur!ET181*VLOOKUP('Données projet'!$B$15,Paramètres!$A$1:$I$89,3,0)*0.475*44/12</f>
        <v>0.96204559976835768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3.3093584175230459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-1.0197709343628959E-13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323.17232038705157</v>
      </c>
      <c r="FK181" s="59">
        <f t="shared" si="156"/>
        <v>402.34685738619197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14.53709673519041</v>
      </c>
      <c r="FR181" s="21">
        <f>EXP(-LN(2)/25)*FR180+(1-EXP(-LN(2)/25))/(LN(2)/25)*Calculateur!FM181*Calculateur!FO181*VLOOKUP('Données projet'!$B$16,Paramètres!$A$1:$I$89,3,0)*0.475*44/12</f>
        <v>1.5010721441944237</v>
      </c>
      <c r="FS181" s="21">
        <f>EXP(-LN(2)/2)*FS180+(1-EXP(-LN(2)/2))/(LN(2)/2)*FM181*FP181*VLOOKUP('Données projet'!$B$16,Paramètres!$A$1:$I$89,3,0)*0.475*44/12</f>
        <v>1.7523470063379701E-17</v>
      </c>
      <c r="FT181" s="22">
        <f t="shared" si="184"/>
        <v>16.038168879384834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328.00000000000017</v>
      </c>
      <c r="GA181" s="17">
        <f>FZ181*VLOOKUP('Données projet'!$B$17,Paramètres!$A$1:$I$89,3,0)*VLOOKUP('Données projet'!$B$17,Paramètres!$A$1:$I$89,5,0)</f>
        <v>266.07360000000017</v>
      </c>
      <c r="GB181" s="13">
        <f t="shared" si="185"/>
        <v>64.015279012301136</v>
      </c>
      <c r="GC181" s="20">
        <f t="shared" si="186"/>
        <v>574.90479761309132</v>
      </c>
      <c r="GD181" s="59">
        <f t="shared" si="134"/>
        <v>868.23813094642469</v>
      </c>
      <c r="GE181" s="59">
        <f ca="1">AVERAGE(OFFSET($GD$3,0,0,'Données projet'!$E$17+1,1))-AVERAGE(OFFSET($H$3,0,0,'Données projet'!$E$17+1,1))</f>
        <v>298.96480270023716</v>
      </c>
      <c r="GF181" s="59">
        <f t="shared" si="158"/>
        <v>293.11447542333889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3.008927500340429</v>
      </c>
      <c r="GM181" s="21">
        <f>EXP(-LN(2)/25)*GM180+(1-EXP(-LN(2)/25))/(LN(2)/25)*Calculateur!GH181*Calculateur!GJ181*VLOOKUP('Données projet'!$B$17,Paramètres!$A$1:$I$89,3,0)*0.475*44/12</f>
        <v>1.2332082199821353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4.2421357203225645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-1.4210854715202004E-13</v>
      </c>
      <c r="GV181" s="17">
        <f>GU181*VLOOKUP('Données projet'!$B$18,Paramètres!$A$1:$I$89,3,0)*VLOOKUP('Données projet'!$B$18,Paramètres!$A$1:$I$89,5,0)</f>
        <v>-8.128608897095547E-14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320.76883487964511</v>
      </c>
      <c r="HA181" s="59">
        <f t="shared" si="160"/>
        <v>290.51177680335746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23.774699083176674</v>
      </c>
      <c r="HH181" s="21">
        <f>EXP(-LN(2)/25)*HH180+(1-EXP(-LN(2)/25))/(LN(2)/25)*Calculateur!HC181*Calculateur!HE181*VLOOKUP('Données projet'!$B$18,Paramètres!$A$1:$I$89,3,0)*0.475*44/12</f>
        <v>2.9071387395172406</v>
      </c>
      <c r="HI181" s="21">
        <f>EXP(-LN(2)/2)*HI180+(1-EXP(-LN(2)/2))/(LN(2)/2)*HC181*HF181*VLOOKUP('Données projet'!$B$18,Paramètres!$A$1:$I$89,3,0)*0.475*44/12</f>
        <v>1.8088904487988865E-12</v>
      </c>
      <c r="HJ181" s="22">
        <f t="shared" si="190"/>
        <v>26.681837822695723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5.763922672485933E-13</v>
      </c>
      <c r="AK182" s="13">
        <f t="shared" si="164"/>
        <v>7.0619171555808457E-12</v>
      </c>
      <c r="AL182" s="20">
        <f t="shared" si="165"/>
        <v>1.3303388911427938E-11</v>
      </c>
      <c r="AM182" s="59">
        <f t="shared" si="113"/>
        <v>293.33333333334662</v>
      </c>
      <c r="AN182" s="59">
        <f ca="1">AVERAGE(OFFSET($AM$3,0,0,'Données projet'!$E$10+1,1))-AVERAGE(OFFSET($H$3,0,0,'Données projet'!$E$10+1,1))</f>
        <v>425.47148407510412</v>
      </c>
      <c r="AO182" s="59">
        <f t="shared" si="144"/>
        <v>308.54448799922471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74.063515438017546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74.063515438017546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212.00000000000009</v>
      </c>
      <c r="BE182" s="13">
        <f>BD182*VLOOKUP('Données projet'!$B$11,Paramètres!$A$1:$I$89,3,0)*VLOOKUP('Données projet'!$B$11,Paramètres!$A$1:$I$89,5,0)</f>
        <v>185.20320000000009</v>
      </c>
      <c r="BF182" s="13">
        <f t="shared" si="167"/>
        <v>46.477875402099386</v>
      </c>
      <c r="BG182" s="20">
        <f t="shared" si="168"/>
        <v>403.5112063253232</v>
      </c>
      <c r="BH182" s="59">
        <f t="shared" si="116"/>
        <v>696.84453965865646</v>
      </c>
      <c r="BI182" s="59">
        <f ca="1">AVERAGE(OFFSET($BH$3,0,0,'Données projet'!$E$11+1,1))-AVERAGE(OFFSET($H$3,0,0,'Données projet'!$E$11+1,1))</f>
        <v>300.63505444445104</v>
      </c>
      <c r="BJ182" s="59">
        <f t="shared" si="146"/>
        <v>266.32508105927997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3.1240962050969752</v>
      </c>
      <c r="BQ182" s="21">
        <f>EXP(-LN(2)/25)*BQ181+(1-EXP(-LN(2)/25))/(LN(2)/25)*Calculateur!BL182*Calculateur!BN182*VLOOKUP('Données projet'!$B$11,Paramètres!$A$1:$I$89,3,0)*0.475*44/12</f>
        <v>1.5648533483204088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4.688949553417384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-4.3273757910355926E-13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361.26385625423757</v>
      </c>
      <c r="CE182" s="59">
        <f t="shared" si="148"/>
        <v>222.05197404028576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104.66519515037643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104.66519515037643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247.00000000000017</v>
      </c>
      <c r="CU182" s="17">
        <f>CT182*VLOOKUP('Données projet'!$B$13,Paramètres!$A$1:$I$89,3,0)*VLOOKUP('Données projet'!$B$13,Paramètres!$A$1:$I$89,5,0)</f>
        <v>223.48560000000012</v>
      </c>
      <c r="CV182" s="13">
        <f t="shared" si="173"/>
        <v>54.87176918107798</v>
      </c>
      <c r="CW182" s="20">
        <f t="shared" si="174"/>
        <v>484.80575132371092</v>
      </c>
      <c r="CX182" s="59">
        <f t="shared" si="122"/>
        <v>778.13908465704424</v>
      </c>
      <c r="CY182" s="59">
        <f ca="1">AVERAGE(OFFSET($CX$3,0,0,'Données projet'!$E$13+1,1))-AVERAGE(OFFSET($H$3,0,0,'Données projet'!$E$13+1,1))</f>
        <v>302.6937347295995</v>
      </c>
      <c r="CZ182" s="59">
        <f t="shared" si="150"/>
        <v>423.44006663873375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3.1680890143807851E-2</v>
      </c>
      <c r="DG182" s="21">
        <f>EXP(-LN(2)/25)*DG181+(1-EXP(-LN(2)/25))/(LN(2)/25)*Calculateur!DB182*Calculateur!DD182*VLOOKUP('Données projet'!$B$13,Paramètres!$A$1:$I$89,3,0)*0.475*44/12</f>
        <v>6.8903345833879526E-2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0.10058423597768737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-4.3983163777738812E-13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366.51581861366333</v>
      </c>
      <c r="DU182" s="59">
        <f t="shared" si="152"/>
        <v>225.01415116995503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106.38101802169408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106.38101802169408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328.00000000000017</v>
      </c>
      <c r="EK182" s="17">
        <f>EJ182*VLOOKUP('Données projet'!$B$15,Paramètres!$A$1:$I$89,3,0)*VLOOKUP('Données projet'!$B$15,Paramètres!$A$1:$I$89,5,0)</f>
        <v>255.84000000000015</v>
      </c>
      <c r="EL182" s="13">
        <f t="shared" si="179"/>
        <v>61.834803371075886</v>
      </c>
      <c r="EM182" s="20">
        <f t="shared" si="180"/>
        <v>553.28361587129086</v>
      </c>
      <c r="EN182" s="59">
        <f t="shared" si="128"/>
        <v>846.61694920462423</v>
      </c>
      <c r="EO182" s="59">
        <f ca="1">AVERAGE(OFFSET($EN$3,0,0,'Données projet'!$E$15+1,1))-AVERAGE(OFFSET($H$3,0,0,'Données projet'!$E$15+1,1))</f>
        <v>288.80569134263209</v>
      </c>
      <c r="EP182" s="59">
        <f t="shared" si="154"/>
        <v>283.48738729114024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2.3012834451179671</v>
      </c>
      <c r="EW182" s="21">
        <f>EXP(-LN(2)/25)*EW181+(1-EXP(-LN(2)/25))/(LN(2)/25)*Calculateur!ER182*Calculateur!ET182*VLOOKUP('Données projet'!$B$15,Paramètres!$A$1:$I$89,3,0)*0.475*44/12</f>
        <v>0.93573841225091259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3.2370218573688798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-1.0197709343628959E-13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323.17232038705157</v>
      </c>
      <c r="FK182" s="59">
        <f t="shared" si="156"/>
        <v>402.34685738619197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14.252033134966815</v>
      </c>
      <c r="FR182" s="21">
        <f>EXP(-LN(2)/25)*FR181+(1-EXP(-LN(2)/25))/(LN(2)/25)*Calculateur!FM182*Calculateur!FO182*VLOOKUP('Données projet'!$B$16,Paramètres!$A$1:$I$89,3,0)*0.475*44/12</f>
        <v>1.4600252474734738</v>
      </c>
      <c r="FS182" s="21">
        <f>EXP(-LN(2)/2)*FS181+(1-EXP(-LN(2)/2))/(LN(2)/2)*FM182*FP182*VLOOKUP('Données projet'!$B$16,Paramètres!$A$1:$I$89,3,0)*0.475*44/12</f>
        <v>1.2390964511735247E-17</v>
      </c>
      <c r="FT182" s="22">
        <f t="shared" si="184"/>
        <v>15.71205838244029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328.00000000000017</v>
      </c>
      <c r="GA182" s="17">
        <f>FZ182*VLOOKUP('Données projet'!$B$17,Paramètres!$A$1:$I$89,3,0)*VLOOKUP('Données projet'!$B$17,Paramètres!$A$1:$I$89,5,0)</f>
        <v>266.07360000000017</v>
      </c>
      <c r="GB182" s="13">
        <f t="shared" si="185"/>
        <v>64.015279012301136</v>
      </c>
      <c r="GC182" s="20">
        <f t="shared" si="186"/>
        <v>574.90479761309132</v>
      </c>
      <c r="GD182" s="59">
        <f t="shared" si="134"/>
        <v>868.23813094642469</v>
      </c>
      <c r="GE182" s="59">
        <f ca="1">AVERAGE(OFFSET($GD$3,0,0,'Données projet'!$E$17+1,1))-AVERAGE(OFFSET($H$3,0,0,'Données projet'!$E$17+1,1))</f>
        <v>298.96480270023716</v>
      </c>
      <c r="GF182" s="59">
        <f t="shared" si="158"/>
        <v>293.11447542333889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2.9499242673233113</v>
      </c>
      <c r="GM182" s="21">
        <f>EXP(-LN(2)/25)*GM181+(1-EXP(-LN(2)/25))/(LN(2)/25)*Calculateur!GH182*Calculateur!GJ182*VLOOKUP('Données projet'!$B$17,Paramètres!$A$1:$I$89,3,0)*0.475*44/12</f>
        <v>1.1994860763551221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4.1494103436784329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-1.4210854715202004E-13</v>
      </c>
      <c r="GV182" s="17">
        <f>GU182*VLOOKUP('Données projet'!$B$18,Paramètres!$A$1:$I$89,3,0)*VLOOKUP('Données projet'!$B$18,Paramètres!$A$1:$I$89,5,0)</f>
        <v>-8.128608897095547E-14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320.76883487964511</v>
      </c>
      <c r="HA182" s="59">
        <f t="shared" si="160"/>
        <v>290.51177680335746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23.308491735290154</v>
      </c>
      <c r="HH182" s="21">
        <f>EXP(-LN(2)/25)*HH181+(1-EXP(-LN(2)/25))/(LN(2)/25)*Calculateur!HC182*Calculateur!HE182*VLOOKUP('Données projet'!$B$18,Paramètres!$A$1:$I$89,3,0)*0.475*44/12</f>
        <v>2.8276428778053595</v>
      </c>
      <c r="HI182" s="21">
        <f>EXP(-LN(2)/2)*HI181+(1-EXP(-LN(2)/2))/(LN(2)/2)*HC182*HF182*VLOOKUP('Données projet'!$B$18,Paramètres!$A$1:$I$89,3,0)*0.475*44/12</f>
        <v>1.2790787027692701E-12</v>
      </c>
      <c r="HJ182" s="22">
        <f t="shared" si="190"/>
        <v>26.136134613096793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5.763922672485933E-13</v>
      </c>
      <c r="AK183" s="13">
        <f t="shared" si="164"/>
        <v>7.0619171555808457E-12</v>
      </c>
      <c r="AL183" s="20">
        <f t="shared" si="165"/>
        <v>1.3303388911427938E-11</v>
      </c>
      <c r="AM183" s="59">
        <f t="shared" si="113"/>
        <v>293.33333333334662</v>
      </c>
      <c r="AN183" s="59">
        <f ca="1">AVERAGE(OFFSET($AM$3,0,0,'Données projet'!$E$10+1,1))-AVERAGE(OFFSET($H$3,0,0,'Données projet'!$E$10+1,1))</f>
        <v>425.47148407510412</v>
      </c>
      <c r="AO183" s="59">
        <f t="shared" si="144"/>
        <v>308.54448799922471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72.611175074561856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72.611175074561856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212.00000000000009</v>
      </c>
      <c r="BE183" s="13">
        <f>BD183*VLOOKUP('Données projet'!$B$11,Paramètres!$A$1:$I$89,3,0)*VLOOKUP('Données projet'!$B$11,Paramètres!$A$1:$I$89,5,0)</f>
        <v>185.20320000000009</v>
      </c>
      <c r="BF183" s="13">
        <f t="shared" si="167"/>
        <v>46.477875402099386</v>
      </c>
      <c r="BG183" s="20">
        <f t="shared" si="168"/>
        <v>403.5112063253232</v>
      </c>
      <c r="BH183" s="59">
        <f t="shared" si="116"/>
        <v>696.84453965865646</v>
      </c>
      <c r="BI183" s="59">
        <f ca="1">AVERAGE(OFFSET($BH$3,0,0,'Données projet'!$E$11+1,1))-AVERAGE(OFFSET($H$3,0,0,'Données projet'!$E$11+1,1))</f>
        <v>300.63505444445104</v>
      </c>
      <c r="BJ183" s="59">
        <f t="shared" si="146"/>
        <v>266.32508105927997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3.0628345840255551</v>
      </c>
      <c r="BQ183" s="21">
        <f>EXP(-LN(2)/25)*BQ182+(1-EXP(-LN(2)/25))/(LN(2)/25)*Calculateur!BL183*Calculateur!BN183*VLOOKUP('Données projet'!$B$11,Paramètres!$A$1:$I$89,3,0)*0.475*44/12</f>
        <v>1.5220623512185261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4.5848969352440809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-4.3273757910355926E-13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361.26385625423757</v>
      </c>
      <c r="CE183" s="59">
        <f t="shared" si="148"/>
        <v>222.05197404028576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102.61277451294298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102.61277451294298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247.00000000000017</v>
      </c>
      <c r="CU183" s="17">
        <f>CT183*VLOOKUP('Données projet'!$B$13,Paramètres!$A$1:$I$89,3,0)*VLOOKUP('Données projet'!$B$13,Paramètres!$A$1:$I$89,5,0)</f>
        <v>223.48560000000012</v>
      </c>
      <c r="CV183" s="13">
        <f t="shared" si="173"/>
        <v>54.87176918107798</v>
      </c>
      <c r="CW183" s="20">
        <f t="shared" si="174"/>
        <v>484.80575132371092</v>
      </c>
      <c r="CX183" s="59">
        <f t="shared" si="122"/>
        <v>778.13908465704424</v>
      </c>
      <c r="CY183" s="59">
        <f ca="1">AVERAGE(OFFSET($CX$3,0,0,'Données projet'!$E$13+1,1))-AVERAGE(OFFSET($H$3,0,0,'Données projet'!$E$13+1,1))</f>
        <v>302.6937347295995</v>
      </c>
      <c r="CZ183" s="59">
        <f t="shared" si="150"/>
        <v>423.44006663873375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3.1059647211522736E-2</v>
      </c>
      <c r="DG183" s="21">
        <f>EXP(-LN(2)/25)*DG182+(1-EXP(-LN(2)/25))/(LN(2)/25)*Calculateur!DB183*Calculateur!DD183*VLOOKUP('Données projet'!$B$13,Paramètres!$A$1:$I$89,3,0)*0.475*44/12</f>
        <v>6.7019180218582608E-2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9.8078827430105348E-2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-4.3983163777738812E-13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366.51581861366333</v>
      </c>
      <c r="DU183" s="59">
        <f t="shared" si="152"/>
        <v>225.01415116995503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104.29495114430269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104.29495114430269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328.00000000000017</v>
      </c>
      <c r="EK183" s="17">
        <f>EJ183*VLOOKUP('Données projet'!$B$15,Paramètres!$A$1:$I$89,3,0)*VLOOKUP('Données projet'!$B$15,Paramètres!$A$1:$I$89,5,0)</f>
        <v>255.84000000000015</v>
      </c>
      <c r="EL183" s="13">
        <f t="shared" si="179"/>
        <v>61.834803371075886</v>
      </c>
      <c r="EM183" s="20">
        <f t="shared" si="180"/>
        <v>553.28361587129086</v>
      </c>
      <c r="EN183" s="59">
        <f t="shared" si="128"/>
        <v>846.61694920462423</v>
      </c>
      <c r="EO183" s="59">
        <f ca="1">AVERAGE(OFFSET($EN$3,0,0,'Données projet'!$E$15+1,1))-AVERAGE(OFFSET($H$3,0,0,'Données projet'!$E$15+1,1))</f>
        <v>288.80569134263209</v>
      </c>
      <c r="EP183" s="59">
        <f t="shared" si="154"/>
        <v>283.48738729114024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2.2561566804035071</v>
      </c>
      <c r="EW183" s="21">
        <f>EXP(-LN(2)/25)*EW182+(1-EXP(-LN(2)/25))/(LN(2)/25)*Calculateur!ER183*Calculateur!ET183*VLOOKUP('Données projet'!$B$15,Paramètres!$A$1:$I$89,3,0)*0.475*44/12</f>
        <v>0.91015059615956695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3.166307276563074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-1.0197709343628959E-13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323.17232038705157</v>
      </c>
      <c r="FK183" s="59">
        <f t="shared" si="156"/>
        <v>402.34685738619197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13.972559458071977</v>
      </c>
      <c r="FR183" s="21">
        <f>EXP(-LN(2)/25)*FR182+(1-EXP(-LN(2)/25))/(LN(2)/25)*Calculateur!FM183*Calculateur!FO183*VLOOKUP('Données projet'!$B$16,Paramètres!$A$1:$I$89,3,0)*0.475*44/12</f>
        <v>1.4201007803019208</v>
      </c>
      <c r="FS183" s="21">
        <f>EXP(-LN(2)/2)*FS182+(1-EXP(-LN(2)/2))/(LN(2)/2)*FM183*FP183*VLOOKUP('Données projet'!$B$16,Paramètres!$A$1:$I$89,3,0)*0.475*44/12</f>
        <v>8.7617350316898507E-18</v>
      </c>
      <c r="FT183" s="22">
        <f t="shared" si="184"/>
        <v>15.392660238373898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328.00000000000017</v>
      </c>
      <c r="GA183" s="17">
        <f>FZ183*VLOOKUP('Données projet'!$B$17,Paramètres!$A$1:$I$89,3,0)*VLOOKUP('Données projet'!$B$17,Paramètres!$A$1:$I$89,5,0)</f>
        <v>266.07360000000017</v>
      </c>
      <c r="GB183" s="13">
        <f t="shared" si="185"/>
        <v>64.015279012301136</v>
      </c>
      <c r="GC183" s="20">
        <f t="shared" si="186"/>
        <v>574.90479761309132</v>
      </c>
      <c r="GD183" s="59">
        <f t="shared" si="134"/>
        <v>868.23813094642469</v>
      </c>
      <c r="GE183" s="59">
        <f ca="1">AVERAGE(OFFSET($GD$3,0,0,'Données projet'!$E$17+1,1))-AVERAGE(OFFSET($H$3,0,0,'Données projet'!$E$17+1,1))</f>
        <v>298.96480270023716</v>
      </c>
      <c r="GF183" s="59">
        <f t="shared" si="158"/>
        <v>293.11447542333889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2.8920780517172404</v>
      </c>
      <c r="GM183" s="21">
        <f>EXP(-LN(2)/25)*GM182+(1-EXP(-LN(2)/25))/(LN(2)/25)*Calculateur!GH183*Calculateur!GJ183*VLOOKUP('Données projet'!$B$17,Paramètres!$A$1:$I$89,3,0)*0.475*44/12</f>
        <v>1.16668606651896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4.0587641182362004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-1.4210854715202004E-13</v>
      </c>
      <c r="GV183" s="17">
        <f>GU183*VLOOKUP('Données projet'!$B$18,Paramètres!$A$1:$I$89,3,0)*VLOOKUP('Données projet'!$B$18,Paramètres!$A$1:$I$89,5,0)</f>
        <v>-8.128608897095547E-14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320.76883487964511</v>
      </c>
      <c r="HA183" s="59">
        <f t="shared" si="160"/>
        <v>290.51177680335746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22.851426429137284</v>
      </c>
      <c r="HH183" s="21">
        <f>EXP(-LN(2)/25)*HH182+(1-EXP(-LN(2)/25))/(LN(2)/25)*Calculateur!HC183*Calculateur!HE183*VLOOKUP('Données projet'!$B$18,Paramètres!$A$1:$I$89,3,0)*0.475*44/12</f>
        <v>2.7503208346124959</v>
      </c>
      <c r="HI183" s="21">
        <f>EXP(-LN(2)/2)*HI182+(1-EXP(-LN(2)/2))/(LN(2)/2)*HC183*HF183*VLOOKUP('Données projet'!$B$18,Paramètres!$A$1:$I$89,3,0)*0.475*44/12</f>
        <v>9.0444522439944337E-13</v>
      </c>
      <c r="HJ183" s="22">
        <f t="shared" si="190"/>
        <v>25.601747263750685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5.763922672485933E-13</v>
      </c>
      <c r="AK184" s="13">
        <f t="shared" si="164"/>
        <v>7.0619171555808457E-12</v>
      </c>
      <c r="AL184" s="20">
        <f t="shared" si="165"/>
        <v>1.3303388911427938E-11</v>
      </c>
      <c r="AM184" s="59">
        <f t="shared" si="113"/>
        <v>293.33333333334662</v>
      </c>
      <c r="AN184" s="59">
        <f ca="1">AVERAGE(OFFSET($AM$3,0,0,'Données projet'!$E$10+1,1))-AVERAGE(OFFSET($H$3,0,0,'Données projet'!$E$10+1,1))</f>
        <v>425.47148407510412</v>
      </c>
      <c r="AO184" s="59">
        <f t="shared" si="144"/>
        <v>308.54448799922471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71.187314219793379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71.187314219793379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212.00000000000009</v>
      </c>
      <c r="BE184" s="13">
        <f>BD184*VLOOKUP('Données projet'!$B$11,Paramètres!$A$1:$I$89,3,0)*VLOOKUP('Données projet'!$B$11,Paramètres!$A$1:$I$89,5,0)</f>
        <v>185.20320000000009</v>
      </c>
      <c r="BF184" s="13">
        <f t="shared" si="167"/>
        <v>46.477875402099386</v>
      </c>
      <c r="BG184" s="20">
        <f t="shared" si="168"/>
        <v>403.5112063253232</v>
      </c>
      <c r="BH184" s="59">
        <f t="shared" si="116"/>
        <v>696.84453965865646</v>
      </c>
      <c r="BI184" s="59">
        <f ca="1">AVERAGE(OFFSET($BH$3,0,0,'Données projet'!$E$11+1,1))-AVERAGE(OFFSET($H$3,0,0,'Données projet'!$E$11+1,1))</f>
        <v>300.63505444445104</v>
      </c>
      <c r="BJ184" s="59">
        <f t="shared" si="146"/>
        <v>266.32508105927997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3.0027742659774463</v>
      </c>
      <c r="BQ184" s="21">
        <f>EXP(-LN(2)/25)*BQ183+(1-EXP(-LN(2)/25))/(LN(2)/25)*Calculateur!BL184*Calculateur!BN184*VLOOKUP('Données projet'!$B$11,Paramètres!$A$1:$I$89,3,0)*0.475*44/12</f>
        <v>1.4804414761826752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4.4832157421601213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-4.3273757910355926E-13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361.26385625423757</v>
      </c>
      <c r="CE184" s="59">
        <f t="shared" si="148"/>
        <v>222.05197404028576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100.6006005923566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100.6006005923566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247.00000000000017</v>
      </c>
      <c r="CU184" s="17">
        <f>CT184*VLOOKUP('Données projet'!$B$13,Paramètres!$A$1:$I$89,3,0)*VLOOKUP('Données projet'!$B$13,Paramètres!$A$1:$I$89,5,0)</f>
        <v>223.48560000000012</v>
      </c>
      <c r="CV184" s="13">
        <f t="shared" si="173"/>
        <v>54.87176918107798</v>
      </c>
      <c r="CW184" s="20">
        <f t="shared" si="174"/>
        <v>484.80575132371092</v>
      </c>
      <c r="CX184" s="59">
        <f t="shared" si="122"/>
        <v>778.13908465704424</v>
      </c>
      <c r="CY184" s="59">
        <f ca="1">AVERAGE(OFFSET($CX$3,0,0,'Données projet'!$E$13+1,1))-AVERAGE(OFFSET($H$3,0,0,'Données projet'!$E$13+1,1))</f>
        <v>302.6937347295995</v>
      </c>
      <c r="CZ184" s="59">
        <f t="shared" si="150"/>
        <v>423.44006663873375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3.0450586474218957E-2</v>
      </c>
      <c r="DG184" s="21">
        <f>EXP(-LN(2)/25)*DG183+(1-EXP(-LN(2)/25))/(LN(2)/25)*Calculateur!DB184*Calculateur!DD184*VLOOKUP('Données projet'!$B$13,Paramètres!$A$1:$I$89,3,0)*0.475*44/12</f>
        <v>6.5186537211119958E-2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9.5637123685338915E-2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-4.3983163777738812E-13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366.51581861366333</v>
      </c>
      <c r="DU184" s="59">
        <f t="shared" si="152"/>
        <v>225.01415116995503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102.24979076600178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102.24979076600178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328.00000000000017</v>
      </c>
      <c r="EK184" s="17">
        <f>EJ184*VLOOKUP('Données projet'!$B$15,Paramètres!$A$1:$I$89,3,0)*VLOOKUP('Données projet'!$B$15,Paramètres!$A$1:$I$89,5,0)</f>
        <v>255.84000000000015</v>
      </c>
      <c r="EL184" s="13">
        <f t="shared" si="179"/>
        <v>61.834803371075886</v>
      </c>
      <c r="EM184" s="20">
        <f t="shared" si="180"/>
        <v>553.28361587129086</v>
      </c>
      <c r="EN184" s="59">
        <f t="shared" si="128"/>
        <v>846.61694920462423</v>
      </c>
      <c r="EO184" s="59">
        <f ca="1">AVERAGE(OFFSET($EN$3,0,0,'Données projet'!$E$15+1,1))-AVERAGE(OFFSET($H$3,0,0,'Données projet'!$E$15+1,1))</f>
        <v>288.80569134263209</v>
      </c>
      <c r="EP184" s="59">
        <f t="shared" si="154"/>
        <v>283.48738729114024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2.2119148240204889</v>
      </c>
      <c r="EW184" s="21">
        <f>EXP(-LN(2)/25)*EW183+(1-EXP(-LN(2)/25))/(LN(2)/25)*Calculateur!ER184*Calculateur!ET184*VLOOKUP('Données projet'!$B$15,Paramètres!$A$1:$I$89,3,0)*0.475*44/12</f>
        <v>0.88526248024484389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3.0971773042653328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-1.0197709343628959E-13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323.17232038705157</v>
      </c>
      <c r="FK184" s="59">
        <f t="shared" si="156"/>
        <v>402.34685738619197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13.698566089518936</v>
      </c>
      <c r="FR184" s="21">
        <f>EXP(-LN(2)/25)*FR183+(1-EXP(-LN(2)/25))/(LN(2)/25)*Calculateur!FM184*Calculateur!FO184*VLOOKUP('Données projet'!$B$16,Paramètres!$A$1:$I$89,3,0)*0.475*44/12</f>
        <v>1.3812680497847103</v>
      </c>
      <c r="FS184" s="21">
        <f>EXP(-LN(2)/2)*FS183+(1-EXP(-LN(2)/2))/(LN(2)/2)*FM184*FP184*VLOOKUP('Données projet'!$B$16,Paramètres!$A$1:$I$89,3,0)*0.475*44/12</f>
        <v>6.1954822558676234E-18</v>
      </c>
      <c r="FT184" s="22">
        <f t="shared" si="184"/>
        <v>15.079834139303646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328.00000000000017</v>
      </c>
      <c r="GA184" s="17">
        <f>FZ184*VLOOKUP('Données projet'!$B$17,Paramètres!$A$1:$I$89,3,0)*VLOOKUP('Données projet'!$B$17,Paramètres!$A$1:$I$89,5,0)</f>
        <v>266.07360000000017</v>
      </c>
      <c r="GB184" s="13">
        <f t="shared" si="185"/>
        <v>64.015279012301136</v>
      </c>
      <c r="GC184" s="20">
        <f t="shared" si="186"/>
        <v>574.90479761309132</v>
      </c>
      <c r="GD184" s="59">
        <f t="shared" si="134"/>
        <v>868.23813094642469</v>
      </c>
      <c r="GE184" s="59">
        <f ca="1">AVERAGE(OFFSET($GD$3,0,0,'Données projet'!$E$17+1,1))-AVERAGE(OFFSET($H$3,0,0,'Données projet'!$E$17+1,1))</f>
        <v>298.96480270023716</v>
      </c>
      <c r="GF184" s="59">
        <f t="shared" si="158"/>
        <v>293.11447542333889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2.835366165116497</v>
      </c>
      <c r="GM184" s="21">
        <f>EXP(-LN(2)/25)*GM183+(1-EXP(-LN(2)/25))/(LN(2)/25)*Calculateur!GH184*Calculateur!GJ184*VLOOKUP('Données projet'!$B$17,Paramètres!$A$1:$I$89,3,0)*0.475*44/12</f>
        <v>1.1347829746766454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3.9701491397931425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-1.4210854715202004E-13</v>
      </c>
      <c r="GV184" s="17">
        <f>GU184*VLOOKUP('Données projet'!$B$18,Paramètres!$A$1:$I$89,3,0)*VLOOKUP('Données projet'!$B$18,Paramètres!$A$1:$I$89,5,0)</f>
        <v>-8.128608897095547E-14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320.76883487964511</v>
      </c>
      <c r="HA184" s="59">
        <f t="shared" si="160"/>
        <v>290.51177680335746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22.40332389485576</v>
      </c>
      <c r="HH184" s="21">
        <f>EXP(-LN(2)/25)*HH183+(1-EXP(-LN(2)/25))/(LN(2)/25)*Calculateur!HC184*Calculateur!HE184*VLOOKUP('Données projet'!$B$18,Paramètres!$A$1:$I$89,3,0)*0.475*44/12</f>
        <v>2.6751131667569306</v>
      </c>
      <c r="HI184" s="21">
        <f>EXP(-LN(2)/2)*HI183+(1-EXP(-LN(2)/2))/(LN(2)/2)*HC184*HF184*VLOOKUP('Données projet'!$B$18,Paramètres!$A$1:$I$89,3,0)*0.475*44/12</f>
        <v>6.3953935138463516E-13</v>
      </c>
      <c r="HJ184" s="22">
        <f t="shared" si="190"/>
        <v>25.078437061613329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5.763922672485933E-13</v>
      </c>
      <c r="AK185" s="13">
        <f t="shared" si="164"/>
        <v>7.0619171555808457E-12</v>
      </c>
      <c r="AL185" s="20">
        <f t="shared" si="165"/>
        <v>1.3303388911427938E-11</v>
      </c>
      <c r="AM185" s="59">
        <f t="shared" si="113"/>
        <v>293.33333333334662</v>
      </c>
      <c r="AN185" s="59">
        <f ca="1">AVERAGE(OFFSET($AM$3,0,0,'Données projet'!$E$10+1,1))-AVERAGE(OFFSET($H$3,0,0,'Données projet'!$E$10+1,1))</f>
        <v>425.47148407510412</v>
      </c>
      <c r="AO185" s="59">
        <f t="shared" si="144"/>
        <v>308.54448799922471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69.791374407917544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69.791374407917544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212.00000000000009</v>
      </c>
      <c r="BE185" s="13">
        <f>BD185*VLOOKUP('Données projet'!$B$11,Paramètres!$A$1:$I$89,3,0)*VLOOKUP('Données projet'!$B$11,Paramètres!$A$1:$I$89,5,0)</f>
        <v>185.20320000000009</v>
      </c>
      <c r="BF185" s="13">
        <f t="shared" si="167"/>
        <v>46.477875402099386</v>
      </c>
      <c r="BG185" s="20">
        <f t="shared" si="168"/>
        <v>403.5112063253232</v>
      </c>
      <c r="BH185" s="59">
        <f t="shared" si="116"/>
        <v>696.84453965865646</v>
      </c>
      <c r="BI185" s="59">
        <f ca="1">AVERAGE(OFFSET($BH$3,0,0,'Données projet'!$E$11+1,1))-AVERAGE(OFFSET($H$3,0,0,'Données projet'!$E$11+1,1))</f>
        <v>300.63505444445104</v>
      </c>
      <c r="BJ185" s="59">
        <f t="shared" si="146"/>
        <v>266.32508105927997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2.9438916941330842</v>
      </c>
      <c r="BQ185" s="21">
        <f>EXP(-LN(2)/25)*BQ184+(1-EXP(-LN(2)/25))/(LN(2)/25)*Calculateur!BL185*Calculateur!BN185*VLOOKUP('Données projet'!$B$11,Paramètres!$A$1:$I$89,3,0)*0.475*44/12</f>
        <v>1.4399587261634264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4.3838504202965103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-4.3273757910355926E-13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361.26385625423757</v>
      </c>
      <c r="CE185" s="59">
        <f t="shared" si="148"/>
        <v>222.05197404028576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98.627884175048024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98.627884175048024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247.00000000000017</v>
      </c>
      <c r="CU185" s="17">
        <f>CT185*VLOOKUP('Données projet'!$B$13,Paramètres!$A$1:$I$89,3,0)*VLOOKUP('Données projet'!$B$13,Paramètres!$A$1:$I$89,5,0)</f>
        <v>223.48560000000012</v>
      </c>
      <c r="CV185" s="13">
        <f t="shared" si="173"/>
        <v>54.87176918107798</v>
      </c>
      <c r="CW185" s="20">
        <f t="shared" si="174"/>
        <v>484.80575132371092</v>
      </c>
      <c r="CX185" s="59">
        <f t="shared" si="122"/>
        <v>778.13908465704424</v>
      </c>
      <c r="CY185" s="59">
        <f ca="1">AVERAGE(OFFSET($CX$3,0,0,'Données projet'!$E$13+1,1))-AVERAGE(OFFSET($H$3,0,0,'Données projet'!$E$13+1,1))</f>
        <v>302.6937347295995</v>
      </c>
      <c r="CZ185" s="59">
        <f t="shared" si="150"/>
        <v>423.44006663873375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2.9853469046483339E-2</v>
      </c>
      <c r="DG185" s="21">
        <f>EXP(-LN(2)/25)*DG184+(1-EXP(-LN(2)/25))/(LN(2)/25)*Calculateur!DB185*Calculateur!DD185*VLOOKUP('Données projet'!$B$13,Paramètres!$A$1:$I$89,3,0)*0.475*44/12</f>
        <v>6.3404007923070882E-2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9.3257476969554221E-2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-4.3983163777738812E-13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366.51581861366333</v>
      </c>
      <c r="DU185" s="59">
        <f t="shared" si="152"/>
        <v>225.01415116995503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100.2447347352947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100.2447347352947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328.00000000000017</v>
      </c>
      <c r="EK185" s="17">
        <f>EJ185*VLOOKUP('Données projet'!$B$15,Paramètres!$A$1:$I$89,3,0)*VLOOKUP('Données projet'!$B$15,Paramètres!$A$1:$I$89,5,0)</f>
        <v>255.84000000000015</v>
      </c>
      <c r="EL185" s="13">
        <f t="shared" si="179"/>
        <v>61.834803371075886</v>
      </c>
      <c r="EM185" s="20">
        <f t="shared" si="180"/>
        <v>553.28361587129086</v>
      </c>
      <c r="EN185" s="59">
        <f t="shared" si="128"/>
        <v>846.61694920462423</v>
      </c>
      <c r="EO185" s="59">
        <f ca="1">AVERAGE(OFFSET($EN$3,0,0,'Données projet'!$E$15+1,1))-AVERAGE(OFFSET($H$3,0,0,'Données projet'!$E$15+1,1))</f>
        <v>288.80569134263209</v>
      </c>
      <c r="EP185" s="59">
        <f t="shared" si="154"/>
        <v>283.48738729114024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2.1685405234562736</v>
      </c>
      <c r="EW185" s="21">
        <f>EXP(-LN(2)/25)*EW184+(1-EXP(-LN(2)/25))/(LN(2)/25)*Calculateur!ER185*Calculateur!ET185*VLOOKUP('Données projet'!$B$15,Paramètres!$A$1:$I$89,3,0)*0.475*44/12</f>
        <v>0.86105493116861809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3.0295954546248915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-1.0197709343628959E-13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323.17232038705157</v>
      </c>
      <c r="FK185" s="59">
        <f t="shared" si="156"/>
        <v>402.34685738619197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13.429945563803766</v>
      </c>
      <c r="FR185" s="21">
        <f>EXP(-LN(2)/25)*FR184+(1-EXP(-LN(2)/25))/(LN(2)/25)*Calculateur!FM185*Calculateur!FO185*VLOOKUP('Données projet'!$B$16,Paramètres!$A$1:$I$89,3,0)*0.475*44/12</f>
        <v>1.3434972023256175</v>
      </c>
      <c r="FS185" s="21">
        <f>EXP(-LN(2)/2)*FS184+(1-EXP(-LN(2)/2))/(LN(2)/2)*FM185*FP185*VLOOKUP('Données projet'!$B$16,Paramètres!$A$1:$I$89,3,0)*0.475*44/12</f>
        <v>4.3808675158449253E-18</v>
      </c>
      <c r="FT185" s="22">
        <f t="shared" si="184"/>
        <v>14.773442766129383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328.00000000000017</v>
      </c>
      <c r="GA185" s="17">
        <f>FZ185*VLOOKUP('Données projet'!$B$17,Paramètres!$A$1:$I$89,3,0)*VLOOKUP('Données projet'!$B$17,Paramètres!$A$1:$I$89,5,0)</f>
        <v>266.07360000000017</v>
      </c>
      <c r="GB185" s="13">
        <f t="shared" si="185"/>
        <v>64.015279012301136</v>
      </c>
      <c r="GC185" s="20">
        <f t="shared" si="186"/>
        <v>574.90479761309132</v>
      </c>
      <c r="GD185" s="59">
        <f t="shared" si="134"/>
        <v>868.23813094642469</v>
      </c>
      <c r="GE185" s="59">
        <f ca="1">AVERAGE(OFFSET($GD$3,0,0,'Données projet'!$E$17+1,1))-AVERAGE(OFFSET($H$3,0,0,'Données projet'!$E$17+1,1))</f>
        <v>298.96480270023716</v>
      </c>
      <c r="GF185" s="59">
        <f t="shared" si="158"/>
        <v>293.11447542333889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2.779766364021159</v>
      </c>
      <c r="GM185" s="21">
        <f>EXP(-LN(2)/25)*GM184+(1-EXP(-LN(2)/25))/(LN(2)/25)*Calculateur!GH185*Calculateur!GJ185*VLOOKUP('Données projet'!$B$17,Paramètres!$A$1:$I$89,3,0)*0.475*44/12</f>
        <v>1.1037522745584694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3.8835186385796283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-1.4210854715202004E-13</v>
      </c>
      <c r="GV185" s="17">
        <f>GU185*VLOOKUP('Données projet'!$B$18,Paramètres!$A$1:$I$89,3,0)*VLOOKUP('Données projet'!$B$18,Paramètres!$A$1:$I$89,5,0)</f>
        <v>-8.128608897095547E-14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320.76883487964511</v>
      </c>
      <c r="HA185" s="59">
        <f t="shared" si="160"/>
        <v>290.51177680335746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21.964008377955938</v>
      </c>
      <c r="HH185" s="21">
        <f>EXP(-LN(2)/25)*HH184+(1-EXP(-LN(2)/25))/(LN(2)/25)*Calculateur!HC185*Calculateur!HE185*VLOOKUP('Données projet'!$B$18,Paramètres!$A$1:$I$89,3,0)*0.475*44/12</f>
        <v>2.6019620565338748</v>
      </c>
      <c r="HI185" s="21">
        <f>EXP(-LN(2)/2)*HI184+(1-EXP(-LN(2)/2))/(LN(2)/2)*HC185*HF185*VLOOKUP('Données projet'!$B$18,Paramètres!$A$1:$I$89,3,0)*0.475*44/12</f>
        <v>4.5222261219972178E-13</v>
      </c>
      <c r="HJ185" s="22">
        <f t="shared" si="190"/>
        <v>24.565970434490264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5.763922672485933E-13</v>
      </c>
      <c r="AK186" s="13">
        <f t="shared" si="164"/>
        <v>7.0619171555808457E-12</v>
      </c>
      <c r="AL186" s="20">
        <f t="shared" si="165"/>
        <v>1.3303388911427938E-11</v>
      </c>
      <c r="AM186" s="59">
        <f t="shared" si="113"/>
        <v>293.33333333334662</v>
      </c>
      <c r="AN186" s="59">
        <f ca="1">AVERAGE(OFFSET($AM$3,0,0,'Données projet'!$E$10+1,1))-AVERAGE(OFFSET($H$3,0,0,'Données projet'!$E$10+1,1))</f>
        <v>425.47148407510412</v>
      </c>
      <c r="AO186" s="59">
        <f t="shared" si="144"/>
        <v>308.54448799922471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68.422808124313377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68.422808124313377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212.00000000000009</v>
      </c>
      <c r="BE186" s="13">
        <f>BD186*VLOOKUP('Données projet'!$B$11,Paramètres!$A$1:$I$89,3,0)*VLOOKUP('Données projet'!$B$11,Paramètres!$A$1:$I$89,5,0)</f>
        <v>185.20320000000009</v>
      </c>
      <c r="BF186" s="13">
        <f t="shared" si="167"/>
        <v>46.477875402099386</v>
      </c>
      <c r="BG186" s="20">
        <f t="shared" si="168"/>
        <v>403.5112063253232</v>
      </c>
      <c r="BH186" s="59">
        <f t="shared" si="116"/>
        <v>696.84453965865646</v>
      </c>
      <c r="BI186" s="59">
        <f ca="1">AVERAGE(OFFSET($BH$3,0,0,'Données projet'!$E$11+1,1))-AVERAGE(OFFSET($H$3,0,0,'Données projet'!$E$11+1,1))</f>
        <v>300.63505444445104</v>
      </c>
      <c r="BJ186" s="59">
        <f t="shared" si="146"/>
        <v>266.32508105927997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2.8861637736077674</v>
      </c>
      <c r="BQ186" s="21">
        <f>EXP(-LN(2)/25)*BQ185+(1-EXP(-LN(2)/25))/(LN(2)/25)*Calculateur!BL186*Calculateur!BN186*VLOOKUP('Données projet'!$B$11,Paramètres!$A$1:$I$89,3,0)*0.475*44/12</f>
        <v>1.4005829790723492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4.2867467526801164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-4.3273757910355926E-13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361.26385625423757</v>
      </c>
      <c r="CE186" s="59">
        <f t="shared" si="148"/>
        <v>222.05197404028576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96.693851523444664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96.693851523444664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247.00000000000017</v>
      </c>
      <c r="CU186" s="17">
        <f>CT186*VLOOKUP('Données projet'!$B$13,Paramètres!$A$1:$I$89,3,0)*VLOOKUP('Données projet'!$B$13,Paramètres!$A$1:$I$89,5,0)</f>
        <v>223.48560000000012</v>
      </c>
      <c r="CV186" s="13">
        <f t="shared" si="173"/>
        <v>54.87176918107798</v>
      </c>
      <c r="CW186" s="20">
        <f t="shared" si="174"/>
        <v>484.80575132371092</v>
      </c>
      <c r="CX186" s="59">
        <f t="shared" si="122"/>
        <v>778.13908465704424</v>
      </c>
      <c r="CY186" s="59">
        <f ca="1">AVERAGE(OFFSET($CX$3,0,0,'Données projet'!$E$13+1,1))-AVERAGE(OFFSET($H$3,0,0,'Données projet'!$E$13+1,1))</f>
        <v>302.6937347295995</v>
      </c>
      <c r="CZ186" s="59">
        <f t="shared" si="150"/>
        <v>423.44006663873375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2.9268060727299948E-2</v>
      </c>
      <c r="DG186" s="21">
        <f>EXP(-LN(2)/25)*DG185+(1-EXP(-LN(2)/25))/(LN(2)/25)*Calculateur!DB186*Calculateur!DD186*VLOOKUP('Données projet'!$B$13,Paramètres!$A$1:$I$89,3,0)*0.475*44/12</f>
        <v>6.1670221992142643E-2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9.0938282719442598E-2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-4.3983163777738812E-13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366.51581861366333</v>
      </c>
      <c r="DU186" s="59">
        <f t="shared" si="152"/>
        <v>225.01415116995503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98.278996630386359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98.278996630386359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328.00000000000017</v>
      </c>
      <c r="EK186" s="17">
        <f>EJ186*VLOOKUP('Données projet'!$B$15,Paramètres!$A$1:$I$89,3,0)*VLOOKUP('Données projet'!$B$15,Paramètres!$A$1:$I$89,5,0)</f>
        <v>255.84000000000015</v>
      </c>
      <c r="EL186" s="13">
        <f t="shared" si="179"/>
        <v>61.834803371075886</v>
      </c>
      <c r="EM186" s="20">
        <f t="shared" si="180"/>
        <v>553.28361587129086</v>
      </c>
      <c r="EN186" s="59">
        <f t="shared" si="128"/>
        <v>846.61694920462423</v>
      </c>
      <c r="EO186" s="59">
        <f ca="1">AVERAGE(OFFSET($EN$3,0,0,'Données projet'!$E$15+1,1))-AVERAGE(OFFSET($H$3,0,0,'Données projet'!$E$15+1,1))</f>
        <v>288.80569134263209</v>
      </c>
      <c r="EP186" s="59">
        <f t="shared" si="154"/>
        <v>283.48738729114024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2.1260167664704115</v>
      </c>
      <c r="EW186" s="21">
        <f>EXP(-LN(2)/25)*EW185+(1-EXP(-LN(2)/25))/(LN(2)/25)*Calculateur!ER186*Calculateur!ET186*VLOOKUP('Données projet'!$B$15,Paramètres!$A$1:$I$89,3,0)*0.475*44/12</f>
        <v>0.83750933879490141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2.9635261052653128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-1.0197709343628959E-13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323.17232038705157</v>
      </c>
      <c r="FK186" s="59">
        <f t="shared" si="156"/>
        <v>402.34685738619197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13.166592522755529</v>
      </c>
      <c r="FR186" s="21">
        <f>EXP(-LN(2)/25)*FR185+(1-EXP(-LN(2)/25))/(LN(2)/25)*Calculateur!FM186*Calculateur!FO186*VLOOKUP('Données projet'!$B$16,Paramètres!$A$1:$I$89,3,0)*0.475*44/12</f>
        <v>1.3067592006765762</v>
      </c>
      <c r="FS186" s="21">
        <f>EXP(-LN(2)/2)*FS185+(1-EXP(-LN(2)/2))/(LN(2)/2)*FM186*FP186*VLOOKUP('Données projet'!$B$16,Paramètres!$A$1:$I$89,3,0)*0.475*44/12</f>
        <v>3.0977411279338117E-18</v>
      </c>
      <c r="FT186" s="22">
        <f t="shared" si="184"/>
        <v>14.473351723432106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328.00000000000017</v>
      </c>
      <c r="GA186" s="17">
        <f>FZ186*VLOOKUP('Données projet'!$B$17,Paramètres!$A$1:$I$89,3,0)*VLOOKUP('Données projet'!$B$17,Paramètres!$A$1:$I$89,5,0)</f>
        <v>266.07360000000017</v>
      </c>
      <c r="GB186" s="13">
        <f t="shared" si="185"/>
        <v>64.015279012301136</v>
      </c>
      <c r="GC186" s="20">
        <f t="shared" si="186"/>
        <v>574.90479761309132</v>
      </c>
      <c r="GD186" s="59">
        <f t="shared" si="134"/>
        <v>868.23813094642469</v>
      </c>
      <c r="GE186" s="59">
        <f ca="1">AVERAGE(OFFSET($GD$3,0,0,'Données projet'!$E$17+1,1))-AVERAGE(OFFSET($H$3,0,0,'Données projet'!$E$17+1,1))</f>
        <v>298.96480270023716</v>
      </c>
      <c r="GF186" s="59">
        <f t="shared" si="158"/>
        <v>293.11447542333889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2.7252568411127704</v>
      </c>
      <c r="GM186" s="21">
        <f>EXP(-LN(2)/25)*GM185+(1-EXP(-LN(2)/25))/(LN(2)/25)*Calculateur!GH186*Calculateur!GJ186*VLOOKUP('Données projet'!$B$17,Paramètres!$A$1:$I$89,3,0)*0.475*44/12</f>
        <v>1.0735701105668585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3.7988269516796289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-1.4210854715202004E-13</v>
      </c>
      <c r="GV186" s="17">
        <f>GU186*VLOOKUP('Données projet'!$B$18,Paramètres!$A$1:$I$89,3,0)*VLOOKUP('Données projet'!$B$18,Paramètres!$A$1:$I$89,5,0)</f>
        <v>-8.128608897095547E-14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320.76883487964511</v>
      </c>
      <c r="HA186" s="59">
        <f t="shared" si="160"/>
        <v>290.51177680335746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21.533307570386516</v>
      </c>
      <c r="HH186" s="21">
        <f>EXP(-LN(2)/25)*HH185+(1-EXP(-LN(2)/25))/(LN(2)/25)*Calculateur!HC186*Calculateur!HE186*VLOOKUP('Données projet'!$B$18,Paramètres!$A$1:$I$89,3,0)*0.475*44/12</f>
        <v>2.5308112672667185</v>
      </c>
      <c r="HI186" s="21">
        <f>EXP(-LN(2)/2)*HI185+(1-EXP(-LN(2)/2))/(LN(2)/2)*HC186*HF186*VLOOKUP('Données projet'!$B$18,Paramètres!$A$1:$I$89,3,0)*0.475*44/12</f>
        <v>3.1976967569231763E-13</v>
      </c>
      <c r="HJ186" s="22">
        <f t="shared" si="190"/>
        <v>24.064118837653552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5.763922672485933E-13</v>
      </c>
      <c r="AK187" s="13">
        <f t="shared" si="164"/>
        <v>7.0619171555808457E-12</v>
      </c>
      <c r="AL187" s="20">
        <f t="shared" si="165"/>
        <v>1.3303388911427938E-11</v>
      </c>
      <c r="AM187" s="59">
        <f t="shared" si="113"/>
        <v>293.33333333334662</v>
      </c>
      <c r="AN187" s="59">
        <f ca="1">AVERAGE(OFFSET($AM$3,0,0,'Données projet'!$E$10+1,1))-AVERAGE(OFFSET($H$3,0,0,'Données projet'!$E$10+1,1))</f>
        <v>425.47148407510412</v>
      </c>
      <c r="AO187" s="59">
        <f t="shared" si="144"/>
        <v>308.54448799922471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67.081078590787683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67.081078590787683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212.00000000000009</v>
      </c>
      <c r="BE187" s="13">
        <f>BD187*VLOOKUP('Données projet'!$B$11,Paramètres!$A$1:$I$89,3,0)*VLOOKUP('Données projet'!$B$11,Paramètres!$A$1:$I$89,5,0)</f>
        <v>185.20320000000009</v>
      </c>
      <c r="BF187" s="13">
        <f t="shared" si="167"/>
        <v>46.477875402099386</v>
      </c>
      <c r="BG187" s="20">
        <f t="shared" si="168"/>
        <v>403.5112063253232</v>
      </c>
      <c r="BH187" s="59">
        <f t="shared" si="116"/>
        <v>696.84453965865646</v>
      </c>
      <c r="BI187" s="59">
        <f ca="1">AVERAGE(OFFSET($BH$3,0,0,'Données projet'!$E$11+1,1))-AVERAGE(OFFSET($H$3,0,0,'Données projet'!$E$11+1,1))</f>
        <v>300.63505444445104</v>
      </c>
      <c r="BJ187" s="59">
        <f t="shared" si="146"/>
        <v>266.32508105927997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2.8295678623933975</v>
      </c>
      <c r="BQ187" s="21">
        <f>EXP(-LN(2)/25)*BQ186+(1-EXP(-LN(2)/25))/(LN(2)/25)*Calculateur!BL187*Calculateur!BN187*VLOOKUP('Données projet'!$B$11,Paramètres!$A$1:$I$89,3,0)*0.475*44/12</f>
        <v>1.3622839638561579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4.1918518262495557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-4.3273757910355926E-13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361.26385625423757</v>
      </c>
      <c r="CE187" s="59">
        <f t="shared" si="148"/>
        <v>222.05197404028576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94.797744072495803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94.797744072495803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247.00000000000017</v>
      </c>
      <c r="CU187" s="17">
        <f>CT187*VLOOKUP('Données projet'!$B$13,Paramètres!$A$1:$I$89,3,0)*VLOOKUP('Données projet'!$B$13,Paramètres!$A$1:$I$89,5,0)</f>
        <v>223.48560000000012</v>
      </c>
      <c r="CV187" s="13">
        <f t="shared" si="173"/>
        <v>54.87176918107798</v>
      </c>
      <c r="CW187" s="20">
        <f t="shared" si="174"/>
        <v>484.80575132371092</v>
      </c>
      <c r="CX187" s="59">
        <f t="shared" si="122"/>
        <v>778.13908465704424</v>
      </c>
      <c r="CY187" s="59">
        <f ca="1">AVERAGE(OFFSET($CX$3,0,0,'Données projet'!$E$13+1,1))-AVERAGE(OFFSET($H$3,0,0,'Données projet'!$E$13+1,1))</f>
        <v>302.6937347295995</v>
      </c>
      <c r="CZ187" s="59">
        <f t="shared" si="150"/>
        <v>423.44006663873375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2.8694131908191926E-2</v>
      </c>
      <c r="DG187" s="21">
        <f>EXP(-LN(2)/25)*DG186+(1-EXP(-LN(2)/25))/(LN(2)/25)*Calculateur!DB187*Calculateur!DD187*VLOOKUP('Données projet'!$B$13,Paramètres!$A$1:$I$89,3,0)*0.475*44/12</f>
        <v>5.9983846528671475E-2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8.8677978436863397E-2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-4.3983163777738812E-13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366.51581861366333</v>
      </c>
      <c r="DU187" s="59">
        <f t="shared" si="152"/>
        <v>225.01415116995503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96.351805450733423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96.351805450733423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328.00000000000017</v>
      </c>
      <c r="EK187" s="17">
        <f>EJ187*VLOOKUP('Données projet'!$B$15,Paramètres!$A$1:$I$89,3,0)*VLOOKUP('Données projet'!$B$15,Paramètres!$A$1:$I$89,5,0)</f>
        <v>255.84000000000015</v>
      </c>
      <c r="EL187" s="13">
        <f t="shared" si="179"/>
        <v>61.834803371075886</v>
      </c>
      <c r="EM187" s="20">
        <f t="shared" si="180"/>
        <v>553.28361587129086</v>
      </c>
      <c r="EN187" s="59">
        <f t="shared" si="128"/>
        <v>846.61694920462423</v>
      </c>
      <c r="EO187" s="59">
        <f ca="1">AVERAGE(OFFSET($EN$3,0,0,'Données projet'!$E$15+1,1))-AVERAGE(OFFSET($H$3,0,0,'Données projet'!$E$15+1,1))</f>
        <v>288.80569134263209</v>
      </c>
      <c r="EP187" s="59">
        <f t="shared" si="154"/>
        <v>283.48738729114024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2.0843268744221115</v>
      </c>
      <c r="EW187" s="21">
        <f>EXP(-LN(2)/25)*EW186+(1-EXP(-LN(2)/25))/(LN(2)/25)*Calculateur!ER187*Calculateur!ET187*VLOOKUP('Données projet'!$B$15,Paramètres!$A$1:$I$89,3,0)*0.475*44/12</f>
        <v>0.81460760188285286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2.8989344763049645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-1.0197709343628959E-13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323.17232038705157</v>
      </c>
      <c r="FK187" s="59">
        <f t="shared" si="156"/>
        <v>402.34685738619197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12.908403674212753</v>
      </c>
      <c r="FR187" s="21">
        <f>EXP(-LN(2)/25)*FR186+(1-EXP(-LN(2)/25))/(LN(2)/25)*Calculateur!FM187*Calculateur!FO187*VLOOKUP('Données projet'!$B$16,Paramètres!$A$1:$I$89,3,0)*0.475*44/12</f>
        <v>1.2710258016145954</v>
      </c>
      <c r="FS187" s="21">
        <f>EXP(-LN(2)/2)*FS186+(1-EXP(-LN(2)/2))/(LN(2)/2)*FM187*FP187*VLOOKUP('Données projet'!$B$16,Paramètres!$A$1:$I$89,3,0)*0.475*44/12</f>
        <v>2.1904337579224627E-18</v>
      </c>
      <c r="FT187" s="22">
        <f t="shared" si="184"/>
        <v>14.179429475827348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328.00000000000017</v>
      </c>
      <c r="GA187" s="17">
        <f>FZ187*VLOOKUP('Données projet'!$B$17,Paramètres!$A$1:$I$89,3,0)*VLOOKUP('Données projet'!$B$17,Paramètres!$A$1:$I$89,5,0)</f>
        <v>266.07360000000017</v>
      </c>
      <c r="GB187" s="13">
        <f t="shared" si="185"/>
        <v>64.015279012301136</v>
      </c>
      <c r="GC187" s="20">
        <f t="shared" si="186"/>
        <v>574.90479761309132</v>
      </c>
      <c r="GD187" s="59">
        <f t="shared" si="134"/>
        <v>868.23813094642469</v>
      </c>
      <c r="GE187" s="59">
        <f ca="1">AVERAGE(OFFSET($GD$3,0,0,'Données projet'!$E$17+1,1))-AVERAGE(OFFSET($H$3,0,0,'Données projet'!$E$17+1,1))</f>
        <v>298.96480270023716</v>
      </c>
      <c r="GF187" s="59">
        <f t="shared" si="158"/>
        <v>293.11447542333889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2.6718162167010893</v>
      </c>
      <c r="GM187" s="21">
        <f>EXP(-LN(2)/25)*GM186+(1-EXP(-LN(2)/25))/(LN(2)/25)*Calculateur!GH187*Calculateur!GJ187*VLOOKUP('Données projet'!$B$17,Paramètres!$A$1:$I$89,3,0)*0.475*44/12</f>
        <v>1.0442132794368093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3.7160294961378986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-1.4210854715202004E-13</v>
      </c>
      <c r="GV187" s="17">
        <f>GU187*VLOOKUP('Données projet'!$B$18,Paramètres!$A$1:$I$89,3,0)*VLOOKUP('Données projet'!$B$18,Paramètres!$A$1:$I$89,5,0)</f>
        <v>-8.128608897095547E-14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320.76883487964511</v>
      </c>
      <c r="HA187" s="59">
        <f t="shared" si="160"/>
        <v>290.51177680335746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21.111052542951978</v>
      </c>
      <c r="HH187" s="21">
        <f>EXP(-LN(2)/25)*HH186+(1-EXP(-LN(2)/25))/(LN(2)/25)*Calculateur!HC187*Calculateur!HE187*VLOOKUP('Données projet'!$B$18,Paramètres!$A$1:$I$89,3,0)*0.475*44/12</f>
        <v>2.4616061000737299</v>
      </c>
      <c r="HI187" s="21">
        <f>EXP(-LN(2)/2)*HI186+(1-EXP(-LN(2)/2))/(LN(2)/2)*HC187*HF187*VLOOKUP('Données projet'!$B$18,Paramètres!$A$1:$I$89,3,0)*0.475*44/12</f>
        <v>2.2611130609986092E-13</v>
      </c>
      <c r="HJ187" s="22">
        <f t="shared" si="190"/>
        <v>23.572658643025935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5.763922672485933E-13</v>
      </c>
      <c r="AK188" s="13">
        <f t="shared" si="164"/>
        <v>7.0619171555808457E-12</v>
      </c>
      <c r="AL188" s="20">
        <f t="shared" si="165"/>
        <v>1.3303388911427938E-11</v>
      </c>
      <c r="AM188" s="59">
        <f t="shared" si="113"/>
        <v>293.33333333334662</v>
      </c>
      <c r="AN188" s="59">
        <f ca="1">AVERAGE(OFFSET($AM$3,0,0,'Données projet'!$E$10+1,1))-AVERAGE(OFFSET($H$3,0,0,'Données projet'!$E$10+1,1))</f>
        <v>425.47148407510412</v>
      </c>
      <c r="AO188" s="59">
        <f t="shared" si="144"/>
        <v>308.54448799922471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65.765659555040216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65.765659555040216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212.00000000000009</v>
      </c>
      <c r="BE188" s="13">
        <f>BD188*VLOOKUP('Données projet'!$B$11,Paramètres!$A$1:$I$89,3,0)*VLOOKUP('Données projet'!$B$11,Paramètres!$A$1:$I$89,5,0)</f>
        <v>185.20320000000009</v>
      </c>
      <c r="BF188" s="13">
        <f t="shared" si="167"/>
        <v>46.477875402099386</v>
      </c>
      <c r="BG188" s="20">
        <f t="shared" si="168"/>
        <v>403.5112063253232</v>
      </c>
      <c r="BH188" s="59">
        <f t="shared" si="116"/>
        <v>696.84453965865646</v>
      </c>
      <c r="BI188" s="59">
        <f ca="1">AVERAGE(OFFSET($BH$3,0,0,'Données projet'!$E$11+1,1))-AVERAGE(OFFSET($H$3,0,0,'Données projet'!$E$11+1,1))</f>
        <v>300.63505444445104</v>
      </c>
      <c r="BJ188" s="59">
        <f t="shared" si="146"/>
        <v>266.32508105927997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2.7740817624778438</v>
      </c>
      <c r="BQ188" s="21">
        <f>EXP(-LN(2)/25)*BQ187+(1-EXP(-LN(2)/25))/(LN(2)/25)*Calculateur!BL188*Calculateur!BN188*VLOOKUP('Données projet'!$B$11,Paramètres!$A$1:$I$89,3,0)*0.475*44/12</f>
        <v>1.3250322372251111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4.0991139997029551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-4.3273757910355926E-13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361.26385625423757</v>
      </c>
      <c r="CE188" s="59">
        <f t="shared" si="148"/>
        <v>222.05197404028576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92.938818132148697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92.938818132148697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247.00000000000017</v>
      </c>
      <c r="CU188" s="17">
        <f>CT188*VLOOKUP('Données projet'!$B$13,Paramètres!$A$1:$I$89,3,0)*VLOOKUP('Données projet'!$B$13,Paramètres!$A$1:$I$89,5,0)</f>
        <v>223.48560000000012</v>
      </c>
      <c r="CV188" s="13">
        <f t="shared" si="173"/>
        <v>54.87176918107798</v>
      </c>
      <c r="CW188" s="20">
        <f t="shared" si="174"/>
        <v>484.80575132371092</v>
      </c>
      <c r="CX188" s="59">
        <f t="shared" si="122"/>
        <v>778.13908465704424</v>
      </c>
      <c r="CY188" s="59">
        <f ca="1">AVERAGE(OFFSET($CX$3,0,0,'Données projet'!$E$13+1,1))-AVERAGE(OFFSET($H$3,0,0,'Données projet'!$E$13+1,1))</f>
        <v>302.6937347295995</v>
      </c>
      <c r="CZ188" s="59">
        <f t="shared" si="150"/>
        <v>423.44006663873375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2.8131457483164597E-2</v>
      </c>
      <c r="DG188" s="21">
        <f>EXP(-LN(2)/25)*DG187+(1-EXP(-LN(2)/25))/(LN(2)/25)*Calculateur!DB188*Calculateur!DD188*VLOOKUP('Données projet'!$B$13,Paramètres!$A$1:$I$89,3,0)*0.475*44/12</f>
        <v>5.8343585090931557E-2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8.6475042574096161E-2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-4.3983163777738812E-13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366.51581861366333</v>
      </c>
      <c r="DU188" s="59">
        <f t="shared" si="152"/>
        <v>225.01415116995503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94.462405314642922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94.462405314642922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328.00000000000017</v>
      </c>
      <c r="EK188" s="17">
        <f>EJ188*VLOOKUP('Données projet'!$B$15,Paramètres!$A$1:$I$89,3,0)*VLOOKUP('Données projet'!$B$15,Paramètres!$A$1:$I$89,5,0)</f>
        <v>255.84000000000015</v>
      </c>
      <c r="EL188" s="13">
        <f t="shared" si="179"/>
        <v>61.834803371075886</v>
      </c>
      <c r="EM188" s="20">
        <f t="shared" si="180"/>
        <v>553.28361587129086</v>
      </c>
      <c r="EN188" s="59">
        <f t="shared" si="128"/>
        <v>846.61694920462423</v>
      </c>
      <c r="EO188" s="59">
        <f ca="1">AVERAGE(OFFSET($EN$3,0,0,'Données projet'!$E$15+1,1))-AVERAGE(OFFSET($H$3,0,0,'Données projet'!$E$15+1,1))</f>
        <v>288.80569134263209</v>
      </c>
      <c r="EP188" s="59">
        <f t="shared" si="154"/>
        <v>283.48738729114024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2.0434544957285556</v>
      </c>
      <c r="EW188" s="21">
        <f>EXP(-LN(2)/25)*EW187+(1-EXP(-LN(2)/25))/(LN(2)/25)*Calculateur!ER188*Calculateur!ET188*VLOOKUP('Données projet'!$B$15,Paramètres!$A$1:$I$89,3,0)*0.475*44/12</f>
        <v>0.79233211417101423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2.8357866098995697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-1.0197709343628959E-13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323.17232038705157</v>
      </c>
      <c r="FK188" s="59">
        <f t="shared" si="156"/>
        <v>402.34685738619197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12.655277751510253</v>
      </c>
      <c r="FR188" s="21">
        <f>EXP(-LN(2)/25)*FR187+(1-EXP(-LN(2)/25))/(LN(2)/25)*Calculateur!FM188*Calculateur!FO188*VLOOKUP('Données projet'!$B$16,Paramètres!$A$1:$I$89,3,0)*0.475*44/12</f>
        <v>1.2362695342291024</v>
      </c>
      <c r="FS188" s="21">
        <f>EXP(-LN(2)/2)*FS187+(1-EXP(-LN(2)/2))/(LN(2)/2)*FM188*FP188*VLOOKUP('Données projet'!$B$16,Paramètres!$A$1:$I$89,3,0)*0.475*44/12</f>
        <v>1.5488705639669058E-18</v>
      </c>
      <c r="FT188" s="22">
        <f t="shared" si="184"/>
        <v>13.891547285739355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328.00000000000017</v>
      </c>
      <c r="GA188" s="17">
        <f>FZ188*VLOOKUP('Données projet'!$B$17,Paramètres!$A$1:$I$89,3,0)*VLOOKUP('Données projet'!$B$17,Paramètres!$A$1:$I$89,5,0)</f>
        <v>266.07360000000017</v>
      </c>
      <c r="GB188" s="13">
        <f t="shared" si="185"/>
        <v>64.015279012301136</v>
      </c>
      <c r="GC188" s="20">
        <f t="shared" si="186"/>
        <v>574.90479761309132</v>
      </c>
      <c r="GD188" s="59">
        <f t="shared" si="134"/>
        <v>868.23813094642469</v>
      </c>
      <c r="GE188" s="59">
        <f ca="1">AVERAGE(OFFSET($GD$3,0,0,'Données projet'!$E$17+1,1))-AVERAGE(OFFSET($H$3,0,0,'Données projet'!$E$17+1,1))</f>
        <v>298.96480270023716</v>
      </c>
      <c r="GF188" s="59">
        <f t="shared" si="158"/>
        <v>293.11447542333889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2.6194235303385587</v>
      </c>
      <c r="GM188" s="21">
        <f>EXP(-LN(2)/25)*GM187+(1-EXP(-LN(2)/25))/(LN(2)/25)*Calculateur!GH188*Calculateur!GJ188*VLOOKUP('Données projet'!$B$17,Paramètres!$A$1:$I$89,3,0)*0.475*44/12</f>
        <v>1.0156592123978199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3.6350827427363788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-1.4210854715202004E-13</v>
      </c>
      <c r="GV188" s="17">
        <f>GU188*VLOOKUP('Données projet'!$B$18,Paramètres!$A$1:$I$89,3,0)*VLOOKUP('Données projet'!$B$18,Paramètres!$A$1:$I$89,5,0)</f>
        <v>-8.128608897095547E-14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320.76883487964511</v>
      </c>
      <c r="HA188" s="59">
        <f t="shared" si="160"/>
        <v>290.51177680335746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20.697077679055294</v>
      </c>
      <c r="HH188" s="21">
        <f>EXP(-LN(2)/25)*HH187+(1-EXP(-LN(2)/25))/(LN(2)/25)*Calculateur!HC188*Calculateur!HE188*VLOOKUP('Données projet'!$B$18,Paramètres!$A$1:$I$89,3,0)*0.475*44/12</f>
        <v>2.3942933518169749</v>
      </c>
      <c r="HI188" s="21">
        <f>EXP(-LN(2)/2)*HI187+(1-EXP(-LN(2)/2))/(LN(2)/2)*HC188*HF188*VLOOKUP('Données projet'!$B$18,Paramètres!$A$1:$I$89,3,0)*0.475*44/12</f>
        <v>1.5988483784615884E-13</v>
      </c>
      <c r="HJ188" s="22">
        <f t="shared" si="190"/>
        <v>23.091371030872427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5.763922672485933E-13</v>
      </c>
      <c r="AK189" s="13">
        <f t="shared" si="164"/>
        <v>7.0619171555808457E-12</v>
      </c>
      <c r="AL189" s="20">
        <f t="shared" si="165"/>
        <v>1.3303388911427938E-11</v>
      </c>
      <c r="AM189" s="59">
        <f t="shared" si="113"/>
        <v>293.33333333334662</v>
      </c>
      <c r="AN189" s="59">
        <f ca="1">AVERAGE(OFFSET($AM$3,0,0,'Données projet'!$E$10+1,1))-AVERAGE(OFFSET($H$3,0,0,'Données projet'!$E$10+1,1))</f>
        <v>425.47148407510412</v>
      </c>
      <c r="AO189" s="59">
        <f t="shared" si="144"/>
        <v>308.54448799922471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64.476035084257362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64.476035084257362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212.00000000000009</v>
      </c>
      <c r="BE189" s="13">
        <f>BD189*VLOOKUP('Données projet'!$B$11,Paramètres!$A$1:$I$89,3,0)*VLOOKUP('Données projet'!$B$11,Paramètres!$A$1:$I$89,5,0)</f>
        <v>185.20320000000009</v>
      </c>
      <c r="BF189" s="13">
        <f t="shared" si="167"/>
        <v>46.477875402099386</v>
      </c>
      <c r="BG189" s="20">
        <f t="shared" si="168"/>
        <v>403.5112063253232</v>
      </c>
      <c r="BH189" s="59">
        <f t="shared" si="116"/>
        <v>696.84453965865646</v>
      </c>
      <c r="BI189" s="59">
        <f ca="1">AVERAGE(OFFSET($BH$3,0,0,'Données projet'!$E$11+1,1))-AVERAGE(OFFSET($H$3,0,0,'Données projet'!$E$11+1,1))</f>
        <v>300.63505444445104</v>
      </c>
      <c r="BJ189" s="59">
        <f t="shared" si="146"/>
        <v>266.32508105927997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2.7196837111384551</v>
      </c>
      <c r="BQ189" s="21">
        <f>EXP(-LN(2)/25)*BQ188+(1-EXP(-LN(2)/25))/(LN(2)/25)*Calculateur!BL189*Calculateur!BN189*VLOOKUP('Données projet'!$B$11,Paramètres!$A$1:$I$89,3,0)*0.475*44/12</f>
        <v>1.2887991610177736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4.0084828721562289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-4.3273757910355926E-13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361.26385625423757</v>
      </c>
      <c r="CE189" s="59">
        <f t="shared" si="148"/>
        <v>222.05197404028576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91.116344595658944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91.116344595658944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247.00000000000017</v>
      </c>
      <c r="CU189" s="17">
        <f>CT189*VLOOKUP('Données projet'!$B$13,Paramètres!$A$1:$I$89,3,0)*VLOOKUP('Données projet'!$B$13,Paramètres!$A$1:$I$89,5,0)</f>
        <v>223.48560000000012</v>
      </c>
      <c r="CV189" s="13">
        <f t="shared" si="173"/>
        <v>54.87176918107798</v>
      </c>
      <c r="CW189" s="20">
        <f t="shared" si="174"/>
        <v>484.80575132371092</v>
      </c>
      <c r="CX189" s="59">
        <f t="shared" si="122"/>
        <v>778.13908465704424</v>
      </c>
      <c r="CY189" s="59">
        <f ca="1">AVERAGE(OFFSET($CX$3,0,0,'Données projet'!$E$13+1,1))-AVERAGE(OFFSET($H$3,0,0,'Données projet'!$E$13+1,1))</f>
        <v>302.6937347295995</v>
      </c>
      <c r="CZ189" s="59">
        <f t="shared" si="150"/>
        <v>423.44006663873375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2.7579816760414544E-2</v>
      </c>
      <c r="DG189" s="21">
        <f>EXP(-LN(2)/25)*DG188+(1-EXP(-LN(2)/25))/(LN(2)/25)*Calculateur!DB189*Calculateur!DD189*VLOOKUP('Données projet'!$B$13,Paramètres!$A$1:$I$89,3,0)*0.475*44/12</f>
        <v>5.6748176688464241E-2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8.4327993448878785E-2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-4.3983163777738812E-13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366.51581861366333</v>
      </c>
      <c r="DU189" s="59">
        <f t="shared" si="152"/>
        <v>225.01415116995503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92.610055162800876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92.610055162800876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328.00000000000017</v>
      </c>
      <c r="EK189" s="17">
        <f>EJ189*VLOOKUP('Données projet'!$B$15,Paramètres!$A$1:$I$89,3,0)*VLOOKUP('Données projet'!$B$15,Paramètres!$A$1:$I$89,5,0)</f>
        <v>255.84000000000015</v>
      </c>
      <c r="EL189" s="13">
        <f t="shared" si="179"/>
        <v>61.834803371075886</v>
      </c>
      <c r="EM189" s="20">
        <f t="shared" si="180"/>
        <v>553.28361587129086</v>
      </c>
      <c r="EN189" s="59">
        <f t="shared" si="128"/>
        <v>846.61694920462423</v>
      </c>
      <c r="EO189" s="59">
        <f ca="1">AVERAGE(OFFSET($EN$3,0,0,'Données projet'!$E$15+1,1))-AVERAGE(OFFSET($H$3,0,0,'Données projet'!$E$15+1,1))</f>
        <v>288.80569134263209</v>
      </c>
      <c r="EP189" s="59">
        <f t="shared" si="154"/>
        <v>283.48738729114024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2.003383599451491</v>
      </c>
      <c r="EW189" s="21">
        <f>EXP(-LN(2)/25)*EW188+(1-EXP(-LN(2)/25))/(LN(2)/25)*Calculateur!ER189*Calculateur!ET189*VLOOKUP('Données projet'!$B$15,Paramètres!$A$1:$I$89,3,0)*0.475*44/12</f>
        <v>0.77066575084207289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2.7740493502935637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-1.0197709343628959E-13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323.17232038705157</v>
      </c>
      <c r="FK189" s="59">
        <f t="shared" si="156"/>
        <v>402.34685738619197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12.407115473760381</v>
      </c>
      <c r="FR189" s="21">
        <f>EXP(-LN(2)/25)*FR188+(1-EXP(-LN(2)/25))/(LN(2)/25)*Calculateur!FM189*Calculateur!FO189*VLOOKUP('Données projet'!$B$16,Paramètres!$A$1:$I$89,3,0)*0.475*44/12</f>
        <v>1.2024636788030183</v>
      </c>
      <c r="FS189" s="21">
        <f>EXP(-LN(2)/2)*FS188+(1-EXP(-LN(2)/2))/(LN(2)/2)*FM189*FP189*VLOOKUP('Données projet'!$B$16,Paramètres!$A$1:$I$89,3,0)*0.475*44/12</f>
        <v>1.0952168789612313E-18</v>
      </c>
      <c r="FT189" s="22">
        <f t="shared" si="184"/>
        <v>13.6095791525634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328.00000000000017</v>
      </c>
      <c r="GA189" s="17">
        <f>FZ189*VLOOKUP('Données projet'!$B$17,Paramètres!$A$1:$I$89,3,0)*VLOOKUP('Données projet'!$B$17,Paramètres!$A$1:$I$89,5,0)</f>
        <v>266.07360000000017</v>
      </c>
      <c r="GB189" s="13">
        <f t="shared" si="185"/>
        <v>64.015279012301136</v>
      </c>
      <c r="GC189" s="20">
        <f t="shared" si="186"/>
        <v>574.90479761309132</v>
      </c>
      <c r="GD189" s="59">
        <f t="shared" si="134"/>
        <v>868.23813094642469</v>
      </c>
      <c r="GE189" s="59">
        <f ca="1">AVERAGE(OFFSET($GD$3,0,0,'Données projet'!$E$17+1,1))-AVERAGE(OFFSET($H$3,0,0,'Données projet'!$E$17+1,1))</f>
        <v>298.96480270023716</v>
      </c>
      <c r="GF189" s="59">
        <f t="shared" si="158"/>
        <v>293.11447542333889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2.5680582325992143</v>
      </c>
      <c r="GM189" s="21">
        <f>EXP(-LN(2)/25)*GM188+(1-EXP(-LN(2)/25))/(LN(2)/25)*Calculateur!GH189*Calculateur!GJ189*VLOOKUP('Données projet'!$B$17,Paramètres!$A$1:$I$89,3,0)*0.475*44/12</f>
        <v>0.98788595782360478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3.5559441904228191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-1.4210854715202004E-13</v>
      </c>
      <c r="GV189" s="17">
        <f>GU189*VLOOKUP('Données projet'!$B$18,Paramètres!$A$1:$I$89,3,0)*VLOOKUP('Données projet'!$B$18,Paramètres!$A$1:$I$89,5,0)</f>
        <v>-8.128608897095547E-14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320.76883487964511</v>
      </c>
      <c r="HA189" s="59">
        <f t="shared" si="160"/>
        <v>290.51177680335746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20.291220609739892</v>
      </c>
      <c r="HH189" s="21">
        <f>EXP(-LN(2)/25)*HH188+(1-EXP(-LN(2)/25))/(LN(2)/25)*Calculateur!HC189*Calculateur!HE189*VLOOKUP('Données projet'!$B$18,Paramètres!$A$1:$I$89,3,0)*0.475*44/12</f>
        <v>2.3288212742011245</v>
      </c>
      <c r="HI189" s="21">
        <f>EXP(-LN(2)/2)*HI188+(1-EXP(-LN(2)/2))/(LN(2)/2)*HC189*HF189*VLOOKUP('Données projet'!$B$18,Paramètres!$A$1:$I$89,3,0)*0.475*44/12</f>
        <v>1.1305565304993048E-13</v>
      </c>
      <c r="HJ189" s="22">
        <f t="shared" si="190"/>
        <v>22.620041883941131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5.763922672485933E-13</v>
      </c>
      <c r="AK190" s="13">
        <f t="shared" si="164"/>
        <v>7.0619171555808457E-12</v>
      </c>
      <c r="AL190" s="20">
        <f t="shared" si="165"/>
        <v>1.3303388911427938E-11</v>
      </c>
      <c r="AM190" s="59">
        <f t="shared" si="113"/>
        <v>293.33333333334662</v>
      </c>
      <c r="AN190" s="59">
        <f ca="1">AVERAGE(OFFSET($AM$3,0,0,'Données projet'!$E$10+1,1))-AVERAGE(OFFSET($H$3,0,0,'Données projet'!$E$10+1,1))</f>
        <v>425.47148407510412</v>
      </c>
      <c r="AO190" s="59">
        <f t="shared" si="144"/>
        <v>308.54448799922471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63.211699362753308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63.211699362753308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212.00000000000009</v>
      </c>
      <c r="BE190" s="13">
        <f>BD190*VLOOKUP('Données projet'!$B$11,Paramètres!$A$1:$I$89,3,0)*VLOOKUP('Données projet'!$B$11,Paramètres!$A$1:$I$89,5,0)</f>
        <v>185.20320000000009</v>
      </c>
      <c r="BF190" s="13">
        <f t="shared" si="167"/>
        <v>46.477875402099386</v>
      </c>
      <c r="BG190" s="20">
        <f t="shared" si="168"/>
        <v>403.5112063253232</v>
      </c>
      <c r="BH190" s="59">
        <f t="shared" si="116"/>
        <v>696.84453965865646</v>
      </c>
      <c r="BI190" s="59">
        <f ca="1">AVERAGE(OFFSET($BH$3,0,0,'Données projet'!$E$11+1,1))-AVERAGE(OFFSET($H$3,0,0,'Données projet'!$E$11+1,1))</f>
        <v>300.63505444445104</v>
      </c>
      <c r="BJ190" s="59">
        <f t="shared" si="146"/>
        <v>266.32508105927997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2.6663523724062967</v>
      </c>
      <c r="BQ190" s="21">
        <f>EXP(-LN(2)/25)*BQ189+(1-EXP(-LN(2)/25))/(LN(2)/25)*Calculateur!BL190*Calculateur!BN190*VLOOKUP('Données projet'!$B$11,Paramètres!$A$1:$I$89,3,0)*0.475*44/12</f>
        <v>1.2535568801847403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3.9199092525910371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-4.3273757910355926E-13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361.26385625423757</v>
      </c>
      <c r="CE190" s="59">
        <f t="shared" si="148"/>
        <v>222.05197404028576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89.329608653620653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89.329608653620653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247.00000000000017</v>
      </c>
      <c r="CU190" s="17">
        <f>CT190*VLOOKUP('Données projet'!$B$13,Paramètres!$A$1:$I$89,3,0)*VLOOKUP('Données projet'!$B$13,Paramètres!$A$1:$I$89,5,0)</f>
        <v>223.48560000000012</v>
      </c>
      <c r="CV190" s="13">
        <f t="shared" si="173"/>
        <v>54.87176918107798</v>
      </c>
      <c r="CW190" s="20">
        <f t="shared" si="174"/>
        <v>484.80575132371092</v>
      </c>
      <c r="CX190" s="59">
        <f t="shared" si="122"/>
        <v>778.13908465704424</v>
      </c>
      <c r="CY190" s="59">
        <f ca="1">AVERAGE(OFFSET($CX$3,0,0,'Données projet'!$E$13+1,1))-AVERAGE(OFFSET($H$3,0,0,'Données projet'!$E$13+1,1))</f>
        <v>302.6937347295995</v>
      </c>
      <c r="CZ190" s="59">
        <f t="shared" si="150"/>
        <v>423.44006663873375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2.7038993375770003E-2</v>
      </c>
      <c r="DG190" s="21">
        <f>EXP(-LN(2)/25)*DG189+(1-EXP(-LN(2)/25))/(LN(2)/25)*Calculateur!DB190*Calculateur!DD190*VLOOKUP('Données projet'!$B$13,Paramètres!$A$1:$I$89,3,0)*0.475*44/12</f>
        <v>5.5196394812661274E-2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8.2235388188431277E-2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-4.3983163777738812E-13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366.51581861366333</v>
      </c>
      <c r="DU190" s="59">
        <f t="shared" si="152"/>
        <v>225.01415116995503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90.79402846761441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90.79402846761441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328.00000000000017</v>
      </c>
      <c r="EK190" s="17">
        <f>EJ190*VLOOKUP('Données projet'!$B$15,Paramètres!$A$1:$I$89,3,0)*VLOOKUP('Données projet'!$B$15,Paramètres!$A$1:$I$89,5,0)</f>
        <v>255.84000000000015</v>
      </c>
      <c r="EL190" s="13">
        <f t="shared" si="179"/>
        <v>61.834803371075886</v>
      </c>
      <c r="EM190" s="20">
        <f t="shared" si="180"/>
        <v>553.28361587129086</v>
      </c>
      <c r="EN190" s="59">
        <f t="shared" si="128"/>
        <v>846.61694920462423</v>
      </c>
      <c r="EO190" s="59">
        <f ca="1">AVERAGE(OFFSET($EN$3,0,0,'Données projet'!$E$15+1,1))-AVERAGE(OFFSET($H$3,0,0,'Données projet'!$E$15+1,1))</f>
        <v>288.80569134263209</v>
      </c>
      <c r="EP190" s="59">
        <f t="shared" si="154"/>
        <v>283.48738729114024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1.9640984690095862</v>
      </c>
      <c r="EW190" s="21">
        <f>EXP(-LN(2)/25)*EW189+(1-EXP(-LN(2)/25))/(LN(2)/25)*Calculateur!ER190*Calculateur!ET190*VLOOKUP('Données projet'!$B$15,Paramètres!$A$1:$I$89,3,0)*0.475*44/12</f>
        <v>0.74959185535774597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2.7136903243673323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-1.0197709343628959E-13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323.17232038705157</v>
      </c>
      <c r="FK190" s="59">
        <f t="shared" si="156"/>
        <v>402.34685738619197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12.163819506913141</v>
      </c>
      <c r="FR190" s="21">
        <f>EXP(-LN(2)/25)*FR189+(1-EXP(-LN(2)/25))/(LN(2)/25)*Calculateur!FM190*Calculateur!FO190*VLOOKUP('Données projet'!$B$16,Paramètres!$A$1:$I$89,3,0)*0.475*44/12</f>
        <v>1.1695822462713332</v>
      </c>
      <c r="FS190" s="21">
        <f>EXP(-LN(2)/2)*FS189+(1-EXP(-LN(2)/2))/(LN(2)/2)*FM190*FP190*VLOOKUP('Données projet'!$B$16,Paramètres!$A$1:$I$89,3,0)*0.475*44/12</f>
        <v>7.7443528198345292E-19</v>
      </c>
      <c r="FT190" s="22">
        <f t="shared" si="184"/>
        <v>13.333401753184475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328.00000000000017</v>
      </c>
      <c r="GA190" s="17">
        <f>FZ190*VLOOKUP('Données projet'!$B$17,Paramètres!$A$1:$I$89,3,0)*VLOOKUP('Données projet'!$B$17,Paramètres!$A$1:$I$89,5,0)</f>
        <v>266.07360000000017</v>
      </c>
      <c r="GB190" s="13">
        <f t="shared" si="185"/>
        <v>64.015279012301136</v>
      </c>
      <c r="GC190" s="20">
        <f t="shared" si="186"/>
        <v>574.90479761309132</v>
      </c>
      <c r="GD190" s="59">
        <f t="shared" si="134"/>
        <v>868.23813094642469</v>
      </c>
      <c r="GE190" s="59">
        <f ca="1">AVERAGE(OFFSET($GD$3,0,0,'Données projet'!$E$17+1,1))-AVERAGE(OFFSET($H$3,0,0,'Données projet'!$E$17+1,1))</f>
        <v>298.96480270023716</v>
      </c>
      <c r="GF190" s="59">
        <f t="shared" si="158"/>
        <v>293.11447542333889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2.5177001770188001</v>
      </c>
      <c r="GM190" s="21">
        <f>EXP(-LN(2)/25)*GM189+(1-EXP(-LN(2)/25))/(LN(2)/25)*Calculateur!GH190*Calculateur!GJ190*VLOOKUP('Données projet'!$B$17,Paramètres!$A$1:$I$89,3,0)*0.475*44/12</f>
        <v>0.96087216435625367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3.4785723413750538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-1.4210854715202004E-13</v>
      </c>
      <c r="GV190" s="17">
        <f>GU190*VLOOKUP('Données projet'!$B$18,Paramètres!$A$1:$I$89,3,0)*VLOOKUP('Données projet'!$B$18,Paramètres!$A$1:$I$89,5,0)</f>
        <v>-8.128608897095547E-14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320.76883487964511</v>
      </c>
      <c r="HA190" s="59">
        <f t="shared" si="160"/>
        <v>290.51177680335746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19.893322150005393</v>
      </c>
      <c r="HH190" s="21">
        <f>EXP(-LN(2)/25)*HH189+(1-EXP(-LN(2)/25))/(LN(2)/25)*Calculateur!HC190*Calculateur!HE190*VLOOKUP('Données projet'!$B$18,Paramètres!$A$1:$I$89,3,0)*0.475*44/12</f>
        <v>2.2651395339907063</v>
      </c>
      <c r="HI190" s="21">
        <f>EXP(-LN(2)/2)*HI189+(1-EXP(-LN(2)/2))/(LN(2)/2)*HC190*HF190*VLOOKUP('Données projet'!$B$18,Paramètres!$A$1:$I$89,3,0)*0.475*44/12</f>
        <v>7.9942418923079433E-14</v>
      </c>
      <c r="HJ190" s="22">
        <f t="shared" si="190"/>
        <v>22.15846168399618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5.763922672485933E-13</v>
      </c>
      <c r="AK191" s="13">
        <f t="shared" si="164"/>
        <v>7.0619171555808457E-12</v>
      </c>
      <c r="AL191" s="20">
        <f t="shared" si="165"/>
        <v>1.3303388911427938E-11</v>
      </c>
      <c r="AM191" s="59">
        <f t="shared" si="113"/>
        <v>293.33333333334662</v>
      </c>
      <c r="AN191" s="59">
        <f ca="1">AVERAGE(OFFSET($AM$3,0,0,'Données projet'!$E$10+1,1))-AVERAGE(OFFSET($H$3,0,0,'Données projet'!$E$10+1,1))</f>
        <v>425.47148407510412</v>
      </c>
      <c r="AO191" s="59">
        <f t="shared" si="144"/>
        <v>308.54448799922471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61.972156493579305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61.972156493579305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212.00000000000009</v>
      </c>
      <c r="BE191" s="13">
        <f>BD191*VLOOKUP('Données projet'!$B$11,Paramètres!$A$1:$I$89,3,0)*VLOOKUP('Données projet'!$B$11,Paramètres!$A$1:$I$89,5,0)</f>
        <v>185.20320000000009</v>
      </c>
      <c r="BF191" s="13">
        <f t="shared" si="167"/>
        <v>46.477875402099386</v>
      </c>
      <c r="BG191" s="20">
        <f t="shared" si="168"/>
        <v>403.5112063253232</v>
      </c>
      <c r="BH191" s="59">
        <f t="shared" si="116"/>
        <v>696.84453965865646</v>
      </c>
      <c r="BI191" s="59">
        <f ca="1">AVERAGE(OFFSET($BH$3,0,0,'Données projet'!$E$11+1,1))-AVERAGE(OFFSET($H$3,0,0,'Données projet'!$E$11+1,1))</f>
        <v>300.63505444445104</v>
      </c>
      <c r="BJ191" s="59">
        <f t="shared" si="146"/>
        <v>266.32508105927997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2.6140668286977711</v>
      </c>
      <c r="BQ191" s="21">
        <f>EXP(-LN(2)/25)*BQ190+(1-EXP(-LN(2)/25))/(LN(2)/25)*Calculateur!BL191*Calculateur!BN191*VLOOKUP('Données projet'!$B$11,Paramètres!$A$1:$I$89,3,0)*0.475*44/12</f>
        <v>1.2192783013743973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3.8333451300721686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-4.3273757910355926E-13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361.26385625423757</v>
      </c>
      <c r="CE191" s="59">
        <f t="shared" si="148"/>
        <v>222.05197404028576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87.577909513604411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87.577909513604411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247.00000000000017</v>
      </c>
      <c r="CU191" s="17">
        <f>CT191*VLOOKUP('Données projet'!$B$13,Paramètres!$A$1:$I$89,3,0)*VLOOKUP('Données projet'!$B$13,Paramètres!$A$1:$I$89,5,0)</f>
        <v>223.48560000000012</v>
      </c>
      <c r="CV191" s="13">
        <f t="shared" si="173"/>
        <v>54.87176918107798</v>
      </c>
      <c r="CW191" s="20">
        <f t="shared" si="174"/>
        <v>484.80575132371092</v>
      </c>
      <c r="CX191" s="59">
        <f t="shared" si="122"/>
        <v>778.13908465704424</v>
      </c>
      <c r="CY191" s="59">
        <f ca="1">AVERAGE(OFFSET($CX$3,0,0,'Données projet'!$E$13+1,1))-AVERAGE(OFFSET($H$3,0,0,'Données projet'!$E$13+1,1))</f>
        <v>302.6937347295995</v>
      </c>
      <c r="CZ191" s="59">
        <f t="shared" si="150"/>
        <v>423.44006663873375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2.6508775207828648E-2</v>
      </c>
      <c r="DG191" s="21">
        <f>EXP(-LN(2)/25)*DG190+(1-EXP(-LN(2)/25))/(LN(2)/25)*Calculateur!DB191*Calculateur!DD191*VLOOKUP('Données projet'!$B$13,Paramètres!$A$1:$I$89,3,0)*0.475*44/12</f>
        <v>5.3687046493856805E-2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8.019582170168546E-2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-4.3983163777738812E-13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366.51581861366333</v>
      </c>
      <c r="DU191" s="59">
        <f t="shared" si="152"/>
        <v>225.01415116995503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89.013612948253652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89.013612948253652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328.00000000000017</v>
      </c>
      <c r="EK191" s="17">
        <f>EJ191*VLOOKUP('Données projet'!$B$15,Paramètres!$A$1:$I$89,3,0)*VLOOKUP('Données projet'!$B$15,Paramètres!$A$1:$I$89,5,0)</f>
        <v>255.84000000000015</v>
      </c>
      <c r="EL191" s="13">
        <f t="shared" si="179"/>
        <v>61.834803371075886</v>
      </c>
      <c r="EM191" s="20">
        <f t="shared" si="180"/>
        <v>553.28361587129086</v>
      </c>
      <c r="EN191" s="59">
        <f t="shared" si="128"/>
        <v>846.61694920462423</v>
      </c>
      <c r="EO191" s="59">
        <f ca="1">AVERAGE(OFFSET($EN$3,0,0,'Données projet'!$E$15+1,1))-AVERAGE(OFFSET($H$3,0,0,'Données projet'!$E$15+1,1))</f>
        <v>288.80569134263209</v>
      </c>
      <c r="EP191" s="59">
        <f t="shared" si="154"/>
        <v>283.48738729114024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1.9255836960140835</v>
      </c>
      <c r="EW191" s="21">
        <f>EXP(-LN(2)/25)*EW190+(1-EXP(-LN(2)/25))/(LN(2)/25)*Calculateur!ER191*Calculateur!ET191*VLOOKUP('Données projet'!$B$15,Paramètres!$A$1:$I$89,3,0)*0.475*44/12</f>
        <v>0.72909422665366597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2.6546779226677497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-1.0197709343628959E-13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323.17232038705157</v>
      </c>
      <c r="FK191" s="59">
        <f t="shared" si="156"/>
        <v>402.34685738619197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11.925294425579889</v>
      </c>
      <c r="FR191" s="21">
        <f>EXP(-LN(2)/25)*FR190+(1-EXP(-LN(2)/25))/(LN(2)/25)*Calculateur!FM191*Calculateur!FO191*VLOOKUP('Données projet'!$B$16,Paramètres!$A$1:$I$89,3,0)*0.475*44/12</f>
        <v>1.1375999582413865</v>
      </c>
      <c r="FS191" s="21">
        <f>EXP(-LN(2)/2)*FS190+(1-EXP(-LN(2)/2))/(LN(2)/2)*FM191*FP191*VLOOKUP('Données projet'!$B$16,Paramètres!$A$1:$I$89,3,0)*0.475*44/12</f>
        <v>5.4760843948061567E-19</v>
      </c>
      <c r="FT191" s="22">
        <f t="shared" si="184"/>
        <v>13.062894383821275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328.00000000000017</v>
      </c>
      <c r="GA191" s="17">
        <f>FZ191*VLOOKUP('Données projet'!$B$17,Paramètres!$A$1:$I$89,3,0)*VLOOKUP('Données projet'!$B$17,Paramètres!$A$1:$I$89,5,0)</f>
        <v>266.07360000000017</v>
      </c>
      <c r="GB191" s="13">
        <f t="shared" si="185"/>
        <v>64.015279012301136</v>
      </c>
      <c r="GC191" s="20">
        <f t="shared" si="186"/>
        <v>574.90479761309132</v>
      </c>
      <c r="GD191" s="59">
        <f t="shared" si="134"/>
        <v>868.23813094642469</v>
      </c>
      <c r="GE191" s="59">
        <f ca="1">AVERAGE(OFFSET($GD$3,0,0,'Données projet'!$E$17+1,1))-AVERAGE(OFFSET($H$3,0,0,'Données projet'!$E$17+1,1))</f>
        <v>298.96480270023716</v>
      </c>
      <c r="GF191" s="59">
        <f t="shared" si="158"/>
        <v>293.11447542333889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2.468329612192937</v>
      </c>
      <c r="GM191" s="21">
        <f>EXP(-LN(2)/25)*GM190+(1-EXP(-LN(2)/25))/(LN(2)/25)*Calculateur!GH191*Calculateur!GJ191*VLOOKUP('Données projet'!$B$17,Paramètres!$A$1:$I$89,3,0)*0.475*44/12</f>
        <v>0.93459706449186086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3.4029266766847979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-1.4210854715202004E-13</v>
      </c>
      <c r="GV191" s="17">
        <f>GU191*VLOOKUP('Données projet'!$B$18,Paramètres!$A$1:$I$89,3,0)*VLOOKUP('Données projet'!$B$18,Paramètres!$A$1:$I$89,5,0)</f>
        <v>-8.128608897095547E-14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320.76883487964511</v>
      </c>
      <c r="HA191" s="59">
        <f t="shared" si="160"/>
        <v>290.51177680335746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19.503226236372193</v>
      </c>
      <c r="HH191" s="21">
        <f>EXP(-LN(2)/25)*HH190+(1-EXP(-LN(2)/25))/(LN(2)/25)*Calculateur!HC191*Calculateur!HE191*VLOOKUP('Données projet'!$B$18,Paramètres!$A$1:$I$89,3,0)*0.475*44/12</f>
        <v>2.2031991743152193</v>
      </c>
      <c r="HI191" s="21">
        <f>EXP(-LN(2)/2)*HI190+(1-EXP(-LN(2)/2))/(LN(2)/2)*HC191*HF191*VLOOKUP('Données projet'!$B$18,Paramètres!$A$1:$I$89,3,0)*0.475*44/12</f>
        <v>5.6527826524965248E-14</v>
      </c>
      <c r="HJ191" s="22">
        <f t="shared" si="190"/>
        <v>21.706425410687469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5.763922672485933E-13</v>
      </c>
      <c r="AK192" s="13">
        <f t="shared" si="164"/>
        <v>7.0619171555808457E-12</v>
      </c>
      <c r="AL192" s="20">
        <f t="shared" si="165"/>
        <v>1.3303388911427938E-11</v>
      </c>
      <c r="AM192" s="59">
        <f t="shared" si="113"/>
        <v>293.33333333334662</v>
      </c>
      <c r="AN192" s="59">
        <f ca="1">AVERAGE(OFFSET($AM$3,0,0,'Données projet'!$E$10+1,1))-AVERAGE(OFFSET($H$3,0,0,'Données projet'!$E$10+1,1))</f>
        <v>425.47148407510412</v>
      </c>
      <c r="AO192" s="59">
        <f t="shared" si="144"/>
        <v>308.54448799922471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60.756920304023311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60.756920304023311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212.00000000000009</v>
      </c>
      <c r="BE192" s="13">
        <f>BD192*VLOOKUP('Données projet'!$B$11,Paramètres!$A$1:$I$89,3,0)*VLOOKUP('Données projet'!$B$11,Paramètres!$A$1:$I$89,5,0)</f>
        <v>185.20320000000009</v>
      </c>
      <c r="BF192" s="13">
        <f t="shared" si="167"/>
        <v>46.477875402099386</v>
      </c>
      <c r="BG192" s="20">
        <f t="shared" si="168"/>
        <v>403.5112063253232</v>
      </c>
      <c r="BH192" s="59">
        <f t="shared" si="116"/>
        <v>696.84453965865646</v>
      </c>
      <c r="BI192" s="59">
        <f ca="1">AVERAGE(OFFSET($BH$3,0,0,'Données projet'!$E$11+1,1))-AVERAGE(OFFSET($H$3,0,0,'Données projet'!$E$11+1,1))</f>
        <v>300.63505444445104</v>
      </c>
      <c r="BJ192" s="59">
        <f t="shared" si="146"/>
        <v>266.32508105927997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2.5628065726103371</v>
      </c>
      <c r="BQ192" s="21">
        <f>EXP(-LN(2)/25)*BQ191+(1-EXP(-LN(2)/25))/(LN(2)/25)*Calculateur!BL192*Calculateur!BN192*VLOOKUP('Données projet'!$B$11,Paramètres!$A$1:$I$89,3,0)*0.475*44/12</f>
        <v>1.1859370721042553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3.7487436447145921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-4.3273757910355926E-13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361.26385625423757</v>
      </c>
      <c r="CE192" s="59">
        <f t="shared" si="148"/>
        <v>222.05197404028576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85.86056012529292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85.86056012529292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247.00000000000017</v>
      </c>
      <c r="CU192" s="17">
        <f>CT192*VLOOKUP('Données projet'!$B$13,Paramètres!$A$1:$I$89,3,0)*VLOOKUP('Données projet'!$B$13,Paramètres!$A$1:$I$89,5,0)</f>
        <v>223.48560000000012</v>
      </c>
      <c r="CV192" s="13">
        <f t="shared" si="173"/>
        <v>54.87176918107798</v>
      </c>
      <c r="CW192" s="20">
        <f t="shared" si="174"/>
        <v>484.80575132371092</v>
      </c>
      <c r="CX192" s="59">
        <f t="shared" si="122"/>
        <v>778.13908465704424</v>
      </c>
      <c r="CY192" s="59">
        <f ca="1">AVERAGE(OFFSET($CX$3,0,0,'Données projet'!$E$13+1,1))-AVERAGE(OFFSET($H$3,0,0,'Données projet'!$E$13+1,1))</f>
        <v>302.6937347295995</v>
      </c>
      <c r="CZ192" s="59">
        <f t="shared" si="150"/>
        <v>423.44006663873375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2.5988954294759472E-2</v>
      </c>
      <c r="DG192" s="21">
        <f>EXP(-LN(2)/25)*DG191+(1-EXP(-LN(2)/25))/(LN(2)/25)*Calculateur!DB192*Calculateur!DD192*VLOOKUP('Données projet'!$B$13,Paramètres!$A$1:$I$89,3,0)*0.475*44/12</f>
        <v>5.2218971384203221E-2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7.8207925678962689E-2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-4.3983163777738812E-13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366.51581861366333</v>
      </c>
      <c r="DU192" s="59">
        <f t="shared" si="152"/>
        <v>225.01415116995503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87.268110291281317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87.268110291281317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328.00000000000017</v>
      </c>
      <c r="EK192" s="17">
        <f>EJ192*VLOOKUP('Données projet'!$B$15,Paramètres!$A$1:$I$89,3,0)*VLOOKUP('Données projet'!$B$15,Paramètres!$A$1:$I$89,5,0)</f>
        <v>255.84000000000015</v>
      </c>
      <c r="EL192" s="13">
        <f t="shared" si="179"/>
        <v>61.834803371075886</v>
      </c>
      <c r="EM192" s="20">
        <f t="shared" si="180"/>
        <v>553.28361587129086</v>
      </c>
      <c r="EN192" s="59">
        <f t="shared" si="128"/>
        <v>846.61694920462423</v>
      </c>
      <c r="EO192" s="59">
        <f ca="1">AVERAGE(OFFSET($EN$3,0,0,'Données projet'!$E$15+1,1))-AVERAGE(OFFSET($H$3,0,0,'Données projet'!$E$15+1,1))</f>
        <v>288.80569134263209</v>
      </c>
      <c r="EP192" s="59">
        <f t="shared" si="154"/>
        <v>283.48738729114024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1.8878241742253306</v>
      </c>
      <c r="EW192" s="21">
        <f>EXP(-LN(2)/25)*EW191+(1-EXP(-LN(2)/25))/(LN(2)/25)*Calculateur!ER192*Calculateur!ET192*VLOOKUP('Données projet'!$B$15,Paramètres!$A$1:$I$89,3,0)*0.475*44/12</f>
        <v>0.70915710668442244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2.5969812809097528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-1.0197709343628959E-13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323.17232038705157</v>
      </c>
      <c r="FK192" s="59">
        <f t="shared" si="156"/>
        <v>402.34685738619197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11.691446675605647</v>
      </c>
      <c r="FR192" s="21">
        <f>EXP(-LN(2)/25)*FR191+(1-EXP(-LN(2)/25))/(LN(2)/25)*Calculateur!FM192*Calculateur!FO192*VLOOKUP('Données projet'!$B$16,Paramètres!$A$1:$I$89,3,0)*0.475*44/12</f>
        <v>1.1064922275594939</v>
      </c>
      <c r="FS192" s="21">
        <f>EXP(-LN(2)/2)*FS191+(1-EXP(-LN(2)/2))/(LN(2)/2)*FM192*FP192*VLOOKUP('Données projet'!$B$16,Paramètres!$A$1:$I$89,3,0)*0.475*44/12</f>
        <v>3.8721764099172646E-19</v>
      </c>
      <c r="FT192" s="22">
        <f t="shared" si="184"/>
        <v>12.797938903165141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328.00000000000017</v>
      </c>
      <c r="GA192" s="17">
        <f>FZ192*VLOOKUP('Données projet'!$B$17,Paramètres!$A$1:$I$89,3,0)*VLOOKUP('Données projet'!$B$17,Paramètres!$A$1:$I$89,5,0)</f>
        <v>266.07360000000017</v>
      </c>
      <c r="GB192" s="13">
        <f t="shared" si="185"/>
        <v>64.015279012301136</v>
      </c>
      <c r="GC192" s="20">
        <f t="shared" si="186"/>
        <v>574.90479761309132</v>
      </c>
      <c r="GD192" s="59">
        <f t="shared" si="134"/>
        <v>868.23813094642469</v>
      </c>
      <c r="GE192" s="59">
        <f ca="1">AVERAGE(OFFSET($GD$3,0,0,'Données projet'!$E$17+1,1))-AVERAGE(OFFSET($H$3,0,0,'Données projet'!$E$17+1,1))</f>
        <v>298.96480270023716</v>
      </c>
      <c r="GF192" s="59">
        <f t="shared" si="158"/>
        <v>293.11447542333889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2.4199271740302382</v>
      </c>
      <c r="GM192" s="21">
        <f>EXP(-LN(2)/25)*GM191+(1-EXP(-LN(2)/25))/(LN(2)/25)*Calculateur!GH192*Calculateur!GJ192*VLOOKUP('Données projet'!$B$17,Paramètres!$A$1:$I$89,3,0)*0.475*44/12</f>
        <v>0.90904045861500737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3.3289676326452455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-1.4210854715202004E-13</v>
      </c>
      <c r="GV192" s="17">
        <f>GU192*VLOOKUP('Données projet'!$B$18,Paramètres!$A$1:$I$89,3,0)*VLOOKUP('Données projet'!$B$18,Paramètres!$A$1:$I$89,5,0)</f>
        <v>-8.128608897095547E-14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320.76883487964511</v>
      </c>
      <c r="HA192" s="59">
        <f t="shared" si="160"/>
        <v>290.51177680335746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19.120779865670325</v>
      </c>
      <c r="HH192" s="21">
        <f>EXP(-LN(2)/25)*HH191+(1-EXP(-LN(2)/25))/(LN(2)/25)*Calculateur!HC192*Calculateur!HE192*VLOOKUP('Données projet'!$B$18,Paramètres!$A$1:$I$89,3,0)*0.475*44/12</f>
        <v>2.1429525770323603</v>
      </c>
      <c r="HI192" s="21">
        <f>EXP(-LN(2)/2)*HI191+(1-EXP(-LN(2)/2))/(LN(2)/2)*HC192*HF192*VLOOKUP('Données projet'!$B$18,Paramètres!$A$1:$I$89,3,0)*0.475*44/12</f>
        <v>3.9971209461539723E-14</v>
      </c>
      <c r="HJ192" s="22">
        <f t="shared" si="190"/>
        <v>21.263732442702725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5.763922672485933E-13</v>
      </c>
      <c r="AK193" s="13">
        <f t="shared" si="164"/>
        <v>7.0619171555808457E-12</v>
      </c>
      <c r="AL193" s="20">
        <f t="shared" si="165"/>
        <v>1.3303388911427938E-11</v>
      </c>
      <c r="AM193" s="59">
        <f t="shared" si="113"/>
        <v>293.33333333334662</v>
      </c>
      <c r="AN193" s="59">
        <f ca="1">AVERAGE(OFFSET($AM$3,0,0,'Données projet'!$E$10+1,1))-AVERAGE(OFFSET($H$3,0,0,'Données projet'!$E$10+1,1))</f>
        <v>425.47148407510412</v>
      </c>
      <c r="AO193" s="59">
        <f t="shared" si="144"/>
        <v>308.54448799922471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59.565514154923619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59.565514154923619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212.00000000000009</v>
      </c>
      <c r="BE193" s="13">
        <f>BD193*VLOOKUP('Données projet'!$B$11,Paramètres!$A$1:$I$89,3,0)*VLOOKUP('Données projet'!$B$11,Paramètres!$A$1:$I$89,5,0)</f>
        <v>185.20320000000009</v>
      </c>
      <c r="BF193" s="13">
        <f t="shared" si="167"/>
        <v>46.477875402099386</v>
      </c>
      <c r="BG193" s="20">
        <f t="shared" si="168"/>
        <v>403.5112063253232</v>
      </c>
      <c r="BH193" s="59">
        <f t="shared" si="116"/>
        <v>696.84453965865646</v>
      </c>
      <c r="BI193" s="59">
        <f ca="1">AVERAGE(OFFSET($BH$3,0,0,'Données projet'!$E$11+1,1))-AVERAGE(OFFSET($H$3,0,0,'Données projet'!$E$11+1,1))</f>
        <v>300.63505444445104</v>
      </c>
      <c r="BJ193" s="59">
        <f t="shared" si="146"/>
        <v>266.32508105927997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2.5125514988791084</v>
      </c>
      <c r="BQ193" s="21">
        <f>EXP(-LN(2)/25)*BQ192+(1-EXP(-LN(2)/25))/(LN(2)/25)*Calculateur!BL193*Calculateur!BN193*VLOOKUP('Données projet'!$B$11,Paramètres!$A$1:$I$89,3,0)*0.475*44/12</f>
        <v>1.1535075605018443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3.6660590593809528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-4.3273757910355926E-13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361.26385625423757</v>
      </c>
      <c r="CE193" s="59">
        <f t="shared" si="148"/>
        <v>222.05197404028576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84.17688691100652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84.17688691100652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247.00000000000017</v>
      </c>
      <c r="CU193" s="17">
        <f>CT193*VLOOKUP('Données projet'!$B$13,Paramètres!$A$1:$I$89,3,0)*VLOOKUP('Données projet'!$B$13,Paramètres!$A$1:$I$89,5,0)</f>
        <v>223.48560000000012</v>
      </c>
      <c r="CV193" s="13">
        <f t="shared" si="173"/>
        <v>54.87176918107798</v>
      </c>
      <c r="CW193" s="20">
        <f t="shared" si="174"/>
        <v>484.80575132371092</v>
      </c>
      <c r="CX193" s="59">
        <f t="shared" si="122"/>
        <v>778.13908465704424</v>
      </c>
      <c r="CY193" s="59">
        <f ca="1">AVERAGE(OFFSET($CX$3,0,0,'Données projet'!$E$13+1,1))-AVERAGE(OFFSET($H$3,0,0,'Données projet'!$E$13+1,1))</f>
        <v>302.6937347295995</v>
      </c>
      <c r="CZ193" s="59">
        <f t="shared" si="150"/>
        <v>423.44006663873375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2.5479326752736134E-2</v>
      </c>
      <c r="DG193" s="21">
        <f>EXP(-LN(2)/25)*DG192+(1-EXP(-LN(2)/25))/(LN(2)/25)*Calculateur!DB193*Calculateur!DD193*VLOOKUP('Données projet'!$B$13,Paramètres!$A$1:$I$89,3,0)*0.475*44/12</f>
        <v>5.0791040865625824E-2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7.6270367618361951E-2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-4.3983163777738812E-13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366.51581861366333</v>
      </c>
      <c r="DU193" s="59">
        <f t="shared" si="152"/>
        <v>225.01415116995503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85.556835876760715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85.556835876760715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328.00000000000017</v>
      </c>
      <c r="EK193" s="17">
        <f>EJ193*VLOOKUP('Données projet'!$B$15,Paramètres!$A$1:$I$89,3,0)*VLOOKUP('Données projet'!$B$15,Paramètres!$A$1:$I$89,5,0)</f>
        <v>255.84000000000015</v>
      </c>
      <c r="EL193" s="13">
        <f t="shared" si="179"/>
        <v>61.834803371075886</v>
      </c>
      <c r="EM193" s="20">
        <f t="shared" si="180"/>
        <v>553.28361587129086</v>
      </c>
      <c r="EN193" s="59">
        <f t="shared" si="128"/>
        <v>846.61694920462423</v>
      </c>
      <c r="EO193" s="59">
        <f ca="1">AVERAGE(OFFSET($EN$3,0,0,'Données projet'!$E$15+1,1))-AVERAGE(OFFSET($H$3,0,0,'Données projet'!$E$15+1,1))</f>
        <v>288.80569134263209</v>
      </c>
      <c r="EP193" s="59">
        <f t="shared" si="154"/>
        <v>283.48738729114024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1.8508050936278209</v>
      </c>
      <c r="EW193" s="21">
        <f>EXP(-LN(2)/25)*EW192+(1-EXP(-LN(2)/25))/(LN(2)/25)*Calculateur!ER193*Calculateur!ET193*VLOOKUP('Données projet'!$B$15,Paramètres!$A$1:$I$89,3,0)*0.475*44/12</f>
        <v>0.68976516830918544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2.5405702619370061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-1.0197709343628959E-13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323.17232038705157</v>
      </c>
      <c r="FK193" s="59">
        <f t="shared" si="156"/>
        <v>402.34685738619197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11.462184537375357</v>
      </c>
      <c r="FR193" s="21">
        <f>EXP(-LN(2)/25)*FR192+(1-EXP(-LN(2)/25))/(LN(2)/25)*Calculateur!FM193*Calculateur!FO193*VLOOKUP('Données projet'!$B$16,Paramètres!$A$1:$I$89,3,0)*0.475*44/12</f>
        <v>1.0762351394089822</v>
      </c>
      <c r="FS193" s="21">
        <f>EXP(-LN(2)/2)*FS192+(1-EXP(-LN(2)/2))/(LN(2)/2)*FM193*FP193*VLOOKUP('Données projet'!$B$16,Paramètres!$A$1:$I$89,3,0)*0.475*44/12</f>
        <v>2.7380421974030783E-19</v>
      </c>
      <c r="FT193" s="22">
        <f t="shared" si="184"/>
        <v>12.53841967678434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328.00000000000017</v>
      </c>
      <c r="GA193" s="17">
        <f>FZ193*VLOOKUP('Données projet'!$B$17,Paramètres!$A$1:$I$89,3,0)*VLOOKUP('Données projet'!$B$17,Paramètres!$A$1:$I$89,5,0)</f>
        <v>266.07360000000017</v>
      </c>
      <c r="GB193" s="13">
        <f t="shared" si="185"/>
        <v>64.015279012301136</v>
      </c>
      <c r="GC193" s="20">
        <f t="shared" si="186"/>
        <v>574.90479761309132</v>
      </c>
      <c r="GD193" s="59">
        <f t="shared" si="134"/>
        <v>868.23813094642469</v>
      </c>
      <c r="GE193" s="59">
        <f ca="1">AVERAGE(OFFSET($GD$3,0,0,'Données projet'!$E$17+1,1))-AVERAGE(OFFSET($H$3,0,0,'Données projet'!$E$17+1,1))</f>
        <v>298.96480270023716</v>
      </c>
      <c r="GF193" s="59">
        <f t="shared" si="158"/>
        <v>293.11447542333889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2.3724738781573373</v>
      </c>
      <c r="GM193" s="21">
        <f>EXP(-LN(2)/25)*GM192+(1-EXP(-LN(2)/25))/(LN(2)/25)*Calculateur!GH193*Calculateur!GJ193*VLOOKUP('Données projet'!$B$17,Paramètres!$A$1:$I$89,3,0)*0.475*44/12</f>
        <v>0.88418269946981987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3.2566565776271572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-1.4210854715202004E-13</v>
      </c>
      <c r="GV193" s="17">
        <f>GU193*VLOOKUP('Données projet'!$B$18,Paramètres!$A$1:$I$89,3,0)*VLOOKUP('Données projet'!$B$18,Paramètres!$A$1:$I$89,5,0)</f>
        <v>-8.128608897095547E-14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320.76883487964511</v>
      </c>
      <c r="HA193" s="59">
        <f t="shared" si="160"/>
        <v>290.51177680335746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18.745833035028671</v>
      </c>
      <c r="HH193" s="21">
        <f>EXP(-LN(2)/25)*HH192+(1-EXP(-LN(2)/25))/(LN(2)/25)*Calculateur!HC193*Calculateur!HE193*VLOOKUP('Données projet'!$B$18,Paramètres!$A$1:$I$89,3,0)*0.475*44/12</f>
        <v>2.084353426120432</v>
      </c>
      <c r="HI193" s="21">
        <f>EXP(-LN(2)/2)*HI192+(1-EXP(-LN(2)/2))/(LN(2)/2)*HC193*HF193*VLOOKUP('Données projet'!$B$18,Paramètres!$A$1:$I$89,3,0)*0.475*44/12</f>
        <v>2.826391326248263E-14</v>
      </c>
      <c r="HJ193" s="22">
        <f t="shared" si="190"/>
        <v>20.830186461149133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5.763922672485933E-13</v>
      </c>
      <c r="AK194" s="13">
        <f t="shared" si="164"/>
        <v>7.0619171555808457E-12</v>
      </c>
      <c r="AL194" s="20">
        <f t="shared" si="165"/>
        <v>1.3303388911427938E-11</v>
      </c>
      <c r="AM194" s="59">
        <f t="shared" si="113"/>
        <v>293.33333333334662</v>
      </c>
      <c r="AN194" s="59">
        <f ca="1">AVERAGE(OFFSET($AM$3,0,0,'Données projet'!$E$10+1,1))-AVERAGE(OFFSET($H$3,0,0,'Données projet'!$E$10+1,1))</f>
        <v>425.47148407510412</v>
      </c>
      <c r="AO194" s="59">
        <f t="shared" si="144"/>
        <v>308.54448799922471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58.397470753721777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58.397470753721777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212.00000000000009</v>
      </c>
      <c r="BE194" s="13">
        <f>BD194*VLOOKUP('Données projet'!$B$11,Paramètres!$A$1:$I$89,3,0)*VLOOKUP('Données projet'!$B$11,Paramètres!$A$1:$I$89,5,0)</f>
        <v>185.20320000000009</v>
      </c>
      <c r="BF194" s="13">
        <f t="shared" si="167"/>
        <v>46.477875402099386</v>
      </c>
      <c r="BG194" s="20">
        <f t="shared" si="168"/>
        <v>403.5112063253232</v>
      </c>
      <c r="BH194" s="59">
        <f t="shared" si="116"/>
        <v>696.84453965865646</v>
      </c>
      <c r="BI194" s="59">
        <f ca="1">AVERAGE(OFFSET($BH$3,0,0,'Données projet'!$E$11+1,1))-AVERAGE(OFFSET($H$3,0,0,'Données projet'!$E$11+1,1))</f>
        <v>300.63505444445104</v>
      </c>
      <c r="BJ194" s="59">
        <f t="shared" si="146"/>
        <v>266.32508105927997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2.4632818964911811</v>
      </c>
      <c r="BQ194" s="21">
        <f>EXP(-LN(2)/25)*BQ193+(1-EXP(-LN(2)/25))/(LN(2)/25)*Calculateur!BL194*Calculateur!BN194*VLOOKUP('Données projet'!$B$11,Paramètres!$A$1:$I$89,3,0)*0.475*44/12</f>
        <v>1.1219648355995953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3.5852467320907762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-4.3273757910355926E-13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361.26385625423757</v>
      </c>
      <c r="CE194" s="59">
        <f t="shared" si="148"/>
        <v>222.05197404028576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82.526229501513015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82.526229501513015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247.00000000000017</v>
      </c>
      <c r="CU194" s="17">
        <f>CT194*VLOOKUP('Données projet'!$B$13,Paramètres!$A$1:$I$89,3,0)*VLOOKUP('Données projet'!$B$13,Paramètres!$A$1:$I$89,5,0)</f>
        <v>223.48560000000012</v>
      </c>
      <c r="CV194" s="13">
        <f t="shared" si="173"/>
        <v>54.87176918107798</v>
      </c>
      <c r="CW194" s="20">
        <f t="shared" si="174"/>
        <v>484.80575132371092</v>
      </c>
      <c r="CX194" s="59">
        <f t="shared" si="122"/>
        <v>778.13908465704424</v>
      </c>
      <c r="CY194" s="59">
        <f ca="1">AVERAGE(OFFSET($CX$3,0,0,'Données projet'!$E$13+1,1))-AVERAGE(OFFSET($H$3,0,0,'Données projet'!$E$13+1,1))</f>
        <v>302.6937347295995</v>
      </c>
      <c r="CZ194" s="59">
        <f t="shared" si="150"/>
        <v>423.44006663873375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2.4979692695969766E-2</v>
      </c>
      <c r="DG194" s="21">
        <f>EXP(-LN(2)/25)*DG193+(1-EXP(-LN(2)/25))/(LN(2)/25)*Calculateur!DB194*Calculateur!DD194*VLOOKUP('Données projet'!$B$13,Paramètres!$A$1:$I$89,3,0)*0.475*44/12</f>
        <v>4.9402157182170531E-2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7.4381849878140296E-2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-4.3983163777738812E-13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366.51581861366333</v>
      </c>
      <c r="DU194" s="59">
        <f t="shared" si="152"/>
        <v>225.01415116995503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83.879118509734525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83.879118509734525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328.00000000000017</v>
      </c>
      <c r="EK194" s="17">
        <f>EJ194*VLOOKUP('Données projet'!$B$15,Paramètres!$A$1:$I$89,3,0)*VLOOKUP('Données projet'!$B$15,Paramètres!$A$1:$I$89,5,0)</f>
        <v>255.84000000000015</v>
      </c>
      <c r="EL194" s="13">
        <f t="shared" si="179"/>
        <v>61.834803371075886</v>
      </c>
      <c r="EM194" s="20">
        <f t="shared" si="180"/>
        <v>553.28361587129086</v>
      </c>
      <c r="EN194" s="59">
        <f t="shared" si="128"/>
        <v>846.61694920462423</v>
      </c>
      <c r="EO194" s="59">
        <f ca="1">AVERAGE(OFFSET($EN$3,0,0,'Données projet'!$E$15+1,1))-AVERAGE(OFFSET($H$3,0,0,'Données projet'!$E$15+1,1))</f>
        <v>288.80569134263209</v>
      </c>
      <c r="EP194" s="59">
        <f t="shared" si="154"/>
        <v>283.48738729114024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1.8145119346214189</v>
      </c>
      <c r="EW194" s="21">
        <f>EXP(-LN(2)/25)*EW193+(1-EXP(-LN(2)/25))/(LN(2)/25)*Calculateur!ER194*Calculateur!ET194*VLOOKUP('Données projet'!$B$15,Paramètres!$A$1:$I$89,3,0)*0.475*44/12</f>
        <v>0.67090350350859707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2.485415438130016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-1.0197709343628959E-13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323.17232038705157</v>
      </c>
      <c r="FK194" s="59">
        <f t="shared" si="156"/>
        <v>402.34685738619197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11.237418089839666</v>
      </c>
      <c r="FR194" s="21">
        <f>EXP(-LN(2)/25)*FR193+(1-EXP(-LN(2)/25))/(LN(2)/25)*Calculateur!FM194*Calculateur!FO194*VLOOKUP('Données projet'!$B$16,Paramètres!$A$1:$I$89,3,0)*0.475*44/12</f>
        <v>1.0468054329250973</v>
      </c>
      <c r="FS194" s="21">
        <f>EXP(-LN(2)/2)*FS193+(1-EXP(-LN(2)/2))/(LN(2)/2)*FM194*FP194*VLOOKUP('Données projet'!$B$16,Paramètres!$A$1:$I$89,3,0)*0.475*44/12</f>
        <v>1.9360882049586323E-19</v>
      </c>
      <c r="FT194" s="22">
        <f t="shared" si="184"/>
        <v>12.284223522764764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328.00000000000017</v>
      </c>
      <c r="GA194" s="17">
        <f>FZ194*VLOOKUP('Données projet'!$B$17,Paramètres!$A$1:$I$89,3,0)*VLOOKUP('Données projet'!$B$17,Paramètres!$A$1:$I$89,5,0)</f>
        <v>266.07360000000017</v>
      </c>
      <c r="GB194" s="13">
        <f t="shared" si="185"/>
        <v>64.015279012301136</v>
      </c>
      <c r="GC194" s="20">
        <f t="shared" si="186"/>
        <v>574.90479761309132</v>
      </c>
      <c r="GD194" s="59">
        <f t="shared" si="134"/>
        <v>868.23813094642469</v>
      </c>
      <c r="GE194" s="59">
        <f ca="1">AVERAGE(OFFSET($GD$3,0,0,'Données projet'!$E$17+1,1))-AVERAGE(OFFSET($H$3,0,0,'Données projet'!$E$17+1,1))</f>
        <v>298.96480270023716</v>
      </c>
      <c r="GF194" s="59">
        <f t="shared" si="158"/>
        <v>293.11447542333889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2.3259511124728518</v>
      </c>
      <c r="GM194" s="21">
        <f>EXP(-LN(2)/25)*GM193+(1-EXP(-LN(2)/25))/(LN(2)/25)*Calculateur!GH194*Calculateur!GJ194*VLOOKUP('Données projet'!$B$17,Paramètres!$A$1:$I$89,3,0)*0.475*44/12</f>
        <v>0.8600046770556703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3.185955789528522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-1.4210854715202004E-13</v>
      </c>
      <c r="GV194" s="17">
        <f>GU194*VLOOKUP('Données projet'!$B$18,Paramètres!$A$1:$I$89,3,0)*VLOOKUP('Données projet'!$B$18,Paramètres!$A$1:$I$89,5,0)</f>
        <v>-8.128608897095547E-14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320.76883487964511</v>
      </c>
      <c r="HA194" s="59">
        <f t="shared" si="160"/>
        <v>290.51177680335746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18.378238683040912</v>
      </c>
      <c r="HH194" s="21">
        <f>EXP(-LN(2)/25)*HH193+(1-EXP(-LN(2)/25))/(LN(2)/25)*Calculateur!HC194*Calculateur!HE194*VLOOKUP('Données projet'!$B$18,Paramètres!$A$1:$I$89,3,0)*0.475*44/12</f>
        <v>2.0273566720717859</v>
      </c>
      <c r="HI194" s="21">
        <f>EXP(-LN(2)/2)*HI193+(1-EXP(-LN(2)/2))/(LN(2)/2)*HC194*HF194*VLOOKUP('Données projet'!$B$18,Paramètres!$A$1:$I$89,3,0)*0.475*44/12</f>
        <v>1.9985604730769865E-14</v>
      </c>
      <c r="HJ194" s="22">
        <f t="shared" si="190"/>
        <v>20.40559535511272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5.763922672485933E-13</v>
      </c>
      <c r="AK195" s="13">
        <f t="shared" si="164"/>
        <v>7.0619171555808457E-12</v>
      </c>
      <c r="AL195" s="20">
        <f t="shared" si="165"/>
        <v>1.3303388911427938E-11</v>
      </c>
      <c r="AM195" s="59">
        <f t="shared" si="113"/>
        <v>293.33333333334662</v>
      </c>
      <c r="AN195" s="59">
        <f ca="1">AVERAGE(OFFSET($AM$3,0,0,'Données projet'!$E$10+1,1))-AVERAGE(OFFSET($H$3,0,0,'Données projet'!$E$10+1,1))</f>
        <v>425.47148407510412</v>
      </c>
      <c r="AO195" s="59">
        <f t="shared" si="144"/>
        <v>308.54448799922471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57.252331971181377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57.252331971181377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212.00000000000009</v>
      </c>
      <c r="BE195" s="13">
        <f>BD195*VLOOKUP('Données projet'!$B$11,Paramètres!$A$1:$I$89,3,0)*VLOOKUP('Données projet'!$B$11,Paramètres!$A$1:$I$89,5,0)</f>
        <v>185.20320000000009</v>
      </c>
      <c r="BF195" s="13">
        <f t="shared" si="167"/>
        <v>46.477875402099386</v>
      </c>
      <c r="BG195" s="20">
        <f t="shared" si="168"/>
        <v>403.5112063253232</v>
      </c>
      <c r="BH195" s="59">
        <f t="shared" si="116"/>
        <v>696.84453965865646</v>
      </c>
      <c r="BI195" s="59">
        <f ca="1">AVERAGE(OFFSET($BH$3,0,0,'Données projet'!$E$11+1,1))-AVERAGE(OFFSET($H$3,0,0,'Données projet'!$E$11+1,1))</f>
        <v>300.63505444445104</v>
      </c>
      <c r="BJ195" s="59">
        <f t="shared" si="146"/>
        <v>266.32508105927997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2.4149784409545911</v>
      </c>
      <c r="BQ195" s="21">
        <f>EXP(-LN(2)/25)*BQ194+(1-EXP(-LN(2)/25))/(LN(2)/25)*Calculateur!BL195*Calculateur!BN195*VLOOKUP('Données projet'!$B$11,Paramètres!$A$1:$I$89,3,0)*0.475*44/12</f>
        <v>1.0912846481685579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3.506263089123149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-4.3273757910355926E-13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361.26385625423757</v>
      </c>
      <c r="CE195" s="59">
        <f t="shared" si="148"/>
        <v>222.05197404028576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80.907940477018073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80.907940477018073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247.00000000000017</v>
      </c>
      <c r="CU195" s="17">
        <f>CT195*VLOOKUP('Données projet'!$B$13,Paramètres!$A$1:$I$89,3,0)*VLOOKUP('Données projet'!$B$13,Paramètres!$A$1:$I$89,5,0)</f>
        <v>223.48560000000012</v>
      </c>
      <c r="CV195" s="13">
        <f t="shared" si="173"/>
        <v>54.87176918107798</v>
      </c>
      <c r="CW195" s="20">
        <f t="shared" si="174"/>
        <v>484.80575132371092</v>
      </c>
      <c r="CX195" s="59">
        <f t="shared" si="122"/>
        <v>778.13908465704424</v>
      </c>
      <c r="CY195" s="59">
        <f ca="1">AVERAGE(OFFSET($CX$3,0,0,'Données projet'!$E$13+1,1))-AVERAGE(OFFSET($H$3,0,0,'Données projet'!$E$13+1,1))</f>
        <v>302.6937347295995</v>
      </c>
      <c r="CZ195" s="59">
        <f t="shared" si="150"/>
        <v>423.44006663873375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2.4489856158309901E-2</v>
      </c>
      <c r="DG195" s="21">
        <f>EXP(-LN(2)/25)*DG194+(1-EXP(-LN(2)/25))/(LN(2)/25)*Calculateur!DB195*Calculateur!DD195*VLOOKUP('Données projet'!$B$13,Paramètres!$A$1:$I$89,3,0)*0.475*44/12</f>
        <v>4.8051252596077544E-2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7.2541108754387448E-2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-4.3983163777738812E-13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366.51581861366333</v>
      </c>
      <c r="DU195" s="59">
        <f t="shared" si="152"/>
        <v>225.01415116995503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82.234300156969169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82.234300156969169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328.00000000000017</v>
      </c>
      <c r="EK195" s="17">
        <f>EJ195*VLOOKUP('Données projet'!$B$15,Paramètres!$A$1:$I$89,3,0)*VLOOKUP('Données projet'!$B$15,Paramètres!$A$1:$I$89,5,0)</f>
        <v>255.84000000000015</v>
      </c>
      <c r="EL195" s="13">
        <f t="shared" si="179"/>
        <v>61.834803371075886</v>
      </c>
      <c r="EM195" s="20">
        <f t="shared" si="180"/>
        <v>553.28361587129086</v>
      </c>
      <c r="EN195" s="59">
        <f t="shared" si="128"/>
        <v>846.61694920462423</v>
      </c>
      <c r="EO195" s="59">
        <f ca="1">AVERAGE(OFFSET($EN$3,0,0,'Données projet'!$E$15+1,1))-AVERAGE(OFFSET($H$3,0,0,'Données projet'!$E$15+1,1))</f>
        <v>288.80569134263209</v>
      </c>
      <c r="EP195" s="59">
        <f t="shared" si="154"/>
        <v>283.48738729114024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1.7789304623264912</v>
      </c>
      <c r="EW195" s="21">
        <f>EXP(-LN(2)/25)*EW194+(1-EXP(-LN(2)/25))/(LN(2)/25)*Calculateur!ER195*Calculateur!ET195*VLOOKUP('Données projet'!$B$15,Paramètres!$A$1:$I$89,3,0)*0.475*44/12</f>
        <v>0.65255761192387263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2.431488074250364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-1.0197709343628959E-13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323.17232038705157</v>
      </c>
      <c r="FK195" s="59">
        <f t="shared" si="156"/>
        <v>402.34685738619197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11.017059175246155</v>
      </c>
      <c r="FR195" s="21">
        <f>EXP(-LN(2)/25)*FR194+(1-EXP(-LN(2)/25))/(LN(2)/25)*Calculateur!FM195*Calculateur!FO195*VLOOKUP('Données projet'!$B$16,Paramètres!$A$1:$I$89,3,0)*0.475*44/12</f>
        <v>1.0181804833126553</v>
      </c>
      <c r="FS195" s="21">
        <f>EXP(-LN(2)/2)*FS194+(1-EXP(-LN(2)/2))/(LN(2)/2)*FM195*FP195*VLOOKUP('Données projet'!$B$16,Paramètres!$A$1:$I$89,3,0)*0.475*44/12</f>
        <v>1.3690210987015392E-19</v>
      </c>
      <c r="FT195" s="22">
        <f t="shared" si="184"/>
        <v>12.03523965855881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328.00000000000017</v>
      </c>
      <c r="GA195" s="17">
        <f>FZ195*VLOOKUP('Données projet'!$B$17,Paramètres!$A$1:$I$89,3,0)*VLOOKUP('Données projet'!$B$17,Paramètres!$A$1:$I$89,5,0)</f>
        <v>266.07360000000017</v>
      </c>
      <c r="GB195" s="13">
        <f t="shared" si="185"/>
        <v>64.015279012301136</v>
      </c>
      <c r="GC195" s="20">
        <f t="shared" si="186"/>
        <v>574.90479761309132</v>
      </c>
      <c r="GD195" s="59">
        <f t="shared" si="134"/>
        <v>868.23813094642469</v>
      </c>
      <c r="GE195" s="59">
        <f ca="1">AVERAGE(OFFSET($GD$3,0,0,'Données projet'!$E$17+1,1))-AVERAGE(OFFSET($H$3,0,0,'Données projet'!$E$17+1,1))</f>
        <v>298.96480270023716</v>
      </c>
      <c r="GF195" s="59">
        <f t="shared" si="158"/>
        <v>293.11447542333889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2.2803406298473536</v>
      </c>
      <c r="GM195" s="21">
        <f>EXP(-LN(2)/25)*GM194+(1-EXP(-LN(2)/25))/(LN(2)/25)*Calculateur!GH195*Calculateur!GJ195*VLOOKUP('Données projet'!$B$17,Paramètres!$A$1:$I$89,3,0)*0.475*44/12</f>
        <v>0.83648780393590261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3.1168284337832564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-1.4210854715202004E-13</v>
      </c>
      <c r="GV195" s="17">
        <f>GU195*VLOOKUP('Données projet'!$B$18,Paramètres!$A$1:$I$89,3,0)*VLOOKUP('Données projet'!$B$18,Paramètres!$A$1:$I$89,5,0)</f>
        <v>-8.128608897095547E-14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320.76883487964511</v>
      </c>
      <c r="HA195" s="59">
        <f t="shared" si="160"/>
        <v>290.51177680335746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18.017852632085219</v>
      </c>
      <c r="HH195" s="21">
        <f>EXP(-LN(2)/25)*HH194+(1-EXP(-LN(2)/25))/(LN(2)/25)*Calculateur!HC195*Calculateur!HE195*VLOOKUP('Données projet'!$B$18,Paramètres!$A$1:$I$89,3,0)*0.475*44/12</f>
        <v>1.9719184972599291</v>
      </c>
      <c r="HI195" s="21">
        <f>EXP(-LN(2)/2)*HI194+(1-EXP(-LN(2)/2))/(LN(2)/2)*HC195*HF195*VLOOKUP('Données projet'!$B$18,Paramètres!$A$1:$I$89,3,0)*0.475*44/12</f>
        <v>1.4131956631241317E-14</v>
      </c>
      <c r="HJ195" s="22">
        <f t="shared" si="190"/>
        <v>19.989771129345161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5.763922672485933E-13</v>
      </c>
      <c r="AK196" s="13">
        <f t="shared" si="164"/>
        <v>7.0619171555808457E-12</v>
      </c>
      <c r="AL196" s="20">
        <f t="shared" si="165"/>
        <v>1.3303388911427938E-11</v>
      </c>
      <c r="AM196" s="59">
        <f t="shared" ref="AM196:AM203" si="193">AL196+(AD196+AE196)*44/12</f>
        <v>293.33333333334662</v>
      </c>
      <c r="AN196" s="59">
        <f ca="1">AVERAGE(OFFSET($AM$3,0,0,'Données projet'!$E$10+1,1))-AVERAGE(OFFSET($H$3,0,0,'Données projet'!$E$10+1,1))</f>
        <v>425.47148407510412</v>
      </c>
      <c r="AO196" s="59">
        <f t="shared" si="144"/>
        <v>308.54448799922471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56.129648661700905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56.129648661700905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212.00000000000009</v>
      </c>
      <c r="BE196" s="13">
        <f>BD196*VLOOKUP('Données projet'!$B$11,Paramètres!$A$1:$I$89,3,0)*VLOOKUP('Données projet'!$B$11,Paramètres!$A$1:$I$89,5,0)</f>
        <v>185.20320000000009</v>
      </c>
      <c r="BF196" s="13">
        <f t="shared" si="167"/>
        <v>46.477875402099386</v>
      </c>
      <c r="BG196" s="20">
        <f t="shared" si="168"/>
        <v>403.5112063253232</v>
      </c>
      <c r="BH196" s="59">
        <f t="shared" ref="BH196:BH203" si="194">BG196+(AY196+AZ196)*44/12</f>
        <v>696.84453965865646</v>
      </c>
      <c r="BI196" s="59">
        <f ca="1">AVERAGE(OFFSET($BH$3,0,0,'Données projet'!$E$11+1,1))-AVERAGE(OFFSET($H$3,0,0,'Données projet'!$E$11+1,1))</f>
        <v>300.63505444445104</v>
      </c>
      <c r="BJ196" s="59">
        <f t="shared" si="146"/>
        <v>266.32508105927997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2.3676221867188749</v>
      </c>
      <c r="BQ196" s="21">
        <f>EXP(-LN(2)/25)*BQ195+(1-EXP(-LN(2)/25))/(LN(2)/25)*Calculateur!BL196*Calculateur!BN196*VLOOKUP('Données projet'!$B$11,Paramètres!$A$1:$I$89,3,0)*0.475*44/12</f>
        <v>1.0614434120762231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3.429065598795098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-4.3273757910355926E-13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361.26385625423757</v>
      </c>
      <c r="CE196" s="59">
        <f t="shared" si="148"/>
        <v>222.05197404028576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79.321385113234626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79.321385113234626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247.00000000000017</v>
      </c>
      <c r="CU196" s="17">
        <f>CT196*VLOOKUP('Données projet'!$B$13,Paramètres!$A$1:$I$89,3,0)*VLOOKUP('Données projet'!$B$13,Paramètres!$A$1:$I$89,5,0)</f>
        <v>223.48560000000012</v>
      </c>
      <c r="CV196" s="13">
        <f t="shared" si="173"/>
        <v>54.87176918107798</v>
      </c>
      <c r="CW196" s="20">
        <f t="shared" si="174"/>
        <v>484.80575132371092</v>
      </c>
      <c r="CX196" s="59">
        <f t="shared" ref="CX196:CX203" si="196">CW196+(CO196+CP196)*44/12</f>
        <v>778.13908465704424</v>
      </c>
      <c r="CY196" s="59">
        <f ca="1">AVERAGE(OFFSET($CX$3,0,0,'Données projet'!$E$13+1,1))-AVERAGE(OFFSET($H$3,0,0,'Données projet'!$E$13+1,1))</f>
        <v>302.6937347295995</v>
      </c>
      <c r="CZ196" s="59">
        <f t="shared" si="150"/>
        <v>423.44006663873375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2.4009625016382759E-2</v>
      </c>
      <c r="DG196" s="21">
        <f>EXP(-LN(2)/25)*DG195+(1-EXP(-LN(2)/25))/(LN(2)/25)*Calculateur!DB196*Calculateur!DD196*VLOOKUP('Données projet'!$B$13,Paramètres!$A$1:$I$89,3,0)*0.475*44/12</f>
        <v>4.6737288566932253E-2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7.0746913583315016E-2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-4.3983163777738812E-13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366.51581861366333</v>
      </c>
      <c r="DU196" s="59">
        <f t="shared" si="152"/>
        <v>225.01415116995503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80.621735688861406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80.621735688861406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328.00000000000017</v>
      </c>
      <c r="EK196" s="17">
        <f>EJ196*VLOOKUP('Données projet'!$B$15,Paramètres!$A$1:$I$89,3,0)*VLOOKUP('Données projet'!$B$15,Paramètres!$A$1:$I$89,5,0)</f>
        <v>255.84000000000015</v>
      </c>
      <c r="EL196" s="13">
        <f t="shared" si="179"/>
        <v>61.834803371075886</v>
      </c>
      <c r="EM196" s="20">
        <f t="shared" si="180"/>
        <v>553.28361587129086</v>
      </c>
      <c r="EN196" s="59">
        <f t="shared" ref="EN196:EN203" si="198">EM196+(EE196+EF196)*44/12</f>
        <v>846.61694920462423</v>
      </c>
      <c r="EO196" s="59">
        <f ca="1">AVERAGE(OFFSET($EN$3,0,0,'Données projet'!$E$15+1,1))-AVERAGE(OFFSET($H$3,0,0,'Données projet'!$E$15+1,1))</f>
        <v>288.80569134263209</v>
      </c>
      <c r="EP196" s="59">
        <f t="shared" si="154"/>
        <v>283.48738729114024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1.7440467210007118</v>
      </c>
      <c r="EW196" s="21">
        <f>EXP(-LN(2)/25)*EW195+(1-EXP(-LN(2)/25))/(LN(2)/25)*Calculateur!ER196*Calculateur!ET196*VLOOKUP('Données projet'!$B$15,Paramètres!$A$1:$I$89,3,0)*0.475*44/12</f>
        <v>0.63471338970930091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2.3787601107100125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-1.0197709343628959E-13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323.17232038705157</v>
      </c>
      <c r="FK196" s="59">
        <f t="shared" si="156"/>
        <v>402.34685738619197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10.801021364562155</v>
      </c>
      <c r="FR196" s="21">
        <f>EXP(-LN(2)/25)*FR195+(1-EXP(-LN(2)/25))/(LN(2)/25)*Calculateur!FM196*Calculateur!FO196*VLOOKUP('Données projet'!$B$16,Paramètres!$A$1:$I$89,3,0)*0.475*44/12</f>
        <v>0.99033828445268623</v>
      </c>
      <c r="FS196" s="21">
        <f>EXP(-LN(2)/2)*FS195+(1-EXP(-LN(2)/2))/(LN(2)/2)*FM196*FP196*VLOOKUP('Données projet'!$B$16,Paramètres!$A$1:$I$89,3,0)*0.475*44/12</f>
        <v>9.6804410247931615E-20</v>
      </c>
      <c r="FT196" s="22">
        <f t="shared" si="184"/>
        <v>11.791359649014842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328.00000000000017</v>
      </c>
      <c r="GA196" s="17">
        <f>FZ196*VLOOKUP('Données projet'!$B$17,Paramètres!$A$1:$I$89,3,0)*VLOOKUP('Données projet'!$B$17,Paramètres!$A$1:$I$89,5,0)</f>
        <v>266.07360000000017</v>
      </c>
      <c r="GB196" s="13">
        <f t="shared" si="185"/>
        <v>64.015279012301136</v>
      </c>
      <c r="GC196" s="20">
        <f t="shared" si="186"/>
        <v>574.90479761309132</v>
      </c>
      <c r="GD196" s="59">
        <f t="shared" ref="GD196:GD203" si="200">GC196+(FU196+FV196)*44/12</f>
        <v>868.23813094642469</v>
      </c>
      <c r="GE196" s="59">
        <f ca="1">AVERAGE(OFFSET($GD$3,0,0,'Données projet'!$E$17+1,1))-AVERAGE(OFFSET($H$3,0,0,'Données projet'!$E$17+1,1))</f>
        <v>298.96480270023716</v>
      </c>
      <c r="GF196" s="59">
        <f t="shared" si="158"/>
        <v>293.11447542333889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2.2356245409664943</v>
      </c>
      <c r="GM196" s="21">
        <f>EXP(-LN(2)/25)*GM195+(1-EXP(-LN(2)/25))/(LN(2)/25)*Calculateur!GH196*Calculateur!GJ196*VLOOKUP('Données projet'!$B$17,Paramètres!$A$1:$I$89,3,0)*0.475*44/12</f>
        <v>0.81361400094829361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3.049238541914788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-1.4210854715202004E-13</v>
      </c>
      <c r="GV196" s="17">
        <f>GU196*VLOOKUP('Données projet'!$B$18,Paramètres!$A$1:$I$89,3,0)*VLOOKUP('Données projet'!$B$18,Paramètres!$A$1:$I$89,5,0)</f>
        <v>-8.128608897095547E-14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320.76883487964511</v>
      </c>
      <c r="HA196" s="59">
        <f t="shared" si="160"/>
        <v>290.51177680335746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17.664533531774982</v>
      </c>
      <c r="HH196" s="21">
        <f>EXP(-LN(2)/25)*HH195+(1-EXP(-LN(2)/25))/(LN(2)/25)*Calculateur!HC196*Calculateur!HE196*VLOOKUP('Données projet'!$B$18,Paramètres!$A$1:$I$89,3,0)*0.475*44/12</f>
        <v>1.9179962822536694</v>
      </c>
      <c r="HI196" s="21">
        <f>EXP(-LN(2)/2)*HI195+(1-EXP(-LN(2)/2))/(LN(2)/2)*HC196*HF196*VLOOKUP('Données projet'!$B$18,Paramètres!$A$1:$I$89,3,0)*0.475*44/12</f>
        <v>9.9928023653849339E-15</v>
      </c>
      <c r="HJ196" s="22">
        <f t="shared" si="190"/>
        <v>19.582529814028661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5.763922672485933E-13</v>
      </c>
      <c r="AK197" s="13">
        <f t="shared" si="164"/>
        <v>7.0619171555808457E-12</v>
      </c>
      <c r="AL197" s="20">
        <f t="shared" si="165"/>
        <v>1.3303388911427938E-11</v>
      </c>
      <c r="AM197" s="59">
        <f t="shared" si="193"/>
        <v>293.33333333334662</v>
      </c>
      <c r="AN197" s="59">
        <f ca="1">AVERAGE(OFFSET($AM$3,0,0,'Données projet'!$E$10+1,1))-AVERAGE(OFFSET($H$3,0,0,'Données projet'!$E$10+1,1))</f>
        <v>425.47148407510412</v>
      </c>
      <c r="AO197" s="59">
        <f t="shared" ref="AO197:AO203" si="205">$AO$3</f>
        <v>308.54448799922471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55.028980487150136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55.028980487150136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212.00000000000009</v>
      </c>
      <c r="BE197" s="13">
        <f>BD197*VLOOKUP('Données projet'!$B$11,Paramètres!$A$1:$I$89,3,0)*VLOOKUP('Données projet'!$B$11,Paramètres!$A$1:$I$89,5,0)</f>
        <v>185.20320000000009</v>
      </c>
      <c r="BF197" s="13">
        <f t="shared" si="167"/>
        <v>46.477875402099386</v>
      </c>
      <c r="BG197" s="20">
        <f t="shared" si="168"/>
        <v>403.5112063253232</v>
      </c>
      <c r="BH197" s="59">
        <f t="shared" si="194"/>
        <v>696.84453965865646</v>
      </c>
      <c r="BI197" s="59">
        <f ca="1">AVERAGE(OFFSET($BH$3,0,0,'Données projet'!$E$11+1,1))-AVERAGE(OFFSET($H$3,0,0,'Données projet'!$E$11+1,1))</f>
        <v>300.63505444445104</v>
      </c>
      <c r="BJ197" s="59">
        <f t="shared" ref="BJ197:BJ203" si="206">$BJ$3</f>
        <v>266.32508105927997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2.3211945597442578</v>
      </c>
      <c r="BQ197" s="21">
        <f>EXP(-LN(2)/25)*BQ196+(1-EXP(-LN(2)/25))/(LN(2)/25)*Calculateur!BL197*Calculateur!BN197*VLOOKUP('Données projet'!$B$11,Paramètres!$A$1:$I$89,3,0)*0.475*44/12</f>
        <v>1.0324181861541157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3.3536127458983733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-4.3273757910355926E-13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361.26385625423757</v>
      </c>
      <c r="CE197" s="59">
        <f t="shared" ref="CE197:CE203" si="207">$CE$3</f>
        <v>222.05197404028576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77.765941132431763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77.765941132431763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247.00000000000017</v>
      </c>
      <c r="CU197" s="17">
        <f>CT197*VLOOKUP('Données projet'!$B$13,Paramètres!$A$1:$I$89,3,0)*VLOOKUP('Données projet'!$B$13,Paramètres!$A$1:$I$89,5,0)</f>
        <v>223.48560000000012</v>
      </c>
      <c r="CV197" s="13">
        <f t="shared" si="173"/>
        <v>54.87176918107798</v>
      </c>
      <c r="CW197" s="20">
        <f t="shared" si="174"/>
        <v>484.80575132371092</v>
      </c>
      <c r="CX197" s="59">
        <f t="shared" si="196"/>
        <v>778.13908465704424</v>
      </c>
      <c r="CY197" s="59">
        <f ca="1">AVERAGE(OFFSET($CX$3,0,0,'Données projet'!$E$13+1,1))-AVERAGE(OFFSET($H$3,0,0,'Données projet'!$E$13+1,1))</f>
        <v>302.6937347295995</v>
      </c>
      <c r="CZ197" s="59">
        <f t="shared" ref="CZ197:CZ203" si="208">$CZ$3</f>
        <v>423.44006663873375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2.3538810914236735E-2</v>
      </c>
      <c r="DG197" s="21">
        <f>EXP(-LN(2)/25)*DG196+(1-EXP(-LN(2)/25))/(LN(2)/25)*Calculateur!DB197*Calculateur!DD197*VLOOKUP('Données projet'!$B$13,Paramètres!$A$1:$I$89,3,0)*0.475*44/12</f>
        <v>4.5459254953262307E-2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6.8998065867499042E-2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-4.3983163777738812E-13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366.51581861366333</v>
      </c>
      <c r="DU197" s="59">
        <f t="shared" ref="DU197:DU203" si="209">$DU$3</f>
        <v>225.01415116995503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79.040792626406031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79.040792626406031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328.00000000000017</v>
      </c>
      <c r="EK197" s="17">
        <f>EJ197*VLOOKUP('Données projet'!$B$15,Paramètres!$A$1:$I$89,3,0)*VLOOKUP('Données projet'!$B$15,Paramètres!$A$1:$I$89,5,0)</f>
        <v>255.84000000000015</v>
      </c>
      <c r="EL197" s="13">
        <f t="shared" si="179"/>
        <v>61.834803371075886</v>
      </c>
      <c r="EM197" s="20">
        <f t="shared" si="180"/>
        <v>553.28361587129086</v>
      </c>
      <c r="EN197" s="59">
        <f t="shared" si="198"/>
        <v>846.61694920462423</v>
      </c>
      <c r="EO197" s="59">
        <f ca="1">AVERAGE(OFFSET($EN$3,0,0,'Données projet'!$E$15+1,1))-AVERAGE(OFFSET($H$3,0,0,'Données projet'!$E$15+1,1))</f>
        <v>288.80569134263209</v>
      </c>
      <c r="EP197" s="59">
        <f t="shared" ref="EP197:EP203" si="210">$EP$3</f>
        <v>283.48738729114024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1.7098470285653498</v>
      </c>
      <c r="EW197" s="21">
        <f>EXP(-LN(2)/25)*EW196+(1-EXP(-LN(2)/25))/(LN(2)/25)*Calculateur!ER197*Calculateur!ET197*VLOOKUP('Données projet'!$B$15,Paramètres!$A$1:$I$89,3,0)*0.475*44/12</f>
        <v>0.61735711868957355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2.3272041472549234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-1.0197709343628959E-13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323.17232038705157</v>
      </c>
      <c r="FK197" s="59">
        <f t="shared" ref="FK197:FK203" si="211">$FK$3</f>
        <v>402.34685738619197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10.589219923575616</v>
      </c>
      <c r="FR197" s="21">
        <f>EXP(-LN(2)/25)*FR196+(1-EXP(-LN(2)/25))/(LN(2)/25)*Calculateur!FM197*Calculateur!FO197*VLOOKUP('Données projet'!$B$16,Paramètres!$A$1:$I$89,3,0)*0.475*44/12</f>
        <v>0.9632574319847006</v>
      </c>
      <c r="FS197" s="21">
        <f>EXP(-LN(2)/2)*FS196+(1-EXP(-LN(2)/2))/(LN(2)/2)*FM197*FP197*VLOOKUP('Données projet'!$B$16,Paramètres!$A$1:$I$89,3,0)*0.475*44/12</f>
        <v>6.8451054935076958E-20</v>
      </c>
      <c r="FT197" s="22">
        <f t="shared" si="184"/>
        <v>11.552477355560317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328.00000000000017</v>
      </c>
      <c r="GA197" s="17">
        <f>FZ197*VLOOKUP('Données projet'!$B$17,Paramètres!$A$1:$I$89,3,0)*VLOOKUP('Données projet'!$B$17,Paramètres!$A$1:$I$89,5,0)</f>
        <v>266.07360000000017</v>
      </c>
      <c r="GB197" s="13">
        <f t="shared" si="185"/>
        <v>64.015279012301136</v>
      </c>
      <c r="GC197" s="20">
        <f t="shared" si="186"/>
        <v>574.90479761309132</v>
      </c>
      <c r="GD197" s="59">
        <f t="shared" si="200"/>
        <v>868.23813094642469</v>
      </c>
      <c r="GE197" s="59">
        <f ca="1">AVERAGE(OFFSET($GD$3,0,0,'Données projet'!$E$17+1,1))-AVERAGE(OFFSET($H$3,0,0,'Données projet'!$E$17+1,1))</f>
        <v>298.96480270023716</v>
      </c>
      <c r="GF197" s="59">
        <f t="shared" ref="GF197:GF203" si="212">$GF$3</f>
        <v>293.11447542333889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2.1917853073144675</v>
      </c>
      <c r="GM197" s="21">
        <f>EXP(-LN(2)/25)*GM196+(1-EXP(-LN(2)/25))/(LN(2)/25)*Calculateur!GH197*Calculateur!GJ197*VLOOKUP('Données projet'!$B$17,Paramètres!$A$1:$I$89,3,0)*0.475*44/12</f>
        <v>0.79136568330626178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2.9831509906207292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-1.4210854715202004E-13</v>
      </c>
      <c r="GV197" s="17">
        <f>GU197*VLOOKUP('Données projet'!$B$18,Paramètres!$A$1:$I$89,3,0)*VLOOKUP('Données projet'!$B$18,Paramètres!$A$1:$I$89,5,0)</f>
        <v>-8.128608897095547E-14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320.76883487964511</v>
      </c>
      <c r="HA197" s="59">
        <f t="shared" ref="HA197:HA203" si="213">$HA$3</f>
        <v>290.51177680335746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17.318142803518455</v>
      </c>
      <c r="HH197" s="21">
        <f>EXP(-LN(2)/25)*HH196+(1-EXP(-LN(2)/25))/(LN(2)/25)*Calculateur!HC197*Calculateur!HE197*VLOOKUP('Données projet'!$B$18,Paramètres!$A$1:$I$89,3,0)*0.475*44/12</f>
        <v>1.865548573052402</v>
      </c>
      <c r="HI197" s="21">
        <f>EXP(-LN(2)/2)*HI196+(1-EXP(-LN(2)/2))/(LN(2)/2)*HC197*HF197*VLOOKUP('Données projet'!$B$18,Paramètres!$A$1:$I$89,3,0)*0.475*44/12</f>
        <v>7.0659783156206592E-15</v>
      </c>
      <c r="HJ197" s="22">
        <f t="shared" si="190"/>
        <v>19.183691376570863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5.763922672485933E-13</v>
      </c>
      <c r="AK198" s="13">
        <f t="shared" si="164"/>
        <v>7.0619171555808457E-12</v>
      </c>
      <c r="AL198" s="20">
        <f t="shared" si="165"/>
        <v>1.3303388911427938E-11</v>
      </c>
      <c r="AM198" s="59">
        <f t="shared" si="193"/>
        <v>293.33333333334662</v>
      </c>
      <c r="AN198" s="59">
        <f ca="1">AVERAGE(OFFSET($AM$3,0,0,'Données projet'!$E$10+1,1))-AVERAGE(OFFSET($H$3,0,0,'Données projet'!$E$10+1,1))</f>
        <v>425.47148407510412</v>
      </c>
      <c r="AO198" s="59">
        <f t="shared" si="205"/>
        <v>308.54448799922471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53.949895744161012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53.949895744161012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212.00000000000009</v>
      </c>
      <c r="BE198" s="13">
        <f>BD198*VLOOKUP('Données projet'!$B$11,Paramètres!$A$1:$I$89,3,0)*VLOOKUP('Données projet'!$B$11,Paramètres!$A$1:$I$89,5,0)</f>
        <v>185.20320000000009</v>
      </c>
      <c r="BF198" s="13">
        <f t="shared" si="167"/>
        <v>46.477875402099386</v>
      </c>
      <c r="BG198" s="20">
        <f t="shared" si="168"/>
        <v>403.5112063253232</v>
      </c>
      <c r="BH198" s="59">
        <f t="shared" si="194"/>
        <v>696.84453965865646</v>
      </c>
      <c r="BI198" s="59">
        <f ca="1">AVERAGE(OFFSET($BH$3,0,0,'Données projet'!$E$11+1,1))-AVERAGE(OFFSET($H$3,0,0,'Données projet'!$E$11+1,1))</f>
        <v>300.63505444445104</v>
      </c>
      <c r="BJ198" s="59">
        <f t="shared" si="206"/>
        <v>266.32508105927997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2.275677350216557</v>
      </c>
      <c r="BQ198" s="21">
        <f>EXP(-LN(2)/25)*BQ197+(1-EXP(-LN(2)/25))/(LN(2)/25)*Calculateur!BL198*Calculateur!BN198*VLOOKUP('Données projet'!$B$11,Paramètres!$A$1:$I$89,3,0)*0.475*44/12</f>
        <v>1.0041866565612187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3.2798640067777756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-4.3273757910355926E-13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361.26385625423757</v>
      </c>
      <c r="CE198" s="59">
        <f t="shared" si="207"/>
        <v>222.05197404028576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76.240998459365287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76.240998459365287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247.00000000000017</v>
      </c>
      <c r="CU198" s="17">
        <f>CT198*VLOOKUP('Données projet'!$B$13,Paramètres!$A$1:$I$89,3,0)*VLOOKUP('Données projet'!$B$13,Paramètres!$A$1:$I$89,5,0)</f>
        <v>223.48560000000012</v>
      </c>
      <c r="CV198" s="13">
        <f t="shared" si="173"/>
        <v>54.87176918107798</v>
      </c>
      <c r="CW198" s="20">
        <f t="shared" si="174"/>
        <v>484.80575132371092</v>
      </c>
      <c r="CX198" s="59">
        <f t="shared" si="196"/>
        <v>778.13908465704424</v>
      </c>
      <c r="CY198" s="59">
        <f ca="1">AVERAGE(OFFSET($CX$3,0,0,'Données projet'!$E$13+1,1))-AVERAGE(OFFSET($H$3,0,0,'Données projet'!$E$13+1,1))</f>
        <v>302.6937347295995</v>
      </c>
      <c r="CZ198" s="59">
        <f t="shared" si="208"/>
        <v>423.44006663873375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2.3077229189465549E-2</v>
      </c>
      <c r="DG198" s="21">
        <f>EXP(-LN(2)/25)*DG197+(1-EXP(-LN(2)/25))/(LN(2)/25)*Calculateur!DB198*Calculateur!DD198*VLOOKUP('Données projet'!$B$13,Paramètres!$A$1:$I$89,3,0)*0.475*44/12</f>
        <v>4.421616923596703E-2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6.7293398425432582E-2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-4.3983163777738812E-13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366.51581861366333</v>
      </c>
      <c r="DU198" s="59">
        <f t="shared" si="209"/>
        <v>225.01415116995503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77.490850893125355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77.490850893125355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328.00000000000017</v>
      </c>
      <c r="EK198" s="17">
        <f>EJ198*VLOOKUP('Données projet'!$B$15,Paramètres!$A$1:$I$89,3,0)*VLOOKUP('Données projet'!$B$15,Paramètres!$A$1:$I$89,5,0)</f>
        <v>255.84000000000015</v>
      </c>
      <c r="EL198" s="13">
        <f t="shared" si="179"/>
        <v>61.834803371075886</v>
      </c>
      <c r="EM198" s="20">
        <f t="shared" si="180"/>
        <v>553.28361587129086</v>
      </c>
      <c r="EN198" s="59">
        <f t="shared" si="198"/>
        <v>846.61694920462423</v>
      </c>
      <c r="EO198" s="59">
        <f ca="1">AVERAGE(OFFSET($EN$3,0,0,'Données projet'!$E$15+1,1))-AVERAGE(OFFSET($H$3,0,0,'Données projet'!$E$15+1,1))</f>
        <v>288.80569134263209</v>
      </c>
      <c r="EP198" s="59">
        <f t="shared" si="210"/>
        <v>283.48738729114024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1.6763179712388925</v>
      </c>
      <c r="EW198" s="21">
        <f>EXP(-LN(2)/25)*EW197+(1-EXP(-LN(2)/25))/(LN(2)/25)*Calculateur!ER198*Calculateur!ET198*VLOOKUP('Données projet'!$B$15,Paramètres!$A$1:$I$89,3,0)*0.475*44/12</f>
        <v>0.60047545581360728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2.2767934270524997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-1.0197709343628959E-13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323.17232038705157</v>
      </c>
      <c r="FK198" s="59">
        <f t="shared" si="211"/>
        <v>402.34685738619197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10.3815717796607</v>
      </c>
      <c r="FR198" s="21">
        <f>EXP(-LN(2)/25)*FR197+(1-EXP(-LN(2)/25))/(LN(2)/25)*Calculateur!FM198*Calculateur!FO198*VLOOKUP('Données projet'!$B$16,Paramètres!$A$1:$I$89,3,0)*0.475*44/12</f>
        <v>0.93691710685157215</v>
      </c>
      <c r="FS198" s="21">
        <f>EXP(-LN(2)/2)*FS197+(1-EXP(-LN(2)/2))/(LN(2)/2)*FM198*FP198*VLOOKUP('Données projet'!$B$16,Paramètres!$A$1:$I$89,3,0)*0.475*44/12</f>
        <v>4.8402205123965808E-20</v>
      </c>
      <c r="FT198" s="22">
        <f t="shared" si="184"/>
        <v>11.318488886512272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328.00000000000017</v>
      </c>
      <c r="GA198" s="17">
        <f>FZ198*VLOOKUP('Données projet'!$B$17,Paramètres!$A$1:$I$89,3,0)*VLOOKUP('Données projet'!$B$17,Paramètres!$A$1:$I$89,5,0)</f>
        <v>266.07360000000017</v>
      </c>
      <c r="GB198" s="13">
        <f t="shared" si="185"/>
        <v>64.015279012301136</v>
      </c>
      <c r="GC198" s="20">
        <f t="shared" si="186"/>
        <v>574.90479761309132</v>
      </c>
      <c r="GD198" s="59">
        <f t="shared" si="200"/>
        <v>868.23813094642469</v>
      </c>
      <c r="GE198" s="59">
        <f ca="1">AVERAGE(OFFSET($GD$3,0,0,'Données projet'!$E$17+1,1))-AVERAGE(OFFSET($H$3,0,0,'Données projet'!$E$17+1,1))</f>
        <v>298.96480270023716</v>
      </c>
      <c r="GF198" s="59">
        <f t="shared" si="212"/>
        <v>293.11447542333889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2.1488057342950646</v>
      </c>
      <c r="GM198" s="21">
        <f>EXP(-LN(2)/25)*GM197+(1-EXP(-LN(2)/25))/(LN(2)/25)*Calculateur!GH198*Calculateur!GJ198*VLOOKUP('Données projet'!$B$17,Paramètres!$A$1:$I$89,3,0)*0.475*44/12</f>
        <v>0.76972574708013941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2.9185314813752039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-1.4210854715202004E-13</v>
      </c>
      <c r="GV198" s="17">
        <f>GU198*VLOOKUP('Données projet'!$B$18,Paramètres!$A$1:$I$89,3,0)*VLOOKUP('Données projet'!$B$18,Paramètres!$A$1:$I$89,5,0)</f>
        <v>-8.128608897095547E-14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320.76883487964511</v>
      </c>
      <c r="HA198" s="59">
        <f t="shared" si="213"/>
        <v>290.51177680335746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16.978544586165558</v>
      </c>
      <c r="HH198" s="21">
        <f>EXP(-LN(2)/25)*HH197+(1-EXP(-LN(2)/25))/(LN(2)/25)*Calculateur!HC198*Calculateur!HE198*VLOOKUP('Données projet'!$B$18,Paramètres!$A$1:$I$89,3,0)*0.475*44/12</f>
        <v>1.8145350492173484</v>
      </c>
      <c r="HI198" s="21">
        <f>EXP(-LN(2)/2)*HI197+(1-EXP(-LN(2)/2))/(LN(2)/2)*HC198*HF198*VLOOKUP('Données projet'!$B$18,Paramètres!$A$1:$I$89,3,0)*0.475*44/12</f>
        <v>4.9964011826924677E-15</v>
      </c>
      <c r="HJ198" s="22">
        <f t="shared" si="190"/>
        <v>18.793079635382909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5.763922672485933E-13</v>
      </c>
      <c r="AK199" s="13">
        <f t="shared" si="164"/>
        <v>7.0619171555808457E-12</v>
      </c>
      <c r="AL199" s="20">
        <f t="shared" si="165"/>
        <v>1.3303388911427938E-11</v>
      </c>
      <c r="AM199" s="59">
        <f t="shared" si="193"/>
        <v>293.33333333334662</v>
      </c>
      <c r="AN199" s="59">
        <f ca="1">AVERAGE(OFFSET($AM$3,0,0,'Données projet'!$E$10+1,1))-AVERAGE(OFFSET($H$3,0,0,'Données projet'!$E$10+1,1))</f>
        <v>425.47148407510412</v>
      </c>
      <c r="AO199" s="59">
        <f t="shared" si="205"/>
        <v>308.54448799922471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52.891971194805201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52.891971194805201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212.00000000000009</v>
      </c>
      <c r="BE199" s="13">
        <f>BD199*VLOOKUP('Données projet'!$B$11,Paramètres!$A$1:$I$89,3,0)*VLOOKUP('Données projet'!$B$11,Paramètres!$A$1:$I$89,5,0)</f>
        <v>185.20320000000009</v>
      </c>
      <c r="BF199" s="13">
        <f t="shared" si="167"/>
        <v>46.477875402099386</v>
      </c>
      <c r="BG199" s="20">
        <f t="shared" si="168"/>
        <v>403.5112063253232</v>
      </c>
      <c r="BH199" s="59">
        <f t="shared" si="194"/>
        <v>696.84453965865646</v>
      </c>
      <c r="BI199" s="59">
        <f ca="1">AVERAGE(OFFSET($BH$3,0,0,'Données projet'!$E$11+1,1))-AVERAGE(OFFSET($H$3,0,0,'Données projet'!$E$11+1,1))</f>
        <v>300.63505444445104</v>
      </c>
      <c r="BJ199" s="59">
        <f t="shared" si="206"/>
        <v>266.32508105927997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2.2310527054049376</v>
      </c>
      <c r="BQ199" s="21">
        <f>EXP(-LN(2)/25)*BQ198+(1-EXP(-LN(2)/25))/(LN(2)/25)*Calculateur!BL199*Calculateur!BN199*VLOOKUP('Données projet'!$B$11,Paramètres!$A$1:$I$89,3,0)*0.475*44/12</f>
        <v>0.97672711962967107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3.2077798250346086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-4.3273757910355926E-13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361.26385625423757</v>
      </c>
      <c r="CE199" s="59">
        <f t="shared" si="207"/>
        <v>222.05197404028576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74.745958981994463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74.745958981994463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247.00000000000017</v>
      </c>
      <c r="CU199" s="17">
        <f>CT199*VLOOKUP('Données projet'!$B$13,Paramètres!$A$1:$I$89,3,0)*VLOOKUP('Données projet'!$B$13,Paramètres!$A$1:$I$89,5,0)</f>
        <v>223.48560000000012</v>
      </c>
      <c r="CV199" s="13">
        <f t="shared" si="173"/>
        <v>54.87176918107798</v>
      </c>
      <c r="CW199" s="20">
        <f t="shared" si="174"/>
        <v>484.80575132371092</v>
      </c>
      <c r="CX199" s="59">
        <f t="shared" si="196"/>
        <v>778.13908465704424</v>
      </c>
      <c r="CY199" s="59">
        <f ca="1">AVERAGE(OFFSET($CX$3,0,0,'Données projet'!$E$13+1,1))-AVERAGE(OFFSET($H$3,0,0,'Données projet'!$E$13+1,1))</f>
        <v>302.6937347295995</v>
      </c>
      <c r="CZ199" s="59">
        <f t="shared" si="208"/>
        <v>423.44006663873375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2.2624698800780073E-2</v>
      </c>
      <c r="DG199" s="21">
        <f>EXP(-LN(2)/25)*DG198+(1-EXP(-LN(2)/25))/(LN(2)/25)*Calculateur!DB199*Calculateur!DD199*VLOOKUP('Données projet'!$B$13,Paramètres!$A$1:$I$89,3,0)*0.475*44/12</f>
        <v>4.3007075762982232E-2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6.5631774563762305E-2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-4.3983163777738812E-13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366.51581861366333</v>
      </c>
      <c r="DU199" s="59">
        <f t="shared" si="209"/>
        <v>225.01415116995503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75.971302571863205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75.971302571863205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328.00000000000017</v>
      </c>
      <c r="EK199" s="17">
        <f>EJ199*VLOOKUP('Données projet'!$B$15,Paramètres!$A$1:$I$89,3,0)*VLOOKUP('Données projet'!$B$15,Paramètres!$A$1:$I$89,5,0)</f>
        <v>255.84000000000015</v>
      </c>
      <c r="EL199" s="13">
        <f t="shared" si="179"/>
        <v>61.834803371075886</v>
      </c>
      <c r="EM199" s="20">
        <f t="shared" si="180"/>
        <v>553.28361587129086</v>
      </c>
      <c r="EN199" s="59">
        <f t="shared" si="198"/>
        <v>846.61694920462423</v>
      </c>
      <c r="EO199" s="59">
        <f ca="1">AVERAGE(OFFSET($EN$3,0,0,'Données projet'!$E$15+1,1))-AVERAGE(OFFSET($H$3,0,0,'Données projet'!$E$15+1,1))</f>
        <v>288.80569134263209</v>
      </c>
      <c r="EP199" s="59">
        <f t="shared" si="210"/>
        <v>283.48738729114024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1.6434463982759013</v>
      </c>
      <c r="EW199" s="21">
        <f>EXP(-LN(2)/25)*EW198+(1-EXP(-LN(2)/25))/(LN(2)/25)*Calculateur!ER199*Calculateur!ET199*VLOOKUP('Données projet'!$B$15,Paramètres!$A$1:$I$89,3,0)*0.475*44/12</f>
        <v>0.58405542289675239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2.2275018211726536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-1.0197709343628959E-13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323.17232038705157</v>
      </c>
      <c r="FK199" s="59">
        <f t="shared" si="211"/>
        <v>402.34685738619197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10.177995489195093</v>
      </c>
      <c r="FR199" s="21">
        <f>EXP(-LN(2)/25)*FR198+(1-EXP(-LN(2)/25))/(LN(2)/25)*Calculateur!FM199*Calculateur!FO199*VLOOKUP('Données projet'!$B$16,Paramètres!$A$1:$I$89,3,0)*0.475*44/12</f>
        <v>0.91129705929438665</v>
      </c>
      <c r="FS199" s="21">
        <f>EXP(-LN(2)/2)*FS198+(1-EXP(-LN(2)/2))/(LN(2)/2)*FM199*FP199*VLOOKUP('Données projet'!$B$16,Paramètres!$A$1:$I$89,3,0)*0.475*44/12</f>
        <v>3.4225527467538479E-20</v>
      </c>
      <c r="FT199" s="22">
        <f t="shared" si="184"/>
        <v>11.08929254848948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328.00000000000017</v>
      </c>
      <c r="GA199" s="17">
        <f>FZ199*VLOOKUP('Données projet'!$B$17,Paramètres!$A$1:$I$89,3,0)*VLOOKUP('Données projet'!$B$17,Paramètres!$A$1:$I$89,5,0)</f>
        <v>266.07360000000017</v>
      </c>
      <c r="GB199" s="13">
        <f t="shared" si="185"/>
        <v>64.015279012301136</v>
      </c>
      <c r="GC199" s="20">
        <f t="shared" si="186"/>
        <v>574.90479761309132</v>
      </c>
      <c r="GD199" s="59">
        <f t="shared" si="200"/>
        <v>868.23813094642469</v>
      </c>
      <c r="GE199" s="59">
        <f ca="1">AVERAGE(OFFSET($GD$3,0,0,'Données projet'!$E$17+1,1))-AVERAGE(OFFSET($H$3,0,0,'Données projet'!$E$17+1,1))</f>
        <v>298.96480270023716</v>
      </c>
      <c r="GF199" s="59">
        <f t="shared" si="212"/>
        <v>293.11447542333889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2.1066689644876213</v>
      </c>
      <c r="GM199" s="21">
        <f>EXP(-LN(2)/25)*GM198+(1-EXP(-LN(2)/25))/(LN(2)/25)*Calculateur!GH199*Calculateur!GJ199*VLOOKUP('Données projet'!$B$17,Paramètres!$A$1:$I$89,3,0)*0.475*44/12</f>
        <v>0.74867755604811514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2.8553465205357362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-1.4210854715202004E-13</v>
      </c>
      <c r="GV199" s="17">
        <f>GU199*VLOOKUP('Données projet'!$B$18,Paramètres!$A$1:$I$89,3,0)*VLOOKUP('Données projet'!$B$18,Paramètres!$A$1:$I$89,5,0)</f>
        <v>-8.128608897095547E-14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320.76883487964511</v>
      </c>
      <c r="HA199" s="59">
        <f t="shared" si="213"/>
        <v>290.51177680335746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16.64560568272049</v>
      </c>
      <c r="HH199" s="21">
        <f>EXP(-LN(2)/25)*HH198+(1-EXP(-LN(2)/25))/(LN(2)/25)*Calculateur!HC199*Calculateur!HE199*VLOOKUP('Données projet'!$B$18,Paramètres!$A$1:$I$89,3,0)*0.475*44/12</f>
        <v>1.7649164928742489</v>
      </c>
      <c r="HI199" s="21">
        <f>EXP(-LN(2)/2)*HI198+(1-EXP(-LN(2)/2))/(LN(2)/2)*HC199*HF199*VLOOKUP('Données projet'!$B$18,Paramètres!$A$1:$I$89,3,0)*0.475*44/12</f>
        <v>3.5329891578103304E-15</v>
      </c>
      <c r="HJ199" s="22">
        <f t="shared" si="190"/>
        <v>18.410522175594743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5.763922672485933E-13</v>
      </c>
      <c r="AK200" s="13">
        <f t="shared" si="164"/>
        <v>7.0619171555808457E-12</v>
      </c>
      <c r="AL200" s="20">
        <f t="shared" si="165"/>
        <v>1.3303388911427938E-11</v>
      </c>
      <c r="AM200" s="59">
        <f t="shared" si="193"/>
        <v>293.33333333334662</v>
      </c>
      <c r="AN200" s="59">
        <f ca="1">AVERAGE(OFFSET($AM$3,0,0,'Données projet'!$E$10+1,1))-AVERAGE(OFFSET($H$3,0,0,'Données projet'!$E$10+1,1))</f>
        <v>425.47148407510412</v>
      </c>
      <c r="AO200" s="59">
        <f t="shared" si="205"/>
        <v>308.54448799922471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51.854791900591998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51.854791900591998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212.00000000000009</v>
      </c>
      <c r="BE200" s="13">
        <f>BD200*VLOOKUP('Données projet'!$B$11,Paramètres!$A$1:$I$89,3,0)*VLOOKUP('Données projet'!$B$11,Paramètres!$A$1:$I$89,5,0)</f>
        <v>185.20320000000009</v>
      </c>
      <c r="BF200" s="13">
        <f t="shared" si="167"/>
        <v>46.477875402099386</v>
      </c>
      <c r="BG200" s="20">
        <f t="shared" si="168"/>
        <v>403.5112063253232</v>
      </c>
      <c r="BH200" s="59">
        <f t="shared" si="194"/>
        <v>696.84453965865646</v>
      </c>
      <c r="BI200" s="59">
        <f ca="1">AVERAGE(OFFSET($BH$3,0,0,'Données projet'!$E$11+1,1))-AVERAGE(OFFSET($H$3,0,0,'Données projet'!$E$11+1,1))</f>
        <v>300.63505444445104</v>
      </c>
      <c r="BJ200" s="59">
        <f t="shared" si="206"/>
        <v>266.32508105927997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2.1873031226597286</v>
      </c>
      <c r="BQ200" s="21">
        <f>EXP(-LN(2)/25)*BQ199+(1-EXP(-LN(2)/25))/(LN(2)/25)*Calculateur!BL200*Calculateur!BN200*VLOOKUP('Données projet'!$B$11,Paramètres!$A$1:$I$89,3,0)*0.475*44/12</f>
        <v>0.9500184651795508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3.1373215878392795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-4.3273757910355926E-13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361.26385625423757</v>
      </c>
      <c r="CE200" s="59">
        <f t="shared" si="207"/>
        <v>222.05197404028576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73.280236316890836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73.280236316890836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247.00000000000017</v>
      </c>
      <c r="CU200" s="17">
        <f>CT200*VLOOKUP('Données projet'!$B$13,Paramètres!$A$1:$I$89,3,0)*VLOOKUP('Données projet'!$B$13,Paramètres!$A$1:$I$89,5,0)</f>
        <v>223.48560000000012</v>
      </c>
      <c r="CV200" s="13">
        <f t="shared" si="173"/>
        <v>54.87176918107798</v>
      </c>
      <c r="CW200" s="20">
        <f t="shared" si="174"/>
        <v>484.80575132371092</v>
      </c>
      <c r="CX200" s="59">
        <f t="shared" si="196"/>
        <v>778.13908465704424</v>
      </c>
      <c r="CY200" s="59">
        <f ca="1">AVERAGE(OFFSET($CX$3,0,0,'Données projet'!$E$13+1,1))-AVERAGE(OFFSET($H$3,0,0,'Données projet'!$E$13+1,1))</f>
        <v>302.6937347295995</v>
      </c>
      <c r="CZ200" s="59">
        <f t="shared" si="208"/>
        <v>423.44006663873375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2.2181042257000436E-2</v>
      </c>
      <c r="DG200" s="21">
        <f>EXP(-LN(2)/25)*DG199+(1-EXP(-LN(2)/25))/(LN(2)/25)*Calculateur!DB200*Calculateur!DD200*VLOOKUP('Données projet'!$B$13,Paramètres!$A$1:$I$89,3,0)*0.475*44/12</f>
        <v>4.1831045014599659E-2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6.4012087271600099E-2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-4.3983163777738812E-13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366.51581861366333</v>
      </c>
      <c r="DU200" s="59">
        <f t="shared" si="209"/>
        <v>225.01415116995503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74.481551666348054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74.481551666348054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328.00000000000017</v>
      </c>
      <c r="EK200" s="17">
        <f>EJ200*VLOOKUP('Données projet'!$B$15,Paramètres!$A$1:$I$89,3,0)*VLOOKUP('Données projet'!$B$15,Paramètres!$A$1:$I$89,5,0)</f>
        <v>255.84000000000015</v>
      </c>
      <c r="EL200" s="13">
        <f t="shared" si="179"/>
        <v>61.834803371075886</v>
      </c>
      <c r="EM200" s="20">
        <f t="shared" si="180"/>
        <v>553.28361587129086</v>
      </c>
      <c r="EN200" s="59">
        <f t="shared" si="198"/>
        <v>846.61694920462423</v>
      </c>
      <c r="EO200" s="59">
        <f ca="1">AVERAGE(OFFSET($EN$3,0,0,'Données projet'!$E$15+1,1))-AVERAGE(OFFSET($H$3,0,0,'Données projet'!$E$15+1,1))</f>
        <v>288.80569134263209</v>
      </c>
      <c r="EP200" s="59">
        <f t="shared" si="210"/>
        <v>283.48738729114024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1.6112194168090348</v>
      </c>
      <c r="EW200" s="21">
        <f>EXP(-LN(2)/25)*EW199+(1-EXP(-LN(2)/25))/(LN(2)/25)*Calculateur!ER200*Calculateur!ET200*VLOOKUP('Données projet'!$B$15,Paramètres!$A$1:$I$89,3,0)*0.475*44/12</f>
        <v>0.56808439664350086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2.1793038134525355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-1.0197709343628959E-13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323.17232038705157</v>
      </c>
      <c r="FK200" s="59">
        <f t="shared" si="211"/>
        <v>402.34685738619197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9.97841120561624</v>
      </c>
      <c r="FR200" s="21">
        <f>EXP(-LN(2)/25)*FR199+(1-EXP(-LN(2)/25))/(LN(2)/25)*Calculateur!FM200*Calculateur!FO200*VLOOKUP('Données projet'!$B$16,Paramètres!$A$1:$I$89,3,0)*0.475*44/12</f>
        <v>0.88637759328495214</v>
      </c>
      <c r="FS200" s="21">
        <f>EXP(-LN(2)/2)*FS199+(1-EXP(-LN(2)/2))/(LN(2)/2)*FM200*FP200*VLOOKUP('Données projet'!$B$16,Paramètres!$A$1:$I$89,3,0)*0.475*44/12</f>
        <v>2.4201102561982904E-20</v>
      </c>
      <c r="FT200" s="22">
        <f t="shared" si="184"/>
        <v>10.864788798901191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328.00000000000017</v>
      </c>
      <c r="GA200" s="17">
        <f>FZ200*VLOOKUP('Données projet'!$B$17,Paramètres!$A$1:$I$89,3,0)*VLOOKUP('Données projet'!$B$17,Paramètres!$A$1:$I$89,5,0)</f>
        <v>266.07360000000017</v>
      </c>
      <c r="GB200" s="13">
        <f t="shared" si="185"/>
        <v>64.015279012301136</v>
      </c>
      <c r="GC200" s="20">
        <f t="shared" si="186"/>
        <v>574.90479761309132</v>
      </c>
      <c r="GD200" s="59">
        <f t="shared" si="200"/>
        <v>868.23813094642469</v>
      </c>
      <c r="GE200" s="59">
        <f ca="1">AVERAGE(OFFSET($GD$3,0,0,'Données projet'!$E$17+1,1))-AVERAGE(OFFSET($H$3,0,0,'Données projet'!$E$17+1,1))</f>
        <v>298.96480270023716</v>
      </c>
      <c r="GF200" s="59">
        <f t="shared" si="212"/>
        <v>293.11447542333889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2.0653584710352102</v>
      </c>
      <c r="GM200" s="21">
        <f>EXP(-LN(2)/25)*GM199+(1-EXP(-LN(2)/25))/(LN(2)/25)*Calculateur!GH200*Calculateur!GJ200*VLOOKUP('Données projet'!$B$17,Paramètres!$A$1:$I$89,3,0)*0.475*44/12</f>
        <v>0.72820492890673794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2.7935633999419482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-1.4210854715202004E-13</v>
      </c>
      <c r="GV200" s="17">
        <f>GU200*VLOOKUP('Données projet'!$B$18,Paramètres!$A$1:$I$89,3,0)*VLOOKUP('Données projet'!$B$18,Paramètres!$A$1:$I$89,5,0)</f>
        <v>-8.128608897095547E-14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320.76883487964511</v>
      </c>
      <c r="HA200" s="59">
        <f t="shared" si="213"/>
        <v>290.51177680335746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16.319195508099298</v>
      </c>
      <c r="HH200" s="21">
        <f>EXP(-LN(2)/25)*HH199+(1-EXP(-LN(2)/25))/(LN(2)/25)*Calculateur!HC200*Calculateur!HE200*VLOOKUP('Données projet'!$B$18,Paramètres!$A$1:$I$89,3,0)*0.475*44/12</f>
        <v>1.716654758563678</v>
      </c>
      <c r="HI200" s="21">
        <f>EXP(-LN(2)/2)*HI199+(1-EXP(-LN(2)/2))/(LN(2)/2)*HC200*HF200*VLOOKUP('Données projet'!$B$18,Paramètres!$A$1:$I$89,3,0)*0.475*44/12</f>
        <v>2.4982005913462343E-15</v>
      </c>
      <c r="HJ200" s="22">
        <f t="shared" si="190"/>
        <v>18.03585026666298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5.763922672485933E-13</v>
      </c>
      <c r="AK201" s="13">
        <f t="shared" si="164"/>
        <v>7.0619171555808457E-12</v>
      </c>
      <c r="AL201" s="20">
        <f t="shared" si="165"/>
        <v>1.3303388911427938E-11</v>
      </c>
      <c r="AM201" s="59">
        <f t="shared" si="193"/>
        <v>293.33333333334662</v>
      </c>
      <c r="AN201" s="59">
        <f ca="1">AVERAGE(OFFSET($AM$3,0,0,'Données projet'!$E$10+1,1))-AVERAGE(OFFSET($H$3,0,0,'Données projet'!$E$10+1,1))</f>
        <v>425.47148407510412</v>
      </c>
      <c r="AO201" s="59">
        <f t="shared" si="205"/>
        <v>308.54448799922471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50.837951059721412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50.837951059721412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212.00000000000009</v>
      </c>
      <c r="BE201" s="13">
        <f>BD201*VLOOKUP('Données projet'!$B$11,Paramètres!$A$1:$I$89,3,0)*VLOOKUP('Données projet'!$B$11,Paramètres!$A$1:$I$89,5,0)</f>
        <v>185.20320000000009</v>
      </c>
      <c r="BF201" s="13">
        <f t="shared" si="167"/>
        <v>46.477875402099386</v>
      </c>
      <c r="BG201" s="20">
        <f t="shared" si="168"/>
        <v>403.5112063253232</v>
      </c>
      <c r="BH201" s="59">
        <f t="shared" si="194"/>
        <v>696.84453965865646</v>
      </c>
      <c r="BI201" s="59">
        <f ca="1">AVERAGE(OFFSET($BH$3,0,0,'Données projet'!$E$11+1,1))-AVERAGE(OFFSET($H$3,0,0,'Données projet'!$E$11+1,1))</f>
        <v>300.63505444445104</v>
      </c>
      <c r="BJ201" s="59">
        <f t="shared" si="206"/>
        <v>266.32508105927997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2.1444114425475425</v>
      </c>
      <c r="BQ201" s="21">
        <f>EXP(-LN(2)/25)*BQ200+(1-EXP(-LN(2)/25))/(LN(2)/25)*Calculateur!BL201*Calculateur!BN201*VLOOKUP('Données projet'!$B$11,Paramètres!$A$1:$I$89,3,0)*0.475*44/12</f>
        <v>0.9240401602899162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3.0684516028374587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-4.3273757910355926E-13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361.26385625423757</v>
      </c>
      <c r="CE201" s="59">
        <f t="shared" si="207"/>
        <v>222.05197404028576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71.843255579247341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71.843255579247341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247.00000000000017</v>
      </c>
      <c r="CU201" s="17">
        <f>CT201*VLOOKUP('Données projet'!$B$13,Paramètres!$A$1:$I$89,3,0)*VLOOKUP('Données projet'!$B$13,Paramètres!$A$1:$I$89,5,0)</f>
        <v>223.48560000000012</v>
      </c>
      <c r="CV201" s="13">
        <f t="shared" si="173"/>
        <v>54.87176918107798</v>
      </c>
      <c r="CW201" s="20">
        <f t="shared" si="174"/>
        <v>484.80575132371092</v>
      </c>
      <c r="CX201" s="59">
        <f t="shared" si="196"/>
        <v>778.13908465704424</v>
      </c>
      <c r="CY201" s="59">
        <f ca="1">AVERAGE(OFFSET($CX$3,0,0,'Données projet'!$E$13+1,1))-AVERAGE(OFFSET($H$3,0,0,'Données projet'!$E$13+1,1))</f>
        <v>302.6937347295995</v>
      </c>
      <c r="CZ201" s="59">
        <f t="shared" si="208"/>
        <v>423.44006663873375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2.1746085547440546E-2</v>
      </c>
      <c r="DG201" s="21">
        <f>EXP(-LN(2)/25)*DG200+(1-EXP(-LN(2)/25))/(LN(2)/25)*Calculateur!DB201*Calculateur!DD201*VLOOKUP('Données projet'!$B$13,Paramètres!$A$1:$I$89,3,0)*0.475*44/12</f>
        <v>4.0687172888876383E-2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6.2433258436316932E-2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-4.3983163777738812E-13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366.51581861366333</v>
      </c>
      <c r="DU201" s="59">
        <f t="shared" si="209"/>
        <v>225.01415116995503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73.021013867431719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73.021013867431719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328.00000000000017</v>
      </c>
      <c r="EK201" s="17">
        <f>EJ201*VLOOKUP('Données projet'!$B$15,Paramètres!$A$1:$I$89,3,0)*VLOOKUP('Données projet'!$B$15,Paramètres!$A$1:$I$89,5,0)</f>
        <v>255.84000000000015</v>
      </c>
      <c r="EL201" s="13">
        <f t="shared" si="179"/>
        <v>61.834803371075886</v>
      </c>
      <c r="EM201" s="20">
        <f t="shared" si="180"/>
        <v>553.28361587129086</v>
      </c>
      <c r="EN201" s="59">
        <f t="shared" si="198"/>
        <v>846.61694920462423</v>
      </c>
      <c r="EO201" s="59">
        <f ca="1">AVERAGE(OFFSET($EN$3,0,0,'Données projet'!$E$15+1,1))-AVERAGE(OFFSET($H$3,0,0,'Données projet'!$E$15+1,1))</f>
        <v>288.80569134263209</v>
      </c>
      <c r="EP201" s="59">
        <f t="shared" si="210"/>
        <v>283.48738729114024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1.5796243867922157</v>
      </c>
      <c r="EW201" s="21">
        <f>EXP(-LN(2)/25)*EW200+(1-EXP(-LN(2)/25))/(LN(2)/25)*Calculateur!ER201*Calculateur!ET201*VLOOKUP('Données projet'!$B$15,Paramètres!$A$1:$I$89,3,0)*0.475*44/12</f>
        <v>0.55255009894302431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2.13217448573524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-1.0197709343628959E-13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323.17232038705157</v>
      </c>
      <c r="FK201" s="59">
        <f t="shared" si="211"/>
        <v>402.34685738619197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9.7827406481039763</v>
      </c>
      <c r="FR201" s="21">
        <f>EXP(-LN(2)/25)*FR200+(1-EXP(-LN(2)/25))/(LN(2)/25)*Calculateur!FM201*Calculateur!FO201*VLOOKUP('Données projet'!$B$16,Paramètres!$A$1:$I$89,3,0)*0.475*44/12</f>
        <v>0.86213955138400333</v>
      </c>
      <c r="FS201" s="21">
        <f>EXP(-LN(2)/2)*FS200+(1-EXP(-LN(2)/2))/(LN(2)/2)*FM201*FP201*VLOOKUP('Données projet'!$B$16,Paramètres!$A$1:$I$89,3,0)*0.475*44/12</f>
        <v>1.711276373376924E-20</v>
      </c>
      <c r="FT201" s="22">
        <f t="shared" si="184"/>
        <v>10.644880199487979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328.00000000000017</v>
      </c>
      <c r="GA201" s="17">
        <f>FZ201*VLOOKUP('Données projet'!$B$17,Paramètres!$A$1:$I$89,3,0)*VLOOKUP('Données projet'!$B$17,Paramètres!$A$1:$I$89,5,0)</f>
        <v>266.07360000000017</v>
      </c>
      <c r="GB201" s="13">
        <f t="shared" si="185"/>
        <v>64.015279012301136</v>
      </c>
      <c r="GC201" s="20">
        <f t="shared" si="186"/>
        <v>574.90479761309132</v>
      </c>
      <c r="GD201" s="59">
        <f t="shared" si="200"/>
        <v>868.23813094642469</v>
      </c>
      <c r="GE201" s="59">
        <f ca="1">AVERAGE(OFFSET($GD$3,0,0,'Données projet'!$E$17+1,1))-AVERAGE(OFFSET($H$3,0,0,'Données projet'!$E$17+1,1))</f>
        <v>298.96480270023716</v>
      </c>
      <c r="GF201" s="59">
        <f t="shared" si="212"/>
        <v>293.11447542333889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2.0248580511624876</v>
      </c>
      <c r="GM201" s="21">
        <f>EXP(-LN(2)/25)*GM200+(1-EXP(-LN(2)/25))/(LN(2)/25)*Calculateur!GH201*Calculateur!GJ201*VLOOKUP('Données projet'!$B$17,Paramètres!$A$1:$I$89,3,0)*0.475*44/12</f>
        <v>0.70829212683115028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2.7331501779936378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-1.4210854715202004E-13</v>
      </c>
      <c r="GV201" s="17">
        <f>GU201*VLOOKUP('Données projet'!$B$18,Paramètres!$A$1:$I$89,3,0)*VLOOKUP('Données projet'!$B$18,Paramètres!$A$1:$I$89,5,0)</f>
        <v>-8.128608897095547E-14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320.76883487964511</v>
      </c>
      <c r="HA201" s="59">
        <f t="shared" si="213"/>
        <v>290.51177680335746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15.999186037911882</v>
      </c>
      <c r="HH201" s="21">
        <f>EXP(-LN(2)/25)*HH200+(1-EXP(-LN(2)/25))/(LN(2)/25)*Calculateur!HC201*Calculateur!HE201*VLOOKUP('Données projet'!$B$18,Paramètres!$A$1:$I$89,3,0)*0.475*44/12</f>
        <v>1.6697127439158039</v>
      </c>
      <c r="HI201" s="21">
        <f>EXP(-LN(2)/2)*HI200+(1-EXP(-LN(2)/2))/(LN(2)/2)*HC201*HF201*VLOOKUP('Données projet'!$B$18,Paramètres!$A$1:$I$89,3,0)*0.475*44/12</f>
        <v>1.7664945789051654E-15</v>
      </c>
      <c r="HJ201" s="22">
        <f t="shared" si="190"/>
        <v>17.668898781827686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5.763922672485933E-13</v>
      </c>
      <c r="AK202" s="13">
        <f t="shared" si="164"/>
        <v>7.0619171555808457E-12</v>
      </c>
      <c r="AL202" s="20">
        <f t="shared" si="165"/>
        <v>1.3303388911427938E-11</v>
      </c>
      <c r="AM202" s="59">
        <f t="shared" si="193"/>
        <v>293.33333333334662</v>
      </c>
      <c r="AN202" s="59">
        <f ca="1">AVERAGE(OFFSET($AM$3,0,0,'Données projet'!$E$10+1,1))-AVERAGE(OFFSET($H$3,0,0,'Données projet'!$E$10+1,1))</f>
        <v>425.47148407510412</v>
      </c>
      <c r="AO202" s="59">
        <f t="shared" si="205"/>
        <v>308.54448799922471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49.84104984752863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49.84104984752863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212.00000000000009</v>
      </c>
      <c r="BE202" s="13">
        <f>BD202*VLOOKUP('Données projet'!$B$11,Paramètres!$A$1:$I$89,3,0)*VLOOKUP('Données projet'!$B$11,Paramètres!$A$1:$I$89,5,0)</f>
        <v>185.20320000000009</v>
      </c>
      <c r="BF202" s="13">
        <f t="shared" si="167"/>
        <v>46.477875402099386</v>
      </c>
      <c r="BG202" s="20">
        <f t="shared" si="168"/>
        <v>403.5112063253232</v>
      </c>
      <c r="BH202" s="59">
        <f t="shared" si="194"/>
        <v>696.84453965865646</v>
      </c>
      <c r="BI202" s="59">
        <f ca="1">AVERAGE(OFFSET($BH$3,0,0,'Données projet'!$E$11+1,1))-AVERAGE(OFFSET($H$3,0,0,'Données projet'!$E$11+1,1))</f>
        <v>300.63505444445104</v>
      </c>
      <c r="BJ202" s="59">
        <f t="shared" si="206"/>
        <v>266.32508105927997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2.1023608421210147</v>
      </c>
      <c r="BQ202" s="21">
        <f>EXP(-LN(2)/25)*BQ201+(1-EXP(-LN(2)/25))/(LN(2)/25)*Calculateur!BL202*Calculateur!BN202*VLOOKUP('Données projet'!$B$11,Paramètres!$A$1:$I$89,3,0)*0.475*44/12</f>
        <v>0.89877223351362834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3.0011330756346428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-4.3273757910355926E-13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361.26385625423757</v>
      </c>
      <c r="CE202" s="59">
        <f t="shared" si="207"/>
        <v>222.05197404028576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70.434453157397328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70.434453157397328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247.00000000000017</v>
      </c>
      <c r="CU202" s="17">
        <f>CT202*VLOOKUP('Données projet'!$B$13,Paramètres!$A$1:$I$89,3,0)*VLOOKUP('Données projet'!$B$13,Paramètres!$A$1:$I$89,5,0)</f>
        <v>223.48560000000012</v>
      </c>
      <c r="CV202" s="13">
        <f t="shared" si="173"/>
        <v>54.87176918107798</v>
      </c>
      <c r="CW202" s="20">
        <f t="shared" si="174"/>
        <v>484.80575132371092</v>
      </c>
      <c r="CX202" s="59">
        <f t="shared" si="196"/>
        <v>778.13908465704424</v>
      </c>
      <c r="CY202" s="59">
        <f ca="1">AVERAGE(OFFSET($CX$3,0,0,'Données projet'!$E$13+1,1))-AVERAGE(OFFSET($H$3,0,0,'Données projet'!$E$13+1,1))</f>
        <v>302.6937347295995</v>
      </c>
      <c r="CZ202" s="59">
        <f t="shared" si="208"/>
        <v>423.44006663873375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2.1319658073657727E-2</v>
      </c>
      <c r="DG202" s="21">
        <f>EXP(-LN(2)/25)*DG201+(1-EXP(-LN(2)/25))/(LN(2)/25)*Calculateur!DB202*Calculateur!DD202*VLOOKUP('Données projet'!$B$13,Paramètres!$A$1:$I$89,3,0)*0.475*44/12</f>
        <v>3.9574580006584627E-2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6.0894238080242358E-2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-4.3983163777738812E-13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366.51581861366333</v>
      </c>
      <c r="DU202" s="59">
        <f t="shared" si="209"/>
        <v>225.01415116995503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71.589116323912037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71.589116323912037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328.00000000000017</v>
      </c>
      <c r="EK202" s="17">
        <f>EJ202*VLOOKUP('Données projet'!$B$15,Paramètres!$A$1:$I$89,3,0)*VLOOKUP('Données projet'!$B$15,Paramètres!$A$1:$I$89,5,0)</f>
        <v>255.84000000000015</v>
      </c>
      <c r="EL202" s="13">
        <f t="shared" si="179"/>
        <v>61.834803371075886</v>
      </c>
      <c r="EM202" s="20">
        <f t="shared" si="180"/>
        <v>553.28361587129086</v>
      </c>
      <c r="EN202" s="59">
        <f t="shared" si="198"/>
        <v>846.61694920462423</v>
      </c>
      <c r="EO202" s="59">
        <f ca="1">AVERAGE(OFFSET($EN$3,0,0,'Données projet'!$E$15+1,1))-AVERAGE(OFFSET($H$3,0,0,'Données projet'!$E$15+1,1))</f>
        <v>288.80569134263209</v>
      </c>
      <c r="EP202" s="59">
        <f t="shared" si="210"/>
        <v>283.48738729114024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1.5486489160429611</v>
      </c>
      <c r="EW202" s="21">
        <f>EXP(-LN(2)/25)*EW201+(1-EXP(-LN(2)/25))/(LN(2)/25)*Calculateur!ER202*Calculateur!ET202*VLOOKUP('Données projet'!$B$15,Paramètres!$A$1:$I$89,3,0)*0.475*44/12</f>
        <v>0.5374405874300805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2.0860895034730413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-1.0197709343628959E-13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323.17232038705157</v>
      </c>
      <c r="FK202" s="59">
        <f t="shared" si="211"/>
        <v>402.34685738619197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9.5909070708772717</v>
      </c>
      <c r="FR202" s="21">
        <f>EXP(-LN(2)/25)*FR201+(1-EXP(-LN(2)/25))/(LN(2)/25)*Calculateur!FM202*Calculateur!FO202*VLOOKUP('Données projet'!$B$16,Paramètres!$A$1:$I$89,3,0)*0.475*44/12</f>
        <v>0.83856430001345916</v>
      </c>
      <c r="FS202" s="21">
        <f>EXP(-LN(2)/2)*FS201+(1-EXP(-LN(2)/2))/(LN(2)/2)*FM202*FP202*VLOOKUP('Données projet'!$B$16,Paramètres!$A$1:$I$89,3,0)*0.475*44/12</f>
        <v>1.2100551280991452E-20</v>
      </c>
      <c r="FT202" s="22">
        <f t="shared" si="184"/>
        <v>10.429471370890731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328.00000000000017</v>
      </c>
      <c r="GA202" s="17">
        <f>FZ202*VLOOKUP('Données projet'!$B$17,Paramètres!$A$1:$I$89,3,0)*VLOOKUP('Données projet'!$B$17,Paramètres!$A$1:$I$89,5,0)</f>
        <v>266.07360000000017</v>
      </c>
      <c r="GB202" s="13">
        <f t="shared" si="185"/>
        <v>64.015279012301136</v>
      </c>
      <c r="GC202" s="20">
        <f t="shared" si="186"/>
        <v>574.90479761309132</v>
      </c>
      <c r="GD202" s="59">
        <f t="shared" si="200"/>
        <v>868.23813094642469</v>
      </c>
      <c r="GE202" s="59">
        <f ca="1">AVERAGE(OFFSET($GD$3,0,0,'Données projet'!$E$17+1,1))-AVERAGE(OFFSET($H$3,0,0,'Données projet'!$E$17+1,1))</f>
        <v>298.96480270023716</v>
      </c>
      <c r="GF202" s="59">
        <f t="shared" si="212"/>
        <v>293.11447542333889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1.9851518198206521</v>
      </c>
      <c r="GM202" s="21">
        <f>EXP(-LN(2)/25)*GM201+(1-EXP(-LN(2)/25))/(LN(2)/25)*Calculateur!GH202*Calculateur!GJ202*VLOOKUP('Données projet'!$B$17,Paramètres!$A$1:$I$89,3,0)*0.475*44/12</f>
        <v>0.68892384137548834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2.6740756611961407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-1.4210854715202004E-13</v>
      </c>
      <c r="GV202" s="17">
        <f>GU202*VLOOKUP('Données projet'!$B$18,Paramètres!$A$1:$I$89,3,0)*VLOOKUP('Données projet'!$B$18,Paramètres!$A$1:$I$89,5,0)</f>
        <v>-8.128608897095547E-14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320.76883487964511</v>
      </c>
      <c r="HA202" s="59">
        <f t="shared" si="213"/>
        <v>290.51177680335746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15.685451758248337</v>
      </c>
      <c r="HH202" s="21">
        <f>EXP(-LN(2)/25)*HH201+(1-EXP(-LN(2)/25))/(LN(2)/25)*Calculateur!HC202*Calculateur!HE202*VLOOKUP('Données projet'!$B$18,Paramètres!$A$1:$I$89,3,0)*0.475*44/12</f>
        <v>1.6240543611270493</v>
      </c>
      <c r="HI202" s="21">
        <f>EXP(-LN(2)/2)*HI201+(1-EXP(-LN(2)/2))/(LN(2)/2)*HC202*HF202*VLOOKUP('Données projet'!$B$18,Paramètres!$A$1:$I$89,3,0)*0.475*44/12</f>
        <v>1.2491002956731173E-15</v>
      </c>
      <c r="HJ202" s="22">
        <f t="shared" si="190"/>
        <v>17.309506119375385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5.763922672485933E-13</v>
      </c>
      <c r="AK203" s="13">
        <f t="shared" si="164"/>
        <v>7.0619171555808457E-12</v>
      </c>
      <c r="AL203" s="20">
        <f t="shared" si="165"/>
        <v>1.3303388911427938E-11</v>
      </c>
      <c r="AM203" s="59">
        <f t="shared" si="193"/>
        <v>293.33333333334662</v>
      </c>
      <c r="AN203" s="59">
        <f ca="1">AVERAGE(OFFSET($AM$3,0,0,'Données projet'!$E$10+1,1))-AVERAGE(OFFSET($H$3,0,0,'Données projet'!$E$10+1,1))</f>
        <v>425.47148407510412</v>
      </c>
      <c r="AO203" s="59">
        <f t="shared" si="205"/>
        <v>308.54448799922471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48.863697260057243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48.863697260057243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212.00000000000009</v>
      </c>
      <c r="BE203" s="13">
        <f>BD203*VLOOKUP('Données projet'!$B$11,Paramètres!$A$1:$I$89,3,0)*VLOOKUP('Données projet'!$B$11,Paramètres!$A$1:$I$89,5,0)</f>
        <v>185.20320000000009</v>
      </c>
      <c r="BF203" s="13">
        <f t="shared" si="167"/>
        <v>46.477875402099386</v>
      </c>
      <c r="BG203" s="20">
        <f t="shared" si="168"/>
        <v>403.5112063253232</v>
      </c>
      <c r="BH203" s="59">
        <f t="shared" si="194"/>
        <v>696.84453965865646</v>
      </c>
      <c r="BI203" s="59">
        <f ca="1">AVERAGE(OFFSET($BH$3,0,0,'Données projet'!$E$11+1,1))-AVERAGE(OFFSET($H$3,0,0,'Données projet'!$E$11+1,1))</f>
        <v>300.63505444445104</v>
      </c>
      <c r="BJ203" s="59">
        <f t="shared" si="206"/>
        <v>266.32508105927997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2.0611348283205175</v>
      </c>
      <c r="BQ203" s="21">
        <f>EXP(-LN(2)/25)*BQ202+(1-EXP(-LN(2)/25))/(LN(2)/25)*Calculateur!BL203*Calculateur!BN203*VLOOKUP('Données projet'!$B$11,Paramètres!$A$1:$I$89,3,0)*0.475*44/12</f>
        <v>0.8741952595238206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2.935330087844338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-4.3273757910355926E-13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361.26385625423757</v>
      </c>
      <c r="CE203" s="59">
        <f t="shared" si="207"/>
        <v>222.05197404028576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69.05327649175517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69.05327649175517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247.00000000000017</v>
      </c>
      <c r="CU203" s="17">
        <f>CT203*VLOOKUP('Données projet'!$B$13,Paramètres!$A$1:$I$89,3,0)*VLOOKUP('Données projet'!$B$13,Paramètres!$A$1:$I$89,5,0)</f>
        <v>223.48560000000012</v>
      </c>
      <c r="CV203" s="13">
        <f t="shared" si="173"/>
        <v>54.87176918107798</v>
      </c>
      <c r="CW203" s="20">
        <f t="shared" si="174"/>
        <v>484.80575132371092</v>
      </c>
      <c r="CX203" s="59">
        <f t="shared" si="196"/>
        <v>778.13908465704424</v>
      </c>
      <c r="CY203" s="59">
        <f ca="1">AVERAGE(OFFSET($CX$3,0,0,'Données projet'!$E$13+1,1))-AVERAGE(OFFSET($H$3,0,0,'Données projet'!$E$13+1,1))</f>
        <v>302.6937347295995</v>
      </c>
      <c r="CZ203" s="59">
        <f t="shared" si="208"/>
        <v>423.44006663873375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2.0901592582540714E-2</v>
      </c>
      <c r="DG203" s="21">
        <f>EXP(-LN(2)/25)*DG202+(1-EXP(-LN(2)/25))/(LN(2)/25)*Calculateur!DB203*Calculateur!DD203*VLOOKUP('Données projet'!$B$13,Paramètres!$A$1:$I$89,3,0)*0.475*44/12</f>
        <v>3.8492411035167859E-2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5.9394003617708573E-2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-4.3983163777738812E-13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366.51581861366333</v>
      </c>
      <c r="DU203" s="59">
        <f t="shared" si="209"/>
        <v>225.01415116995503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70.185297417849512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70.185297417849512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328.00000000000017</v>
      </c>
      <c r="EK203" s="17">
        <f>EJ203*VLOOKUP('Données projet'!$B$15,Paramètres!$A$1:$I$89,3,0)*VLOOKUP('Données projet'!$B$15,Paramètres!$A$1:$I$89,5,0)</f>
        <v>255.84000000000015</v>
      </c>
      <c r="EL203" s="13">
        <f t="shared" si="179"/>
        <v>61.834803371075886</v>
      </c>
      <c r="EM203" s="20">
        <f t="shared" si="180"/>
        <v>553.28361587129086</v>
      </c>
      <c r="EN203" s="59">
        <f t="shared" si="198"/>
        <v>846.61694920462423</v>
      </c>
      <c r="EO203" s="59">
        <f ca="1">AVERAGE(OFFSET($EN$3,0,0,'Données projet'!$E$15+1,1))-AVERAGE(OFFSET($H$3,0,0,'Données projet'!$E$15+1,1))</f>
        <v>288.80569134263209</v>
      </c>
      <c r="EP203" s="59">
        <f t="shared" si="210"/>
        <v>283.48738729114024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1.5182808553819276</v>
      </c>
      <c r="EW203" s="21">
        <f>EXP(-LN(2)/25)*EW202+(1-EXP(-LN(2)/25))/(LN(2)/25)*Calculateur!ER203*Calculateur!ET203*VLOOKUP('Données projet'!$B$15,Paramètres!$A$1:$I$89,3,0)*0.475*44/12</f>
        <v>0.52274424630403282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2.0410251016859604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-1.0197709343628959E-13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323.17232038705157</v>
      </c>
      <c r="FK203" s="59">
        <f t="shared" si="211"/>
        <v>402.34685738619197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9.4028352330930538</v>
      </c>
      <c r="FR203" s="21">
        <f>EXP(-LN(2)/25)*FR202+(1-EXP(-LN(2)/25))/(LN(2)/25)*Calculateur!FM203*Calculateur!FO203*VLOOKUP('Données projet'!$B$16,Paramètres!$A$1:$I$89,3,0)*0.475*44/12</f>
        <v>0.81563371513141114</v>
      </c>
      <c r="FS203" s="21">
        <f>EXP(-LN(2)/2)*FS202+(1-EXP(-LN(2)/2))/(LN(2)/2)*FM203*FP203*VLOOKUP('Données projet'!$B$16,Paramètres!$A$1:$I$89,3,0)*0.475*44/12</f>
        <v>8.5563818668846198E-21</v>
      </c>
      <c r="FT203" s="22">
        <f t="shared" si="184"/>
        <v>10.218468948224466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328.00000000000017</v>
      </c>
      <c r="GA203" s="17">
        <f>FZ203*VLOOKUP('Données projet'!$B$17,Paramètres!$A$1:$I$89,3,0)*VLOOKUP('Données projet'!$B$17,Paramètres!$A$1:$I$89,5,0)</f>
        <v>266.07360000000017</v>
      </c>
      <c r="GB203" s="13">
        <f t="shared" si="185"/>
        <v>64.015279012301136</v>
      </c>
      <c r="GC203" s="20">
        <f t="shared" si="186"/>
        <v>574.90479761309132</v>
      </c>
      <c r="GD203" s="59">
        <f t="shared" si="200"/>
        <v>868.23813094642469</v>
      </c>
      <c r="GE203" s="59">
        <f ca="1">AVERAGE(OFFSET($GD$3,0,0,'Données projet'!$E$17+1,1))-AVERAGE(OFFSET($H$3,0,0,'Données projet'!$E$17+1,1))</f>
        <v>298.96480270023716</v>
      </c>
      <c r="GF203" s="59">
        <f t="shared" si="212"/>
        <v>293.11447542333889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1.9462242034570203</v>
      </c>
      <c r="GM203" s="21">
        <f>EXP(-LN(2)/25)*GM202+(1-EXP(-LN(2)/25))/(LN(2)/25)*Calculateur!GH203*Calculateur!GJ203*VLOOKUP('Données projet'!$B$17,Paramètres!$A$1:$I$89,3,0)*0.475*44/12</f>
        <v>0.6700851827041453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2.6163093861611655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-1.4210854715202004E-13</v>
      </c>
      <c r="GV203" s="17">
        <f>GU203*VLOOKUP('Données projet'!$B$18,Paramètres!$A$1:$I$89,3,0)*VLOOKUP('Données projet'!$B$18,Paramètres!$A$1:$I$89,5,0)</f>
        <v>-8.128608897095547E-14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320.76883487964511</v>
      </c>
      <c r="HA203" s="59">
        <f t="shared" si="213"/>
        <v>290.51177680335746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15.37786961644998</v>
      </c>
      <c r="HH203" s="21">
        <f>EXP(-LN(2)/25)*HH202+(1-EXP(-LN(2)/25))/(LN(2)/25)*Calculateur!HC203*Calculateur!HE203*VLOOKUP('Données projet'!$B$18,Paramètres!$A$1:$I$89,3,0)*0.475*44/12</f>
        <v>1.5796445092167231</v>
      </c>
      <c r="HI203" s="21">
        <f>EXP(-LN(2)/2)*HI202+(1-EXP(-LN(2)/2))/(LN(2)/2)*HC203*HF203*VLOOKUP('Données projet'!$B$18,Paramètres!$A$1:$I$89,3,0)*0.475*44/12</f>
        <v>8.8324728945258289E-16</v>
      </c>
      <c r="HJ203" s="22">
        <f t="shared" si="190"/>
        <v>16.957514125666702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1.335141362540313</v>
      </c>
      <c r="BV205" s="82">
        <f>EXP(LN('Données projet'!B114)/'Données projet'!A114)</f>
        <v>1.1608269964373037</v>
      </c>
      <c r="CQ205" s="82">
        <f>EXP(LN('Données projet'!B140)/'Données projet'!A140)</f>
        <v>1.9472943612303364</v>
      </c>
      <c r="DL205" s="82">
        <f>EXP(LN('Données projet'!B166)/'Données projet'!A166)</f>
        <v>1.1608269964373037</v>
      </c>
      <c r="EG205" s="82">
        <f>EXP(LN('Données projet'!B192)/'Données projet'!A192)</f>
        <v>1.2788040393997409</v>
      </c>
      <c r="FB205" s="82">
        <f>EXP(LN('Données projet'!B218)/'Données projet'!A218)</f>
        <v>1.3909694153327172</v>
      </c>
      <c r="FW205" s="82">
        <f>EXP(LN('Données projet'!B244)/'Données projet'!A244)</f>
        <v>1.2788040393997409</v>
      </c>
      <c r="GR205" s="82">
        <f>EXP(LN('Données projet'!B270)/'Données projet'!A270)</f>
        <v>1.3147987949303508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L16" sqref="L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2.4358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681.87767695441198</v>
      </c>
      <c r="G6" s="147">
        <f ca="1">F6*(100%-'Données projet'!$C$24)*(100%-'Données projet'!$C$25)*(100%-'Données projet'!$C$26)*(100%-'Données projet'!$C$27)</f>
        <v>583.00541379602225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583.00541379602225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0.51280000000000003</v>
      </c>
      <c r="C7" s="147">
        <f ca="1">IF(OR('Données projet'!B10="",'Données projet'!C10="",'Données projet'!C10=0%),0,Calculateur!AN3)</f>
        <v>425.47148407510412</v>
      </c>
      <c r="D7" s="147">
        <f>IF(OR('Données projet'!B10="",'Données projet'!C10="",'Données projet'!C10=0%),0,Calculateur!AO3)</f>
        <v>308.54448799922471</v>
      </c>
      <c r="E7" s="147">
        <f t="shared" ref="E7:E15" ca="1" si="0">MIN(C7,D7)</f>
        <v>308.54448799922471</v>
      </c>
      <c r="F7" s="147">
        <f t="shared" ref="F7:F15" ca="1" si="1">E7*B7</f>
        <v>158.22161344600244</v>
      </c>
      <c r="G7" s="147">
        <f ca="1">F7*(100%-'Données projet'!$C$24)*(100%-'Données projet'!$C$25)*(100%-'Données projet'!$C$26)*(100%-'Données projet'!$C$27)</f>
        <v>135.2794794963321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135.2794794963321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0.51280000000000003</v>
      </c>
      <c r="C8" s="147">
        <f ca="1">IF(OR('Données projet'!B11="",'Données projet'!C11="",'Données projet'!C11=0%),0,Calculateur!BI3)</f>
        <v>300.63505444445104</v>
      </c>
      <c r="D8" s="147">
        <f>IF(OR('Données projet'!B11="",'Données projet'!C11="",'Données projet'!C11=0%),0,Calculateur!BJ3)</f>
        <v>266.32508105927997</v>
      </c>
      <c r="E8" s="147">
        <f t="shared" ca="1" si="0"/>
        <v>266.32508105927997</v>
      </c>
      <c r="F8" s="147">
        <f t="shared" ca="1" si="1"/>
        <v>136.57150156719877</v>
      </c>
      <c r="G8" s="147">
        <f ca="1">F8*(100%-'Données projet'!$C$24)*(100%-'Données projet'!$C$25)*(100%-'Données projet'!$C$26)*(100%-'Données projet'!$C$27)</f>
        <v>116.76863383995493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116.76863383995493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Charme</v>
      </c>
      <c r="B9" s="154">
        <f>'Données projet'!D12</f>
        <v>0.32050000000000001</v>
      </c>
      <c r="C9" s="147">
        <f ca="1">IF(OR('Données projet'!B12="",'Données projet'!C12="",'Données projet'!C12=0%),0,Calculateur!CD3)</f>
        <v>361.26385625423757</v>
      </c>
      <c r="D9" s="147">
        <f>IF(OR('Données projet'!B12="",'Données projet'!C12="",'Données projet'!C12=0%),0,Calculateur!CE3)</f>
        <v>222.05197404028576</v>
      </c>
      <c r="E9" s="147">
        <f t="shared" ca="1" si="0"/>
        <v>222.05197404028576</v>
      </c>
      <c r="F9" s="147">
        <f t="shared" ca="1" si="1"/>
        <v>71.167657679911585</v>
      </c>
      <c r="G9" s="147">
        <f ca="1">F9*(100%-'Données projet'!$C$24)*(100%-'Données projet'!$C$25)*(100%-'Données projet'!$C$26)*(100%-'Données projet'!$C$27)</f>
        <v>60.848347316324407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60.848347316324407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Robinier faux-acacia</v>
      </c>
      <c r="B10" s="154">
        <f>'Données projet'!D13</f>
        <v>0.1923</v>
      </c>
      <c r="C10" s="147">
        <f ca="1">IF(OR('Données projet'!B13="",'Données projet'!C13="",'Données projet'!C13=0%),0,Calculateur!CY3)</f>
        <v>302.6937347295995</v>
      </c>
      <c r="D10" s="147">
        <f>IF(OR('Données projet'!B13="",'Données projet'!C13="",'Données projet'!C13=0%),0,Calculateur!CZ3)</f>
        <v>423.44006663873375</v>
      </c>
      <c r="E10" s="147">
        <f t="shared" ca="1" si="0"/>
        <v>302.6937347295995</v>
      </c>
      <c r="F10" s="147">
        <f t="shared" ca="1" si="1"/>
        <v>58.208005188501986</v>
      </c>
      <c r="G10" s="147">
        <f ca="1">F10*(100%-'Données projet'!$C$24)*(100%-'Données projet'!$C$25)*(100%-'Données projet'!$C$26)*(100%-'Données projet'!$C$27)</f>
        <v>49.767844436169199</v>
      </c>
      <c r="H10" s="155">
        <f>IF(OR('Données projet'!B13="",'Données projet'!C13="",'Données projet'!C13=0%),0,AVERAGE(Calculateur!$DI$3:$DI$33)*B10)</f>
        <v>7.4162639903124503E-3</v>
      </c>
      <c r="I10" s="149">
        <f>H10*(100%-'Données projet'!$C$24)*(100%-'Données projet'!$C$25)*(100%-'Données projet'!$C$26)*(100%-'Données projet'!$C$27)</f>
        <v>6.3409057117171444E-3</v>
      </c>
      <c r="J10" s="150">
        <f>IF(OR('Données projet'!B13="",'Données projet'!C13="",'Données projet'!C13=0%),0,SUM(Calculateur!$DB$3:$DB$33)*VLOOKUP('Données projet'!$B$13,Paramètres!$A$1:$I$89,9,0)*B10)</f>
        <v>3.6537000000000002</v>
      </c>
      <c r="K10" s="151">
        <f>J10*(100%-'Données projet'!$C$24)*(100%-'Données projet'!$C$25)*(100%-'Données projet'!$C$26)*(100%-'Données projet'!$C$27)</f>
        <v>3.1239135</v>
      </c>
      <c r="L10" s="152">
        <f t="shared" ca="1" si="2"/>
        <v>52.898098841880916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Alisier torminal</v>
      </c>
      <c r="B11" s="154">
        <f>'Données projet'!D14</f>
        <v>0.64100000000000001</v>
      </c>
      <c r="C11" s="147">
        <f ca="1">IF(OR('Données projet'!B14="",'Données projet'!C14="",'Données projet'!C14=0%),0,Calculateur!DT3)</f>
        <v>366.51581861366333</v>
      </c>
      <c r="D11" s="147">
        <f>IF(OR('Données projet'!B14="",'Données projet'!C14="",'Données projet'!C14=0%),0,Calculateur!DU3)</f>
        <v>225.01415116995503</v>
      </c>
      <c r="E11" s="147">
        <f t="shared" ca="1" si="0"/>
        <v>225.01415116995503</v>
      </c>
      <c r="F11" s="147">
        <f t="shared" ca="1" si="1"/>
        <v>144.23407089994117</v>
      </c>
      <c r="G11" s="147">
        <f ca="1">F11*(100%-'Données projet'!$C$24)*(100%-'Données projet'!$C$25)*(100%-'Données projet'!$C$26)*(100%-'Données projet'!$C$27)</f>
        <v>123.32013061944971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123.32013061944971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Merisier</v>
      </c>
      <c r="B12" s="154">
        <f>'Données projet'!D15</f>
        <v>0.12820000000000001</v>
      </c>
      <c r="C12" s="147">
        <f ca="1">IF(OR('Données projet'!B15="",'Données projet'!C15="",'Données projet'!C15=0%),0,Calculateur!EO3)</f>
        <v>288.80569134263209</v>
      </c>
      <c r="D12" s="147">
        <f>IF(OR('Données projet'!B15="",'Données projet'!C15="",'Données projet'!C15=0%),0,Calculateur!EP3)</f>
        <v>283.48738729114024</v>
      </c>
      <c r="E12" s="147">
        <f t="shared" ca="1" si="0"/>
        <v>283.48738729114024</v>
      </c>
      <c r="F12" s="147">
        <f t="shared" ca="1" si="1"/>
        <v>36.343083050724182</v>
      </c>
      <c r="G12" s="147">
        <f ca="1">F12*(100%-'Données projet'!$C$24)*(100%-'Données projet'!$C$25)*(100%-'Données projet'!$C$26)*(100%-'Données projet'!$C$27)</f>
        <v>31.073336008369175</v>
      </c>
      <c r="H12" s="155">
        <f>IF(OR('Données projet'!B15="",'Données projet'!C15="",'Données projet'!C15=0%),0,AVERAGE(Calculateur!$EY$3:$EY$33)*B12)</f>
        <v>0.29907770454885746</v>
      </c>
      <c r="I12" s="149">
        <f>H12*(100%-'Données projet'!$C$24)*(100%-'Données projet'!$C$25)*(100%-'Données projet'!$C$26)*(100%-'Données projet'!$C$27)</f>
        <v>0.2557114373892731</v>
      </c>
      <c r="J12" s="150">
        <f>IF(OR('Données projet'!B15="",'Données projet'!C15="",'Données projet'!C15=0%),0,SUM(Calculateur!$ER$3:$ER$33)*VLOOKUP('Données projet'!$B$15,Paramètres!$A$1:$I$89,9,0)*B12)</f>
        <v>1.76275</v>
      </c>
      <c r="K12" s="151">
        <f>J12*(100%-'Données projet'!$C$24)*(100%-'Données projet'!$C$25)*(100%-'Données projet'!$C$26)*(100%-'Données projet'!$C$27)</f>
        <v>1.5071512499999999</v>
      </c>
      <c r="L12" s="152">
        <f t="shared" ca="1" si="2"/>
        <v>32.836198695758448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Pin maritime</v>
      </c>
      <c r="B13" s="154">
        <f>'Données projet'!D16</f>
        <v>0.76919999999999999</v>
      </c>
      <c r="C13" s="147">
        <f ca="1">IF(OR('Données projet'!B16="",'Données projet'!C16="",'Données projet'!C16=0%),0,Calculateur!FJ3)</f>
        <v>323.17232038705157</v>
      </c>
      <c r="D13" s="147">
        <f>IF(OR('Données projet'!B16="",'Données projet'!C16="",'Données projet'!C16=0%),0,Calculateur!FK3)</f>
        <v>402.34685738619197</v>
      </c>
      <c r="E13" s="147">
        <f t="shared" ca="1" si="0"/>
        <v>323.17232038705157</v>
      </c>
      <c r="F13" s="147">
        <f t="shared" ca="1" si="1"/>
        <v>248.58414884172007</v>
      </c>
      <c r="G13" s="147">
        <f ca="1">F13*(100%-'Données projet'!$C$24)*(100%-'Données projet'!$C$25)*(100%-'Données projet'!$C$26)*(100%-'Données projet'!$C$27)</f>
        <v>212.53944725967065</v>
      </c>
      <c r="H13" s="155">
        <f>IF(OR('Données projet'!B16="",'Données projet'!C16="",'Données projet'!C16=0%),0,AVERAGE(Calculateur!$FT$3:$FT$33)*B13)</f>
        <v>10.014171037709604</v>
      </c>
      <c r="I13" s="149">
        <f>H13*(100%-'Données projet'!$C$24)*(100%-'Données projet'!$C$25)*(100%-'Données projet'!$C$26)*(100%-'Données projet'!$C$27)</f>
        <v>8.5621162372417103</v>
      </c>
      <c r="J13" s="150">
        <f>IF(OR('Données projet'!C16="",'Données projet'!C16=0%),0,SUM(Calculateur!$FM$3:$FM$33)*VLOOKUP('Données projet'!$B$16,Paramètres!$A$1:$I$89,9,0)*B13)</f>
        <v>66.028483015384623</v>
      </c>
      <c r="K13" s="151">
        <f>J13*(100%-'Données projet'!$C$24)*(100%-'Données projet'!$C$25)*(100%-'Données projet'!$C$26)*(100%-'Données projet'!$C$27)</f>
        <v>56.454352978153857</v>
      </c>
      <c r="L13" s="152">
        <f t="shared" ca="1" si="2"/>
        <v>277.55591647506623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Noyer</v>
      </c>
      <c r="B14" s="154">
        <f>'Données projet'!D17</f>
        <v>0.1923</v>
      </c>
      <c r="C14" s="147">
        <f ca="1">IF(OR('Données projet'!B17="",'Données projet'!C17="",'Données projet'!C17=0%),0,Calculateur!GE3)</f>
        <v>298.96480270023716</v>
      </c>
      <c r="D14" s="147">
        <f>IF(OR('Données projet'!B17="",'Données projet'!C17="",'Données projet'!C17=0%),0,Calculateur!GF3)</f>
        <v>293.11447542333889</v>
      </c>
      <c r="E14" s="147">
        <f t="shared" ca="1" si="0"/>
        <v>293.11447542333889</v>
      </c>
      <c r="F14" s="147">
        <f t="shared" ca="1" si="1"/>
        <v>56.365913623908071</v>
      </c>
      <c r="G14" s="147">
        <f ca="1">F14*(100%-'Données projet'!$C$24)*(100%-'Données projet'!$C$25)*(100%-'Données projet'!$C$26)*(100%-'Données projet'!$C$27)</f>
        <v>48.1928561484414</v>
      </c>
      <c r="H14" s="155">
        <f>IF(OR('Données projet'!B17="",'Données projet'!C17="",'Données projet'!C17=0%),0,AVERAGE(Calculateur!$GO$3:$GO$33)*B14)</f>
        <v>0.57506382818836144</v>
      </c>
      <c r="I14" s="149">
        <f>H14*(100%-'Données projet'!$C$24)*(100%-'Données projet'!$C$25)*(100%-'Données projet'!$C$26)*(100%-'Données projet'!$C$27)</f>
        <v>0.49167957310104904</v>
      </c>
      <c r="J14" s="150">
        <f>IF(OR('Données projet'!B17="",'Données projet'!C17="",'Données projet'!C17=0%),0,SUM(Calculateur!$GH$3:$GH$33)*VLOOKUP('Données projet'!$B$17,Paramètres!$A$1:$I$89,9,0)*B14)</f>
        <v>2.6441249999999998</v>
      </c>
      <c r="K14" s="151">
        <f>J14*(100%-'Données projet'!$C$24)*(100%-'Données projet'!$C$25)*(100%-'Données projet'!$C$26)*(100%-'Données projet'!$C$27)</f>
        <v>2.260726875</v>
      </c>
      <c r="L14" s="152">
        <f t="shared" ca="1" si="2"/>
        <v>50.945262596542456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>Pin sylvestre</v>
      </c>
      <c r="B15" s="157">
        <f>'Données projet'!D18</f>
        <v>0.64100000000000001</v>
      </c>
      <c r="C15" s="158">
        <f ca="1">IF(OR('Données projet'!B18="",'Données projet'!C18="",'Données projet'!C18=0%),0,Calculateur!GZ3)</f>
        <v>320.76883487964511</v>
      </c>
      <c r="D15" s="158">
        <f>IF(OR('Données projet'!B18="",'Données projet'!C18="",'Données projet'!C18=0%),0,Calculateur!HA3)</f>
        <v>290.51177680335746</v>
      </c>
      <c r="E15" s="158">
        <f t="shared" ca="1" si="0"/>
        <v>290.51177680335746</v>
      </c>
      <c r="F15" s="159">
        <f t="shared" ca="1" si="1"/>
        <v>186.21804893095214</v>
      </c>
      <c r="G15" s="159">
        <f ca="1">F15*(100%-'Données projet'!$C$24)*(100%-'Données projet'!$C$25)*(100%-'Données projet'!$C$26)*(100%-'Données projet'!$C$27)</f>
        <v>159.21643183596407</v>
      </c>
      <c r="H15" s="160">
        <f>IF(OR('Données projet'!B18="",'Données projet'!C18="",'Données projet'!C18=0%),0,AVERAGE(Calculateur!$HJ$3:$HJ$33)*B15)</f>
        <v>5.2339783776263973</v>
      </c>
      <c r="I15" s="161">
        <f>H15*(100%-'Données projet'!$C$24)*(100%-'Données projet'!$C$25)*(100%-'Données projet'!$C$26)*(100%-'Données projet'!$C$27)</f>
        <v>4.4750515128705697</v>
      </c>
      <c r="J15" s="162">
        <f>IF(OR('Données projet'!B18="",'Données projet'!C18="",'Données projet'!C18=0%),0,SUM(Calculateur!$HC$3:$HC$33)*VLOOKUP('Données projet'!$B$18,Paramètres!$A$1:$I$89,9,0)*B15)</f>
        <v>34.426186999999999</v>
      </c>
      <c r="K15" s="163">
        <f>J15*(100%-'Données projet'!$C$24)*(100%-'Données projet'!$C$25)*(100%-'Données projet'!$C$26)*(100%-'Données projet'!$C$27)</f>
        <v>29.434389884999998</v>
      </c>
      <c r="L15" s="164">
        <f t="shared" ca="1" si="2"/>
        <v>193.12587323383465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1777.7917201832722</v>
      </c>
      <c r="G16" s="166">
        <f t="shared" ca="1" si="3"/>
        <v>1520.0119207566979</v>
      </c>
      <c r="H16" s="167">
        <f t="shared" si="3"/>
        <v>16.129707212063533</v>
      </c>
      <c r="I16" s="167">
        <f t="shared" si="3"/>
        <v>13.790899666314319</v>
      </c>
      <c r="J16" s="168">
        <f t="shared" si="3"/>
        <v>108.51524501538462</v>
      </c>
      <c r="K16" s="168">
        <f t="shared" si="3"/>
        <v>92.780534488153862</v>
      </c>
      <c r="L16" s="169">
        <f t="shared" ca="1" si="3"/>
        <v>1626.583354911166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Robinier faux-acacia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Pin maritime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Noyer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>Pin sylvestre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2" zoomScale="80" zoomScaleNormal="80" workbookViewId="0">
      <selection activeCell="C210" sqref="C210:C2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2.4358</v>
      </c>
      <c r="V10" s="177">
        <f>U10*T10</f>
        <v>4007.4605474543878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1547.5283043795848</v>
      </c>
      <c r="U11" s="178">
        <f>'Données projet'!D10</f>
        <v>0.51280000000000003</v>
      </c>
      <c r="V11" s="177">
        <f t="shared" ref="V11" si="0">U11*T11</f>
        <v>793.57251448585112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1945.080207926994</v>
      </c>
      <c r="U12" s="178">
        <f>'Données projet'!D11</f>
        <v>0.51280000000000003</v>
      </c>
      <c r="V12" s="177">
        <f t="shared" ref="V12:V19" si="1">U12*T12</f>
        <v>997.43713062496261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321.31411637002918</v>
      </c>
      <c r="U13" s="178">
        <f>'Données projet'!D12</f>
        <v>0.32050000000000001</v>
      </c>
      <c r="V13" s="177">
        <f t="shared" si="1"/>
        <v>102.98117429659436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Robinier faux-acacia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310.93350810532706</v>
      </c>
      <c r="U14" s="178">
        <f>'Données projet'!D13</f>
        <v>0.1923</v>
      </c>
      <c r="V14" s="177">
        <f t="shared" si="1"/>
        <v>59.792513608654396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321.31411637002918</v>
      </c>
      <c r="U15" s="178">
        <f>'Données projet'!D14</f>
        <v>0.64100000000000001</v>
      </c>
      <c r="V15" s="177">
        <f t="shared" si="1"/>
        <v>205.96234859318872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932.07872283452161</v>
      </c>
      <c r="U16" s="178">
        <f>'Données projet'!D15</f>
        <v>0.12820000000000001</v>
      </c>
      <c r="V16" s="177">
        <f t="shared" si="1"/>
        <v>119.49249226738569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Pin maritime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3349.8568350307655</v>
      </c>
      <c r="U17" s="178">
        <f>'Données projet'!D16</f>
        <v>0.76919999999999999</v>
      </c>
      <c r="V17" s="177">
        <f t="shared" si="1"/>
        <v>2576.7098775056647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>Noyer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1162.201904399366</v>
      </c>
      <c r="U18" s="178">
        <f>'Données projet'!D17</f>
        <v>0.1923</v>
      </c>
      <c r="V18" s="177">
        <f t="shared" si="1"/>
        <v>223.49142621599808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>Pin sylvestre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1043.112921707336</v>
      </c>
      <c r="U19" s="178">
        <f>'Données projet'!D18</f>
        <v>0.64100000000000001</v>
      </c>
      <c r="V19" s="177">
        <f t="shared" si="1"/>
        <v>668.63538281440242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7293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-34979.517223711868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-34979.517223711868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35</v>
      </c>
      <c r="B55" s="181">
        <f>'Données projet'!D63</f>
        <v>60.602564102564102</v>
      </c>
      <c r="C55" s="191">
        <v>10</v>
      </c>
      <c r="D55" s="179">
        <f t="shared" ref="D55:D73" si="4">B55*C55</f>
        <v>606.02564102564099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41</v>
      </c>
      <c r="B56" s="181">
        <f>'Données projet'!D64</f>
        <v>38.512820512820511</v>
      </c>
      <c r="C56" s="191">
        <v>10</v>
      </c>
      <c r="D56" s="179">
        <f t="shared" si="4"/>
        <v>385.12820512820508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48</v>
      </c>
      <c r="B57" s="181">
        <f>'Données projet'!D65</f>
        <v>48.025641025641022</v>
      </c>
      <c r="C57" s="191">
        <v>50</v>
      </c>
      <c r="D57" s="179">
        <f t="shared" si="4"/>
        <v>2401.2820512820513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55</v>
      </c>
      <c r="B58" s="181">
        <f>'Données projet'!D66</f>
        <v>45.147435897435898</v>
      </c>
      <c r="C58" s="191">
        <v>50</v>
      </c>
      <c r="D58" s="179">
        <f t="shared" si="4"/>
        <v>2257.3717948717949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63</v>
      </c>
      <c r="B59" s="181">
        <f>'Données projet'!D67</f>
        <v>41.724358974358978</v>
      </c>
      <c r="C59" s="191">
        <v>50</v>
      </c>
      <c r="D59" s="179">
        <f t="shared" si="4"/>
        <v>2086.2179487179487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71</v>
      </c>
      <c r="B60" s="181">
        <f>'Données projet'!D68</f>
        <v>39.935897435897431</v>
      </c>
      <c r="C60" s="191">
        <v>100</v>
      </c>
      <c r="D60" s="179">
        <f t="shared" si="4"/>
        <v>3993.5897435897432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45.608974358974358</v>
      </c>
      <c r="C61" s="191">
        <v>100</v>
      </c>
      <c r="D61" s="179">
        <f t="shared" si="4"/>
        <v>4560.8974358974356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89</v>
      </c>
      <c r="B62" s="181">
        <f>'Données projet'!D70</f>
        <v>49.391025641025635</v>
      </c>
      <c r="C62" s="191">
        <v>150</v>
      </c>
      <c r="D62" s="179">
        <f t="shared" si="4"/>
        <v>7408.6538461538457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99</v>
      </c>
      <c r="B63" s="181">
        <f>'Données projet'!D71</f>
        <v>48.019230769230766</v>
      </c>
      <c r="C63" s="191">
        <v>150</v>
      </c>
      <c r="D63" s="179">
        <f t="shared" si="4"/>
        <v>7202.8846153846152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109</v>
      </c>
      <c r="B64" s="181">
        <f>'Données projet'!D72</f>
        <v>51.28846153846154</v>
      </c>
      <c r="C64" s="191">
        <v>150</v>
      </c>
      <c r="D64" s="179">
        <f t="shared" si="4"/>
        <v>7693.2692307692314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119</v>
      </c>
      <c r="B65" s="181">
        <f>'Données projet'!D73</f>
        <v>150.02564102564102</v>
      </c>
      <c r="C65" s="191">
        <v>200</v>
      </c>
      <c r="D65" s="179">
        <f t="shared" si="4"/>
        <v>30005.128205128203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123</v>
      </c>
      <c r="B66" s="181">
        <f>'Données projet'!D74</f>
        <v>77.17307692307692</v>
      </c>
      <c r="C66" s="191">
        <v>200</v>
      </c>
      <c r="D66" s="179">
        <f t="shared" si="4"/>
        <v>15434.615384615385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127</v>
      </c>
      <c r="B67" s="181">
        <f>'Données projet'!D75</f>
        <v>49.916666666666671</v>
      </c>
      <c r="C67" s="191">
        <v>200</v>
      </c>
      <c r="D67" s="179">
        <f t="shared" si="4"/>
        <v>9983.3333333333339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131</v>
      </c>
      <c r="B68" s="181">
        <f>'Données projet'!D76</f>
        <v>110.91025641025641</v>
      </c>
      <c r="C68" s="191">
        <v>200</v>
      </c>
      <c r="D68" s="179">
        <f t="shared" si="4"/>
        <v>22182.051282051281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 t="str">
        <f>'Données projet'!D90</f>
        <v>29</v>
      </c>
      <c r="C87" s="191">
        <v>10</v>
      </c>
      <c r="D87" s="179">
        <f t="shared" si="6"/>
        <v>290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19</v>
      </c>
      <c r="C88" s="191">
        <v>10</v>
      </c>
      <c r="D88" s="179">
        <f t="shared" si="6"/>
        <v>190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20</v>
      </c>
      <c r="C89" s="191">
        <v>50</v>
      </c>
      <c r="D89" s="179">
        <f t="shared" si="6"/>
        <v>1000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20</v>
      </c>
      <c r="C90" s="191">
        <v>50</v>
      </c>
      <c r="D90" s="179">
        <f t="shared" si="6"/>
        <v>1000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20</v>
      </c>
      <c r="C91" s="191">
        <v>50</v>
      </c>
      <c r="D91" s="179">
        <f t="shared" si="6"/>
        <v>1000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19</v>
      </c>
      <c r="C92" s="191">
        <v>100</v>
      </c>
      <c r="D92" s="179">
        <f t="shared" si="6"/>
        <v>1900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18</v>
      </c>
      <c r="C93" s="191">
        <v>100</v>
      </c>
      <c r="D93" s="179">
        <f t="shared" si="6"/>
        <v>1800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17</v>
      </c>
      <c r="C94" s="191">
        <v>150</v>
      </c>
      <c r="D94" s="179">
        <f t="shared" si="6"/>
        <v>2550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16</v>
      </c>
      <c r="C95" s="191">
        <v>150</v>
      </c>
      <c r="D95" s="179">
        <f t="shared" si="6"/>
        <v>2400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15</v>
      </c>
      <c r="C96" s="191">
        <v>150</v>
      </c>
      <c r="D96" s="179">
        <f t="shared" si="6"/>
        <v>2250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14</v>
      </c>
      <c r="C97" s="191">
        <v>200</v>
      </c>
      <c r="D97" s="179">
        <f t="shared" si="6"/>
        <v>2800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12</v>
      </c>
      <c r="C98" s="191">
        <v>200</v>
      </c>
      <c r="D98" s="179">
        <f t="shared" si="6"/>
        <v>2400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11</v>
      </c>
      <c r="C99" s="191">
        <v>200</v>
      </c>
      <c r="D99" s="179">
        <f t="shared" si="6"/>
        <v>2200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10</v>
      </c>
      <c r="C100" s="191">
        <v>200</v>
      </c>
      <c r="D100" s="179">
        <f t="shared" si="6"/>
        <v>2000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10</v>
      </c>
      <c r="C101" s="191">
        <v>200</v>
      </c>
      <c r="D101" s="179">
        <f t="shared" si="6"/>
        <v>2000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95</v>
      </c>
      <c r="B102" s="181" t="str">
        <f>'Données projet'!D105</f>
        <v>11</v>
      </c>
      <c r="C102" s="191">
        <v>200</v>
      </c>
      <c r="D102" s="179">
        <f t="shared" si="6"/>
        <v>2200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100</v>
      </c>
      <c r="B103" s="181" t="str">
        <f>'Données projet'!D106</f>
        <v>11</v>
      </c>
      <c r="C103" s="191">
        <v>200</v>
      </c>
      <c r="D103" s="179">
        <f t="shared" si="6"/>
        <v>2200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44</v>
      </c>
      <c r="B117" s="181">
        <f>'Données projet'!D115</f>
        <v>64.416666666666657</v>
      </c>
      <c r="C117" s="191">
        <v>10</v>
      </c>
      <c r="D117" s="179">
        <f t="shared" ref="D117:D135" si="8">B117*C117</f>
        <v>644.16666666666652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51</v>
      </c>
      <c r="B118" s="181">
        <f>'Données projet'!D116</f>
        <v>37.685897435897431</v>
      </c>
      <c r="C118" s="191">
        <v>10</v>
      </c>
      <c r="D118" s="179">
        <f t="shared" si="8"/>
        <v>376.85897435897431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59</v>
      </c>
      <c r="B119" s="181">
        <f>'Données projet'!D117</f>
        <v>38.942307692307693</v>
      </c>
      <c r="C119" s="191">
        <v>15</v>
      </c>
      <c r="D119" s="179">
        <f t="shared" si="8"/>
        <v>584.13461538461536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67</v>
      </c>
      <c r="B120" s="181">
        <f>'Données projet'!D118</f>
        <v>31.993589743589741</v>
      </c>
      <c r="C120" s="191">
        <v>15</v>
      </c>
      <c r="D120" s="179">
        <f t="shared" si="8"/>
        <v>479.90384615384613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75</v>
      </c>
      <c r="B121" s="181">
        <f>'Données projet'!D119</f>
        <v>30.916666666666664</v>
      </c>
      <c r="C121" s="191">
        <v>50</v>
      </c>
      <c r="D121" s="179">
        <f t="shared" si="8"/>
        <v>1545.8333333333333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84</v>
      </c>
      <c r="B122" s="181">
        <f>'Données projet'!D120</f>
        <v>35.083333333333329</v>
      </c>
      <c r="C122" s="191">
        <v>50</v>
      </c>
      <c r="D122" s="179">
        <f t="shared" si="8"/>
        <v>1754.1666666666665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93</v>
      </c>
      <c r="B123" s="181">
        <f>'Données projet'!D121</f>
        <v>30.083333333333332</v>
      </c>
      <c r="C123" s="191">
        <v>50</v>
      </c>
      <c r="D123" s="179">
        <f t="shared" si="8"/>
        <v>1504.1666666666665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103</v>
      </c>
      <c r="B124" s="181">
        <f>'Données projet'!D122</f>
        <v>39.512820512820511</v>
      </c>
      <c r="C124" s="191">
        <v>50</v>
      </c>
      <c r="D124" s="179">
        <f t="shared" si="8"/>
        <v>1975.6410256410256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113</v>
      </c>
      <c r="B125" s="181">
        <f>'Données projet'!D123</f>
        <v>31.602564102564099</v>
      </c>
      <c r="C125" s="191">
        <v>50</v>
      </c>
      <c r="D125" s="179">
        <f t="shared" si="8"/>
        <v>1580.1282051282049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125</v>
      </c>
      <c r="B126" s="181">
        <f>'Données projet'!D124</f>
        <v>48.160256410256409</v>
      </c>
      <c r="C126" s="191">
        <v>50</v>
      </c>
      <c r="D126" s="179">
        <f t="shared" si="8"/>
        <v>2408.0128205128203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137</v>
      </c>
      <c r="B127" s="181">
        <f>'Données projet'!D125</f>
        <v>51.160256410256409</v>
      </c>
      <c r="C127" s="191">
        <v>50</v>
      </c>
      <c r="D127" s="179">
        <f t="shared" si="8"/>
        <v>2558.0128205128203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149</v>
      </c>
      <c r="B128" s="181">
        <f>'Données projet'!D126</f>
        <v>120.50641025641026</v>
      </c>
      <c r="C128" s="191">
        <v>50</v>
      </c>
      <c r="D128" s="179">
        <f t="shared" si="8"/>
        <v>6025.3205128205127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153</v>
      </c>
      <c r="B129" s="181">
        <f>'Données projet'!D127</f>
        <v>70.115384615384613</v>
      </c>
      <c r="C129" s="191">
        <v>50</v>
      </c>
      <c r="D129" s="179">
        <f t="shared" si="8"/>
        <v>3505.7692307692305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157</v>
      </c>
      <c r="B130" s="181">
        <f>'Données projet'!D128</f>
        <v>45.71153846153846</v>
      </c>
      <c r="C130" s="191">
        <v>50</v>
      </c>
      <c r="D130" s="179">
        <f t="shared" si="8"/>
        <v>2285.5769230769229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161</v>
      </c>
      <c r="B131" s="181">
        <f>'Données projet'!D129</f>
        <v>91.365384615384613</v>
      </c>
      <c r="C131" s="191">
        <v>50</v>
      </c>
      <c r="D131" s="179">
        <f t="shared" si="8"/>
        <v>4568.2692307692305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Robinier faux-acacia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5</v>
      </c>
      <c r="B147" s="175">
        <f>'Données projet'!D140</f>
        <v>4</v>
      </c>
      <c r="C147" s="191">
        <v>10</v>
      </c>
      <c r="D147" s="182">
        <f>B147*C147</f>
        <v>40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10</v>
      </c>
      <c r="B148" s="175">
        <f>'Données projet'!D141</f>
        <v>21</v>
      </c>
      <c r="C148" s="191">
        <v>10</v>
      </c>
      <c r="D148" s="182">
        <f t="shared" ref="D148:D166" si="10">B148*C148</f>
        <v>210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15</v>
      </c>
      <c r="B149" s="175">
        <f>'Données projet'!D142</f>
        <v>18</v>
      </c>
      <c r="C149" s="191">
        <v>15</v>
      </c>
      <c r="D149" s="182">
        <f t="shared" si="10"/>
        <v>270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20</v>
      </c>
      <c r="B150" s="175">
        <f>'Données projet'!D143</f>
        <v>14</v>
      </c>
      <c r="C150" s="191">
        <v>15</v>
      </c>
      <c r="D150" s="182">
        <f t="shared" si="10"/>
        <v>210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25</v>
      </c>
      <c r="B151" s="175">
        <f>'Données projet'!D144</f>
        <v>11</v>
      </c>
      <c r="C151" s="191">
        <v>50</v>
      </c>
      <c r="D151" s="182">
        <f t="shared" si="10"/>
        <v>550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30</v>
      </c>
      <c r="B152" s="175">
        <f>'Données projet'!D145</f>
        <v>8</v>
      </c>
      <c r="C152" s="191">
        <v>50</v>
      </c>
      <c r="D152" s="182">
        <f t="shared" si="10"/>
        <v>400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35</v>
      </c>
      <c r="B153" s="175">
        <f>'Données projet'!D146</f>
        <v>7</v>
      </c>
      <c r="C153" s="191">
        <v>50</v>
      </c>
      <c r="D153" s="182">
        <f t="shared" si="10"/>
        <v>350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40</v>
      </c>
      <c r="B154" s="175">
        <f>'Données projet'!D147</f>
        <v>5</v>
      </c>
      <c r="C154" s="191">
        <v>50</v>
      </c>
      <c r="D154" s="182">
        <f t="shared" si="10"/>
        <v>250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45</v>
      </c>
      <c r="B155" s="175">
        <f>'Données projet'!D148</f>
        <v>5</v>
      </c>
      <c r="C155" s="191">
        <v>50</v>
      </c>
      <c r="D155" s="182">
        <f t="shared" si="10"/>
        <v>250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44</v>
      </c>
      <c r="B179" s="181">
        <f>'Données projet'!D167</f>
        <v>64.416666666666657</v>
      </c>
      <c r="C179" s="193">
        <v>10</v>
      </c>
      <c r="D179" s="179">
        <f t="shared" ref="D179:D197" si="11">B179*C179</f>
        <v>644.16666666666652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51</v>
      </c>
      <c r="B180" s="181">
        <f>'Données projet'!D168</f>
        <v>37.685897435897431</v>
      </c>
      <c r="C180" s="193">
        <v>10</v>
      </c>
      <c r="D180" s="179">
        <f t="shared" si="11"/>
        <v>376.85897435897431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59</v>
      </c>
      <c r="B181" s="181">
        <f>'Données projet'!D169</f>
        <v>38.942307692307693</v>
      </c>
      <c r="C181" s="193">
        <v>15</v>
      </c>
      <c r="D181" s="179">
        <f t="shared" si="11"/>
        <v>584.13461538461536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67</v>
      </c>
      <c r="B182" s="181">
        <f>'Données projet'!D170</f>
        <v>31.993589743589741</v>
      </c>
      <c r="C182" s="193">
        <v>15</v>
      </c>
      <c r="D182" s="179">
        <f t="shared" si="11"/>
        <v>479.90384615384613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75</v>
      </c>
      <c r="B183" s="181">
        <f>'Données projet'!D171</f>
        <v>30.916666666666664</v>
      </c>
      <c r="C183" s="193">
        <v>50</v>
      </c>
      <c r="D183" s="179">
        <f t="shared" si="11"/>
        <v>1545.8333333333333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84</v>
      </c>
      <c r="B184" s="181">
        <f>'Données projet'!D172</f>
        <v>35.083333333333329</v>
      </c>
      <c r="C184" s="193">
        <v>50</v>
      </c>
      <c r="D184" s="179">
        <f t="shared" si="11"/>
        <v>1754.1666666666665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93</v>
      </c>
      <c r="B185" s="181">
        <f>'Données projet'!D173</f>
        <v>30.083333333333332</v>
      </c>
      <c r="C185" s="193">
        <v>50</v>
      </c>
      <c r="D185" s="179">
        <f t="shared" si="11"/>
        <v>1504.1666666666665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103</v>
      </c>
      <c r="B186" s="181">
        <f>'Données projet'!D174</f>
        <v>39.512820512820511</v>
      </c>
      <c r="C186" s="193">
        <v>50</v>
      </c>
      <c r="D186" s="179">
        <f t="shared" si="11"/>
        <v>1975.6410256410256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113</v>
      </c>
      <c r="B187" s="181">
        <f>'Données projet'!D175</f>
        <v>31.602564102564099</v>
      </c>
      <c r="C187" s="193">
        <v>50</v>
      </c>
      <c r="D187" s="179">
        <f t="shared" si="11"/>
        <v>1580.1282051282049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125</v>
      </c>
      <c r="B188" s="181">
        <f>'Données projet'!D176</f>
        <v>48.160256410256409</v>
      </c>
      <c r="C188" s="193">
        <v>50</v>
      </c>
      <c r="D188" s="179">
        <f t="shared" si="11"/>
        <v>2408.0128205128203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137</v>
      </c>
      <c r="B189" s="181">
        <f>'Données projet'!D177</f>
        <v>51.160256410256409</v>
      </c>
      <c r="C189" s="193">
        <v>50</v>
      </c>
      <c r="D189" s="179">
        <f t="shared" si="11"/>
        <v>2558.0128205128203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149</v>
      </c>
      <c r="B190" s="181">
        <f>'Données projet'!D178</f>
        <v>120.50641025641026</v>
      </c>
      <c r="C190" s="193">
        <v>50</v>
      </c>
      <c r="D190" s="179">
        <f t="shared" si="11"/>
        <v>6025.3205128205127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153</v>
      </c>
      <c r="B191" s="181">
        <f>'Données projet'!D179</f>
        <v>70.115384615384613</v>
      </c>
      <c r="C191" s="193">
        <v>50</v>
      </c>
      <c r="D191" s="179">
        <f t="shared" si="11"/>
        <v>3505.7692307692305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157</v>
      </c>
      <c r="B192" s="181">
        <f>'Données projet'!D180</f>
        <v>45.71153846153846</v>
      </c>
      <c r="C192" s="193">
        <v>50</v>
      </c>
      <c r="D192" s="179">
        <f t="shared" si="11"/>
        <v>2285.5769230769229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161</v>
      </c>
      <c r="B193" s="181">
        <f>'Données projet'!D181</f>
        <v>91.365384615384613</v>
      </c>
      <c r="C193" s="193">
        <v>50</v>
      </c>
      <c r="D193" s="179">
        <f t="shared" si="11"/>
        <v>4568.2692307692305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3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25</v>
      </c>
      <c r="C210" s="193">
        <v>10</v>
      </c>
      <c r="D210" s="179">
        <f t="shared" ref="D210:D228" si="12">B210*C210</f>
        <v>250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27</v>
      </c>
      <c r="C211" s="193">
        <v>10</v>
      </c>
      <c r="D211" s="179">
        <f t="shared" si="12"/>
        <v>270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31</v>
      </c>
      <c r="B212" s="181">
        <f>'Données projet'!D195</f>
        <v>35</v>
      </c>
      <c r="C212" s="193">
        <v>15</v>
      </c>
      <c r="D212" s="179">
        <f t="shared" si="12"/>
        <v>525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37</v>
      </c>
      <c r="B213" s="181">
        <f>'Données projet'!D196</f>
        <v>36</v>
      </c>
      <c r="C213" s="193">
        <v>15</v>
      </c>
      <c r="D213" s="179">
        <f t="shared" si="12"/>
        <v>540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44</v>
      </c>
      <c r="B214" s="181">
        <f>'Données projet'!D197</f>
        <v>43</v>
      </c>
      <c r="C214" s="193">
        <v>50</v>
      </c>
      <c r="D214" s="179">
        <f t="shared" si="12"/>
        <v>2150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52</v>
      </c>
      <c r="B215" s="181">
        <f>'Données projet'!D198</f>
        <v>49</v>
      </c>
      <c r="C215" s="193">
        <v>50</v>
      </c>
      <c r="D215" s="179">
        <f t="shared" si="12"/>
        <v>2450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60</v>
      </c>
      <c r="B216" s="181">
        <f>'Données projet'!D199</f>
        <v>47</v>
      </c>
      <c r="C216" s="193">
        <v>50</v>
      </c>
      <c r="D216" s="179">
        <f t="shared" si="12"/>
        <v>2350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69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Pin maritime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15</v>
      </c>
      <c r="B240" s="181">
        <f>'Données projet'!D218</f>
        <v>49.784615384615385</v>
      </c>
      <c r="C240" s="193">
        <v>10</v>
      </c>
      <c r="D240" s="179">
        <f>B240*C240</f>
        <v>497.84615384615387</v>
      </c>
      <c r="E240" s="193">
        <v>150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20</v>
      </c>
      <c r="B241" s="181">
        <f>'Données projet'!D219</f>
        <v>48.723076923076924</v>
      </c>
      <c r="C241" s="193">
        <v>18</v>
      </c>
      <c r="D241" s="179">
        <f t="shared" ref="D241:D259" si="13">B241*C241</f>
        <v>877.01538461538462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26</v>
      </c>
      <c r="B242" s="181">
        <f>'Données projet'!D220</f>
        <v>46.984615384615381</v>
      </c>
      <c r="C242" s="193">
        <v>25</v>
      </c>
      <c r="D242" s="179">
        <f t="shared" si="13"/>
        <v>1174.6153846153845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32</v>
      </c>
      <c r="B243" s="181">
        <f>'Données projet'!D221</f>
        <v>64.523076923076914</v>
      </c>
      <c r="C243" s="193">
        <v>25</v>
      </c>
      <c r="D243" s="179">
        <f t="shared" si="13"/>
        <v>1613.0769230769229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40</v>
      </c>
      <c r="B244" s="181">
        <f>'Données projet'!D222</f>
        <v>92.661538461538456</v>
      </c>
      <c r="C244" s="193">
        <v>35</v>
      </c>
      <c r="D244" s="179">
        <f t="shared" si="13"/>
        <v>3243.1538461538457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48</v>
      </c>
      <c r="B245" s="181">
        <f>'Données projet'!D223</f>
        <v>83.969230769230762</v>
      </c>
      <c r="C245" s="193">
        <v>35</v>
      </c>
      <c r="D245" s="179">
        <f t="shared" si="13"/>
        <v>2938.9230769230767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56</v>
      </c>
      <c r="B246" s="181">
        <f>'Données projet'!D224</f>
        <v>446.47692307692301</v>
      </c>
      <c r="C246" s="193">
        <v>35</v>
      </c>
      <c r="D246" s="179">
        <f t="shared" si="13"/>
        <v>15626.692307692305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Noyer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15</v>
      </c>
      <c r="B271" s="181">
        <f>'Données projet'!D244</f>
        <v>3</v>
      </c>
      <c r="C271" s="193">
        <v>10</v>
      </c>
      <c r="D271" s="179">
        <f>B271*C271</f>
        <v>30</v>
      </c>
      <c r="E271" s="193">
        <v>150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20</v>
      </c>
      <c r="B272" s="181">
        <f>'Données projet'!D245</f>
        <v>25</v>
      </c>
      <c r="C272" s="193">
        <v>10</v>
      </c>
      <c r="D272" s="179">
        <f t="shared" ref="D272:D290" si="14">B272*C272</f>
        <v>250</v>
      </c>
      <c r="E272" s="193">
        <v>150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25</v>
      </c>
      <c r="B273" s="181">
        <f>'Données projet'!D246</f>
        <v>27</v>
      </c>
      <c r="C273" s="193">
        <v>15</v>
      </c>
      <c r="D273" s="179">
        <f t="shared" si="14"/>
        <v>405</v>
      </c>
      <c r="E273" s="193">
        <v>150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31</v>
      </c>
      <c r="B274" s="181">
        <f>'Données projet'!D247</f>
        <v>35</v>
      </c>
      <c r="C274" s="193">
        <v>15</v>
      </c>
      <c r="D274" s="179">
        <f t="shared" si="14"/>
        <v>525</v>
      </c>
      <c r="E274" s="193">
        <v>150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37</v>
      </c>
      <c r="B275" s="181">
        <f>'Données projet'!D248</f>
        <v>36</v>
      </c>
      <c r="C275" s="193">
        <v>50</v>
      </c>
      <c r="D275" s="179">
        <f t="shared" si="14"/>
        <v>1800</v>
      </c>
      <c r="E275" s="193">
        <v>150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44</v>
      </c>
      <c r="B276" s="181">
        <f>'Données projet'!D249</f>
        <v>43</v>
      </c>
      <c r="C276" s="193">
        <v>50</v>
      </c>
      <c r="D276" s="179">
        <f t="shared" si="14"/>
        <v>2150</v>
      </c>
      <c r="E276" s="193">
        <v>150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52</v>
      </c>
      <c r="B277" s="181">
        <f>'Données projet'!D250</f>
        <v>49</v>
      </c>
      <c r="C277" s="193">
        <v>50</v>
      </c>
      <c r="D277" s="179">
        <f t="shared" si="14"/>
        <v>2450</v>
      </c>
      <c r="E277" s="193">
        <v>150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60</v>
      </c>
      <c r="B278" s="181">
        <f>'Données projet'!D251</f>
        <v>47</v>
      </c>
      <c r="C278" s="193">
        <v>50</v>
      </c>
      <c r="D278" s="179">
        <f t="shared" si="14"/>
        <v>2350</v>
      </c>
      <c r="E278" s="193">
        <v>150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69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>Pin sylvestre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18</v>
      </c>
      <c r="B302" s="181">
        <f>'Données projet'!D270</f>
        <v>52.746153846153838</v>
      </c>
      <c r="C302" s="191">
        <v>10</v>
      </c>
      <c r="D302" s="182">
        <f>B302*C302</f>
        <v>527.46153846153834</v>
      </c>
      <c r="E302" s="193">
        <v>150</v>
      </c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24</v>
      </c>
      <c r="B303" s="181">
        <f>'Données projet'!D271</f>
        <v>36.723076923076924</v>
      </c>
      <c r="C303" s="191">
        <v>10</v>
      </c>
      <c r="D303" s="182">
        <f t="shared" ref="D303:D321" si="15">B303*C303</f>
        <v>367.23076923076923</v>
      </c>
      <c r="E303" s="193">
        <v>150</v>
      </c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30</v>
      </c>
      <c r="B304" s="181">
        <f>'Données projet'!D272</f>
        <v>35.430769230769229</v>
      </c>
      <c r="C304" s="191">
        <v>10</v>
      </c>
      <c r="D304" s="182">
        <f t="shared" si="15"/>
        <v>354.30769230769226</v>
      </c>
      <c r="E304" s="193">
        <v>150</v>
      </c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36</v>
      </c>
      <c r="B305" s="181">
        <f>'Données projet'!D273</f>
        <v>35.084615384615383</v>
      </c>
      <c r="C305" s="191">
        <v>18</v>
      </c>
      <c r="D305" s="182">
        <f t="shared" si="15"/>
        <v>631.52307692307693</v>
      </c>
      <c r="E305" s="193">
        <v>150</v>
      </c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43</v>
      </c>
      <c r="B306" s="181">
        <f>'Données projet'!D274</f>
        <v>43.499999999999993</v>
      </c>
      <c r="C306" s="191">
        <v>25</v>
      </c>
      <c r="D306" s="182">
        <f t="shared" si="15"/>
        <v>1087.4999999999998</v>
      </c>
      <c r="E306" s="193">
        <v>150</v>
      </c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50</v>
      </c>
      <c r="B307" s="181">
        <f>'Données projet'!D275</f>
        <v>43.4</v>
      </c>
      <c r="C307" s="191">
        <v>25</v>
      </c>
      <c r="D307" s="182">
        <f t="shared" si="15"/>
        <v>1085</v>
      </c>
      <c r="E307" s="193">
        <v>150</v>
      </c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58</v>
      </c>
      <c r="B308" s="181">
        <f>'Données projet'!D276</f>
        <v>45.669230769230765</v>
      </c>
      <c r="C308" s="191">
        <v>27</v>
      </c>
      <c r="D308" s="182">
        <f t="shared" si="15"/>
        <v>1233.0692307692307</v>
      </c>
      <c r="E308" s="193">
        <v>150</v>
      </c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68</v>
      </c>
      <c r="B309" s="181">
        <f>'Données projet'!D277</f>
        <v>46.069230769230771</v>
      </c>
      <c r="C309" s="191">
        <v>27</v>
      </c>
      <c r="D309" s="182">
        <f t="shared" si="15"/>
        <v>1243.8692307692309</v>
      </c>
      <c r="E309" s="193">
        <v>150</v>
      </c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78</v>
      </c>
      <c r="B310" s="181">
        <f>'Données projet'!D278</f>
        <v>42.9</v>
      </c>
      <c r="C310" s="191">
        <v>30</v>
      </c>
      <c r="D310" s="182">
        <f t="shared" si="15"/>
        <v>1287</v>
      </c>
      <c r="E310" s="193">
        <v>150</v>
      </c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88</v>
      </c>
      <c r="B311" s="181">
        <f>'Données projet'!D279</f>
        <v>247.54615384615383</v>
      </c>
      <c r="C311" s="191">
        <v>35</v>
      </c>
      <c r="D311" s="182">
        <f t="shared" si="15"/>
        <v>8664.1153846153848</v>
      </c>
      <c r="E311" s="193">
        <v>150</v>
      </c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91</v>
      </c>
      <c r="B312" s="181">
        <f>'Données projet'!D280</f>
        <v>179.25384615384615</v>
      </c>
      <c r="C312" s="191">
        <v>38</v>
      </c>
      <c r="D312" s="182">
        <f t="shared" si="15"/>
        <v>6811.6461538461535</v>
      </c>
      <c r="E312" s="193">
        <v>150</v>
      </c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84A42-36FE-4BDA-93D1-95B00A2F99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01BA63-E0A2-4469-ADB3-461256018729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81DB42BA-DEA4-4A3C-99FE-AA81A6C2F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2024-03-15T10:25:09Z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