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Neuflize OBC ABN AMRO\62 - Preures\"/>
    </mc:Choice>
  </mc:AlternateContent>
  <bookViews>
    <workbookView xWindow="0" yWindow="0" windowWidth="14715" windowHeight="457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1" i="1" l="1"/>
  <c r="D120" i="1"/>
  <c r="B120" i="1"/>
  <c r="B119" i="1"/>
  <c r="D118" i="1"/>
  <c r="B118" i="1"/>
  <c r="B117" i="1"/>
  <c r="D116" i="1"/>
  <c r="B116" i="1"/>
  <c r="B115" i="1"/>
  <c r="D48" i="1" l="1"/>
  <c r="D205" i="1" l="1"/>
  <c r="B205" i="1"/>
  <c r="D194" i="1"/>
  <c r="B194" i="1"/>
  <c r="D167" i="1" l="1"/>
  <c r="D174" i="1"/>
  <c r="B167" i="1"/>
  <c r="B101" i="1" l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D146" i="1"/>
  <c r="B146" i="1"/>
  <c r="B145" i="1"/>
  <c r="D144" i="1"/>
  <c r="B144" i="1"/>
  <c r="B143" i="1"/>
  <c r="D142" i="1"/>
  <c r="B142" i="1"/>
  <c r="B141" i="1"/>
  <c r="B140" i="1"/>
  <c r="B231" i="1" l="1"/>
  <c r="D224" i="1"/>
  <c r="B224" i="1"/>
  <c r="B223" i="1"/>
  <c r="D222" i="1"/>
  <c r="B222" i="1"/>
  <c r="B221" i="1"/>
  <c r="D220" i="1"/>
  <c r="B220" i="1"/>
  <c r="B219" i="1"/>
  <c r="B218" i="1"/>
  <c r="B75" i="1" l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EC4" i="2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EW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FS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FS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Y154" i="2"/>
  <c r="EW155" i="2"/>
  <c r="ED154" i="2"/>
  <c r="DI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CN156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FS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FS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W162" i="2"/>
  <c r="EY161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FS164" i="2"/>
  <c r="FR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EC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EC168" i="2"/>
  <c r="DI167" i="2"/>
  <c r="EB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FS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B172" i="2"/>
  <c r="EA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FS175" i="2"/>
  <c r="EA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S178" i="2"/>
  <c r="FQ178" i="2"/>
  <c r="ED177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EB179" i="2"/>
  <c r="EA179" i="2"/>
  <c r="DF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FS186" i="2"/>
  <c r="EB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D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EB192" i="2"/>
  <c r="EC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X193" i="2"/>
  <c r="FQ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D194" i="2"/>
  <c r="EB195" i="2"/>
  <c r="EA195" i="2"/>
  <c r="EX195" i="2"/>
  <c r="FQ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FS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A201" i="2"/>
  <c r="ED200" i="2"/>
  <c r="DI200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D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37" i="2" a="1"/>
  <c r="DN137" i="2" s="1"/>
  <c r="DN25" i="2" a="1"/>
  <c r="DN25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FY164" i="2" l="1" a="1"/>
  <c r="FY164" i="2" s="1"/>
  <c r="FY99" i="2" a="1"/>
  <c r="FY99" i="2" s="1"/>
  <c r="FY159" i="2" a="1"/>
  <c r="FY159" i="2" s="1"/>
  <c r="FY35" i="2" a="1"/>
  <c r="FY35" i="2" s="1"/>
  <c r="FY82" i="2" a="1"/>
  <c r="FY82" i="2" s="1"/>
  <c r="FY196" i="2" a="1"/>
  <c r="FY196" i="2" s="1"/>
  <c r="FY34" i="2" a="1"/>
  <c r="FY34" i="2" s="1"/>
  <c r="FY72" i="2" a="1"/>
  <c r="FY72" i="2" s="1"/>
  <c r="FY174" i="2" a="1"/>
  <c r="FY174" i="2" s="1"/>
  <c r="FY173" i="2" a="1"/>
  <c r="FY173" i="2" s="1"/>
  <c r="FY120" i="2" a="1"/>
  <c r="FY120" i="2" s="1"/>
  <c r="FY178" i="2" a="1"/>
  <c r="FY178" i="2" s="1"/>
  <c r="FY116" i="2" a="1"/>
  <c r="FY116" i="2" s="1"/>
  <c r="FY143" i="2" a="1"/>
  <c r="FY143" i="2" s="1"/>
  <c r="FY32" i="2" a="1"/>
  <c r="FY32" i="2" s="1"/>
  <c r="FY121" i="2" a="1"/>
  <c r="FY121" i="2" s="1"/>
  <c r="FY167" i="2" a="1"/>
  <c r="FY167" i="2" s="1"/>
  <c r="FY115" i="2" a="1"/>
  <c r="FY115" i="2" s="1"/>
  <c r="FY24" i="2" a="1"/>
  <c r="FY24" i="2" s="1"/>
  <c r="FY55" i="2" a="1"/>
  <c r="FY55" i="2" s="1"/>
  <c r="FY92" i="2" a="1"/>
  <c r="FY92" i="2" s="1"/>
  <c r="FY191" i="2" a="1"/>
  <c r="FY191" i="2" s="1"/>
  <c r="FY90" i="2" a="1"/>
  <c r="FY90" i="2" s="1"/>
  <c r="FY149" i="2" a="1"/>
  <c r="FY149" i="2" s="1"/>
  <c r="FY86" i="2" a="1"/>
  <c r="FY86" i="2" s="1"/>
  <c r="FY124" i="2" a="1"/>
  <c r="FY124" i="2" s="1"/>
  <c r="FY126" i="2" a="1"/>
  <c r="FY126" i="2" s="1"/>
  <c r="FY111" i="2" a="1"/>
  <c r="FY111" i="2" s="1"/>
  <c r="FY110" i="2" a="1"/>
  <c r="FY110" i="2" s="1"/>
  <c r="FY57" i="2" a="1"/>
  <c r="FY57" i="2" s="1"/>
  <c r="FY142" i="2" a="1"/>
  <c r="FY142" i="2" s="1"/>
  <c r="FY80" i="2" a="1"/>
  <c r="FY80" i="2" s="1"/>
  <c r="FY58" i="2" a="1"/>
  <c r="FY58" i="2" s="1"/>
  <c r="FY169" i="2" a="1"/>
  <c r="FY169" i="2" s="1"/>
  <c r="FY188" i="2" a="1"/>
  <c r="FY188" i="2" s="1"/>
  <c r="FY73" i="2" a="1"/>
  <c r="FY73" i="2" s="1"/>
  <c r="FY153" i="2" a="1"/>
  <c r="FY153" i="2" s="1"/>
  <c r="FY182" i="2" a="1"/>
  <c r="FY182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30" i="2" a="1"/>
  <c r="FY30" i="2" s="1"/>
  <c r="FY42" i="2" a="1"/>
  <c r="FY42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50" i="2" a="1"/>
  <c r="FY50" i="2" s="1"/>
  <c r="FY71" i="2" a="1"/>
  <c r="FY71" i="2" s="1"/>
  <c r="FY18" i="2" a="1"/>
  <c r="FY18" i="2" s="1"/>
  <c r="FY29" i="2" a="1"/>
  <c r="FY29" i="2" s="1"/>
  <c r="FY133" i="2" a="1"/>
  <c r="FY133" i="2" s="1"/>
  <c r="FY140" i="2" a="1"/>
  <c r="FY140" i="2" s="1"/>
  <c r="FY54" i="2" a="1"/>
  <c r="FY54" i="2" s="1"/>
  <c r="FY66" i="2" a="1"/>
  <c r="FY66" i="2" s="1"/>
  <c r="FY165" i="2" a="1"/>
  <c r="FY165" i="2" s="1"/>
  <c r="FY47" i="2" a="1"/>
  <c r="FY47" i="2" s="1"/>
  <c r="FY146" i="2" a="1"/>
  <c r="FY146" i="2" s="1"/>
  <c r="FY22" i="2" a="1"/>
  <c r="FY22" i="2" s="1"/>
  <c r="DN170" i="2" a="1"/>
  <c r="DN170" i="2" s="1"/>
  <c r="DN129" i="2" a="1"/>
  <c r="DN129" i="2" s="1"/>
  <c r="DN50" i="2" a="1"/>
  <c r="DN50" i="2" s="1"/>
  <c r="DN113" i="2" a="1"/>
  <c r="DN113" i="2" s="1"/>
  <c r="DN124" i="2" a="1"/>
  <c r="DN124" i="2" s="1"/>
  <c r="DN153" i="2" a="1"/>
  <c r="DN153" i="2" s="1"/>
  <c r="DN29" i="2" a="1"/>
  <c r="DN29" i="2" s="1"/>
  <c r="DN41" i="2" a="1"/>
  <c r="DN41" i="2" s="1"/>
  <c r="DN43" i="2" a="1"/>
  <c r="DN43" i="2" s="1"/>
  <c r="DN186" i="2" a="1"/>
  <c r="DN186" i="2" s="1"/>
  <c r="DN155" i="2" a="1"/>
  <c r="DN155" i="2" s="1"/>
  <c r="DN152" i="2" a="1"/>
  <c r="DN152" i="2" s="1"/>
  <c r="FY109" i="2" a="1"/>
  <c r="FY109" i="2" s="1"/>
  <c r="FY79" i="2" a="1"/>
  <c r="FY79" i="2" s="1"/>
  <c r="CS56" i="2" a="1"/>
  <c r="CS56" i="2" s="1"/>
  <c r="CS72" i="2" a="1"/>
  <c r="CS72" i="2" s="1"/>
  <c r="CS24" i="2" a="1"/>
  <c r="CS24" i="2" s="1"/>
  <c r="CS134" i="2" a="1"/>
  <c r="CS134" i="2" s="1"/>
  <c r="CS185" i="2" a="1"/>
  <c r="CS185" i="2" s="1"/>
  <c r="CS114" i="2" a="1"/>
  <c r="CS114" i="2" s="1"/>
  <c r="CS38" i="2" a="1"/>
  <c r="CS38" i="2" s="1"/>
  <c r="CS161" i="2" a="1"/>
  <c r="CS161" i="2" s="1"/>
  <c r="CS120" i="2" a="1"/>
  <c r="CS120" i="2" s="1"/>
  <c r="CS129" i="2" a="1"/>
  <c r="CS129" i="2" s="1"/>
  <c r="CS52" i="2" a="1"/>
  <c r="CS52" i="2" s="1"/>
  <c r="CS137" i="2" a="1"/>
  <c r="CS137" i="2" s="1"/>
  <c r="CS66" i="2" a="1"/>
  <c r="CS66" i="2" s="1"/>
  <c r="CS116" i="2" a="1"/>
  <c r="CS116" i="2" s="1"/>
  <c r="CS105" i="2" a="1"/>
  <c r="CS105" i="2" s="1"/>
  <c r="CS77" i="2" a="1"/>
  <c r="CS77" i="2" s="1"/>
  <c r="DN184" i="2" a="1"/>
  <c r="DN184" i="2" s="1"/>
  <c r="DN56" i="2" a="1"/>
  <c r="DN5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60" i="2"/>
  <c r="CY197" i="2"/>
  <c r="CY17" i="2"/>
  <c r="CY88" i="2"/>
  <c r="CY47" i="2"/>
  <c r="CY69" i="2"/>
  <c r="CY45" i="2"/>
  <c r="CY199" i="2"/>
  <c r="CY39" i="2"/>
  <c r="CY87" i="2"/>
  <c r="CY111" i="2"/>
  <c r="CY26" i="2"/>
  <c r="CY95" i="2"/>
  <c r="CY30" i="2"/>
  <c r="CY194" i="2"/>
  <c r="CY176" i="2"/>
  <c r="CY107" i="2"/>
  <c r="CY183" i="2"/>
  <c r="CY188" i="2"/>
  <c r="CY157" i="2"/>
  <c r="CY172" i="2"/>
  <c r="CY177" i="2"/>
  <c r="CY187" i="2"/>
  <c r="CY12" i="2"/>
  <c r="CY171" i="2"/>
  <c r="CY8" i="2"/>
  <c r="CY133" i="2"/>
  <c r="CY18" i="2"/>
  <c r="CY84" i="2"/>
  <c r="CY75" i="2"/>
  <c r="CY105" i="2"/>
  <c r="CY3" i="2"/>
  <c r="C10" i="4" s="1"/>
  <c r="E10" i="4" s="1"/>
  <c r="F10" i="4" s="1"/>
  <c r="G10" i="4" s="1"/>
  <c r="L10" i="4" s="1"/>
  <c r="CY169" i="2"/>
  <c r="CY142" i="2"/>
  <c r="CY15" i="2"/>
  <c r="CY174" i="2"/>
  <c r="CY196" i="2"/>
  <c r="CY200" i="2"/>
  <c r="CY167" i="2"/>
  <c r="CY159" i="2"/>
  <c r="CY9" i="2"/>
  <c r="CY29" i="2"/>
  <c r="CY65" i="2"/>
  <c r="CY6" i="2"/>
  <c r="CY112" i="2"/>
  <c r="CY90" i="2"/>
  <c r="CY102" i="2"/>
  <c r="CY135" i="2"/>
  <c r="CY59" i="2"/>
  <c r="CY154" i="2"/>
  <c r="CY180" i="2"/>
  <c r="CY20" i="2"/>
  <c r="CY192" i="2"/>
  <c r="CY93" i="2"/>
  <c r="CY110" i="2"/>
  <c r="CY10" i="2"/>
  <c r="CY53" i="2"/>
  <c r="CY79" i="2"/>
  <c r="CY86" i="2"/>
  <c r="CY121" i="2"/>
  <c r="CY19" i="2"/>
  <c r="CY170" i="2"/>
  <c r="CY76" i="2"/>
  <c r="CY125" i="2"/>
  <c r="CY51" i="2"/>
  <c r="CY23" i="2"/>
  <c r="CY153" i="2"/>
  <c r="CY155" i="2"/>
  <c r="CY96" i="2"/>
  <c r="CY148" i="2"/>
  <c r="CY104" i="2"/>
  <c r="CY13" i="2"/>
  <c r="CY106" i="2"/>
  <c r="CY132" i="2"/>
  <c r="CY145" i="2"/>
  <c r="CY42" i="2"/>
  <c r="CY203" i="2"/>
  <c r="CY181" i="2"/>
  <c r="CY48" i="2"/>
  <c r="CY108" i="2"/>
  <c r="CY85" i="2"/>
  <c r="CY73" i="2"/>
  <c r="CY44" i="2"/>
  <c r="CY80" i="2"/>
  <c r="CY158" i="2"/>
  <c r="CY57" i="2"/>
  <c r="CY117" i="2"/>
  <c r="CY27" i="2"/>
  <c r="CY36" i="2"/>
  <c r="CY50" i="2"/>
  <c r="CY164" i="2"/>
  <c r="CY140" i="2"/>
  <c r="CY25" i="2"/>
  <c r="CY71" i="2"/>
  <c r="CY168" i="2"/>
  <c r="CY161" i="2"/>
  <c r="CY5" i="2"/>
  <c r="CY146" i="2"/>
  <c r="CY4" i="2"/>
  <c r="CY201" i="2"/>
  <c r="CY120" i="2"/>
  <c r="CY22" i="2"/>
  <c r="CY32" i="2"/>
  <c r="CY184" i="2"/>
  <c r="CY37" i="2"/>
  <c r="CY127" i="2"/>
  <c r="CY193" i="2"/>
  <c r="CY118" i="2"/>
  <c r="CY92" i="2"/>
  <c r="CY149" i="2"/>
  <c r="CY41" i="2"/>
  <c r="CY81" i="2"/>
  <c r="CY130" i="2"/>
  <c r="CY55" i="2"/>
  <c r="CY190" i="2"/>
  <c r="CY43" i="2"/>
  <c r="CY115" i="2"/>
  <c r="CY14" i="2"/>
  <c r="CY64" i="2"/>
  <c r="CY173" i="2"/>
  <c r="CY179" i="2"/>
  <c r="CY89" i="2"/>
  <c r="CY49" i="2"/>
  <c r="CY141" i="2"/>
  <c r="CY11" i="2"/>
  <c r="CY122" i="2"/>
  <c r="CY68" i="2"/>
  <c r="CY160" i="2"/>
  <c r="CY150" i="2"/>
  <c r="CY182" i="2"/>
  <c r="CY137" i="2"/>
  <c r="CY21" i="2"/>
  <c r="CY114" i="2"/>
  <c r="CY40" i="2"/>
  <c r="CY178" i="2"/>
  <c r="CY58" i="2"/>
  <c r="CY136" i="2"/>
  <c r="CY98" i="2"/>
  <c r="CY198" i="2"/>
  <c r="CY103" i="2"/>
  <c r="CY77" i="2"/>
  <c r="CY83" i="2"/>
  <c r="CY175" i="2"/>
  <c r="CY144" i="2"/>
  <c r="CY16" i="2"/>
  <c r="CY66" i="2"/>
  <c r="CY113" i="2"/>
  <c r="CY189" i="2"/>
  <c r="CY151" i="2"/>
  <c r="CY163" i="2"/>
  <c r="CY91" i="2"/>
  <c r="CY186" i="2"/>
  <c r="CY156" i="2"/>
  <c r="CY195" i="2"/>
  <c r="CY143" i="2"/>
  <c r="CY134" i="2"/>
  <c r="CY56" i="2"/>
  <c r="CY119" i="2"/>
  <c r="CY63" i="2"/>
  <c r="CY101" i="2"/>
  <c r="CY138" i="2"/>
  <c r="CY61" i="2"/>
  <c r="CY126" i="2"/>
  <c r="CY124" i="2"/>
  <c r="CY70" i="2"/>
  <c r="CY129" i="2"/>
  <c r="CY94" i="2"/>
  <c r="CY33" i="2"/>
  <c r="CY116" i="2"/>
  <c r="CY191" i="2"/>
  <c r="CY35" i="2"/>
  <c r="CY123" i="2"/>
  <c r="CY72" i="2"/>
  <c r="CY166" i="2"/>
  <c r="CY185" i="2"/>
  <c r="CY139" i="2"/>
  <c r="CY34" i="2"/>
  <c r="CY97" i="2"/>
  <c r="CY99" i="2"/>
  <c r="CY147" i="2"/>
  <c r="CY31" i="2"/>
  <c r="CY52" i="2"/>
  <c r="CY202" i="2"/>
  <c r="CY78" i="2"/>
  <c r="CY38" i="2"/>
  <c r="CY7" i="2"/>
  <c r="CY74" i="2"/>
  <c r="CY152" i="2"/>
  <c r="CY54" i="2"/>
  <c r="CY82" i="2"/>
  <c r="CY109" i="2"/>
  <c r="CY162" i="2"/>
  <c r="CY100" i="2"/>
  <c r="CY131" i="2"/>
  <c r="CY165" i="2"/>
  <c r="CY67" i="2"/>
  <c r="CY128" i="2"/>
  <c r="CY46" i="2"/>
  <c r="CY28" i="2"/>
  <c r="CY62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GE108" i="2" l="1"/>
  <c r="GE11" i="2"/>
  <c r="GE115" i="2"/>
  <c r="GE127" i="2"/>
  <c r="GE86" i="2"/>
  <c r="GE25" i="2"/>
  <c r="GE93" i="2"/>
  <c r="GE104" i="2"/>
  <c r="GE151" i="2"/>
  <c r="GE178" i="2"/>
  <c r="GE99" i="2"/>
  <c r="GE116" i="2"/>
  <c r="GE121" i="2"/>
  <c r="GE57" i="2"/>
  <c r="GE36" i="2"/>
  <c r="GE101" i="2"/>
  <c r="GE198" i="2"/>
  <c r="GE176" i="2"/>
  <c r="GE35" i="2"/>
  <c r="GE187" i="2"/>
  <c r="GE83" i="2"/>
  <c r="GE69" i="2"/>
  <c r="GE170" i="2"/>
  <c r="GE47" i="2"/>
  <c r="GE73" i="2"/>
  <c r="GE146" i="2"/>
  <c r="GE131" i="2"/>
  <c r="GE34" i="2"/>
  <c r="GE143" i="2"/>
  <c r="GE74" i="2"/>
  <c r="GE139" i="2"/>
  <c r="GE179" i="2"/>
  <c r="GE203" i="2"/>
  <c r="GE72" i="2"/>
  <c r="GE20" i="2"/>
  <c r="GE167" i="2"/>
  <c r="GE191" i="2"/>
  <c r="GE42" i="2"/>
  <c r="GE186" i="2"/>
  <c r="GE71" i="2"/>
  <c r="GE10" i="2"/>
  <c r="GE50" i="2"/>
  <c r="GE177" i="2"/>
  <c r="GE77" i="2"/>
  <c r="GE54" i="2"/>
  <c r="GE21" i="2"/>
  <c r="GE183" i="2"/>
  <c r="GE122" i="2"/>
  <c r="GE126" i="2"/>
  <c r="GE38" i="2"/>
  <c r="GE106" i="2"/>
  <c r="GE157" i="2"/>
  <c r="GE107" i="2"/>
  <c r="GE165" i="2"/>
  <c r="GE49" i="2"/>
  <c r="GE102" i="2"/>
  <c r="GE92" i="2"/>
  <c r="GE60" i="2"/>
  <c r="GE163" i="2"/>
  <c r="GE141" i="2"/>
  <c r="GE27" i="2"/>
  <c r="GE91" i="2"/>
  <c r="GE190" i="2"/>
  <c r="GE48" i="2"/>
  <c r="GE84" i="2"/>
  <c r="GE175" i="2"/>
  <c r="GE120" i="2"/>
  <c r="GE12" i="2"/>
  <c r="GE4" i="2"/>
  <c r="GE113" i="2"/>
  <c r="GE155" i="2"/>
  <c r="GE41" i="2"/>
  <c r="GE129" i="2"/>
  <c r="GE56" i="2"/>
  <c r="GE76" i="2"/>
  <c r="GE33" i="2"/>
  <c r="GE45" i="2"/>
  <c r="GE43" i="2"/>
  <c r="GE109" i="2"/>
  <c r="GE7" i="2"/>
  <c r="GE81" i="2"/>
  <c r="GE114" i="2"/>
  <c r="GE142" i="2"/>
  <c r="GE18" i="2"/>
  <c r="GE14" i="2"/>
  <c r="GE32" i="2"/>
  <c r="GE166" i="2"/>
  <c r="GE51" i="2"/>
  <c r="GE195" i="2"/>
  <c r="GE65" i="2"/>
  <c r="GE193" i="2"/>
  <c r="GE152" i="2"/>
  <c r="GE134" i="2"/>
  <c r="GE9" i="2"/>
  <c r="GE85" i="2"/>
  <c r="GE202" i="2"/>
  <c r="GE59" i="2"/>
  <c r="GE15" i="2"/>
  <c r="GE87" i="2"/>
  <c r="GE103" i="2"/>
  <c r="GE169" i="2"/>
  <c r="GE22" i="2"/>
  <c r="GE199" i="2"/>
  <c r="GE68" i="2"/>
  <c r="GE70" i="2"/>
  <c r="GE110" i="2"/>
  <c r="GE100" i="2"/>
  <c r="GE138" i="2"/>
  <c r="GE171" i="2"/>
  <c r="GE117" i="2"/>
  <c r="GE194" i="2"/>
  <c r="GE185" i="2"/>
  <c r="GE180" i="2"/>
  <c r="GE39" i="2"/>
  <c r="GE174" i="2"/>
  <c r="GE75" i="2"/>
  <c r="GE55" i="2"/>
  <c r="GE173" i="2"/>
  <c r="GE29" i="2"/>
  <c r="GE156" i="2"/>
  <c r="GE153" i="2"/>
  <c r="GE128" i="2"/>
  <c r="GE200" i="2"/>
  <c r="GE130" i="2"/>
  <c r="GE5" i="2"/>
  <c r="GE154" i="2"/>
  <c r="GE6" i="2"/>
  <c r="GE140" i="2"/>
  <c r="GE67" i="2"/>
  <c r="GE162" i="2"/>
  <c r="GE136" i="2"/>
  <c r="GE24" i="2"/>
  <c r="GE132" i="2"/>
  <c r="GE94" i="2"/>
  <c r="GE19" i="2"/>
  <c r="GE124" i="2"/>
  <c r="GE192" i="2"/>
  <c r="GE133" i="2"/>
  <c r="GE78" i="2"/>
  <c r="GE188" i="2"/>
  <c r="GE97" i="2"/>
  <c r="GE95" i="2"/>
  <c r="GE90" i="2"/>
  <c r="GE31" i="2"/>
  <c r="GE189" i="2"/>
  <c r="GE52" i="2"/>
  <c r="GE37" i="2"/>
  <c r="GE26" i="2"/>
  <c r="GE145" i="2"/>
  <c r="GE8" i="2"/>
  <c r="GE96" i="2"/>
  <c r="GE147" i="2"/>
  <c r="GE30" i="2"/>
  <c r="GE105" i="2"/>
  <c r="GE13" i="2"/>
  <c r="GE168" i="2"/>
  <c r="GE98" i="2"/>
  <c r="GE88" i="2"/>
  <c r="GE201" i="2"/>
  <c r="GE28" i="2"/>
  <c r="GE182" i="2"/>
  <c r="GE112" i="2"/>
  <c r="GE181" i="2"/>
  <c r="GE53" i="2"/>
  <c r="GE125" i="2"/>
  <c r="GE123" i="2"/>
  <c r="GE3" i="2"/>
  <c r="C14" i="4" s="1"/>
  <c r="E14" i="4" s="1"/>
  <c r="F14" i="4" s="1"/>
  <c r="G14" i="4" s="1"/>
  <c r="L14" i="4" s="1"/>
  <c r="GE150" i="2"/>
  <c r="GE82" i="2"/>
  <c r="GE66" i="2"/>
  <c r="GE44" i="2"/>
  <c r="GE89" i="2"/>
  <c r="GE159" i="2"/>
  <c r="GE164" i="2"/>
  <c r="GE160" i="2"/>
  <c r="GE64" i="2"/>
  <c r="GE118" i="2"/>
  <c r="GE62" i="2"/>
  <c r="GE148" i="2"/>
  <c r="GE63" i="2"/>
  <c r="GE158" i="2"/>
  <c r="GE137" i="2"/>
  <c r="GE197" i="2"/>
  <c r="GE196" i="2"/>
  <c r="GE144" i="2"/>
  <c r="GE172" i="2"/>
  <c r="GE149" i="2"/>
  <c r="GE135" i="2"/>
  <c r="GE80" i="2"/>
  <c r="GE161" i="2"/>
  <c r="GE17" i="2"/>
  <c r="GE23" i="2"/>
  <c r="GE46" i="2"/>
  <c r="GE111" i="2"/>
  <c r="GE40" i="2"/>
  <c r="GE184" i="2"/>
  <c r="GE61" i="2"/>
  <c r="GE79" i="2"/>
  <c r="GE16" i="2"/>
  <c r="GE58" i="2"/>
  <c r="GE119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0" i="2" l="1"/>
  <c r="CD84" i="2"/>
  <c r="CD61" i="2"/>
  <c r="CD11" i="2"/>
  <c r="CD172" i="2"/>
  <c r="CD103" i="2"/>
  <c r="CD164" i="2"/>
  <c r="CD64" i="2"/>
  <c r="CD72" i="2"/>
  <c r="CD33" i="2"/>
  <c r="CD42" i="2"/>
  <c r="CD31" i="2"/>
  <c r="CD71" i="2"/>
  <c r="CD201" i="2"/>
  <c r="CD63" i="2"/>
  <c r="CD190" i="2"/>
  <c r="CD86" i="2"/>
  <c r="CD109" i="2"/>
  <c r="CD179" i="2"/>
  <c r="CD6" i="2"/>
  <c r="CD116" i="2"/>
  <c r="CD8" i="2"/>
  <c r="CD98" i="2"/>
  <c r="CD112" i="2"/>
  <c r="CD101" i="2"/>
  <c r="CD100" i="2"/>
  <c r="CD76" i="2"/>
  <c r="CD68" i="2"/>
  <c r="CD166" i="2"/>
  <c r="CD40" i="2"/>
  <c r="CD36" i="2"/>
  <c r="CD66" i="2"/>
  <c r="CD158" i="2"/>
  <c r="CD157" i="2"/>
  <c r="CD127" i="2"/>
  <c r="CD126" i="2"/>
  <c r="CD132" i="2"/>
  <c r="CD37" i="2"/>
  <c r="CD159" i="2"/>
  <c r="CD10" i="2"/>
  <c r="CD146" i="2"/>
  <c r="CD200" i="2"/>
  <c r="CD23" i="2"/>
  <c r="CD49" i="2"/>
  <c r="CD87" i="2"/>
  <c r="CD104" i="2"/>
  <c r="CD91" i="2"/>
  <c r="CD122" i="2"/>
  <c r="CD176" i="2"/>
  <c r="CD163" i="2"/>
  <c r="CD74" i="2"/>
  <c r="CD165" i="2"/>
  <c r="CD52" i="2"/>
  <c r="CD3" i="2"/>
  <c r="C9" i="4" s="1"/>
  <c r="E9" i="4" s="1"/>
  <c r="F9" i="4" s="1"/>
  <c r="G9" i="4" s="1"/>
  <c r="L9" i="4" s="1"/>
  <c r="CD46" i="2"/>
  <c r="CD188" i="2"/>
  <c r="CD94" i="2"/>
  <c r="CD57" i="2"/>
  <c r="CD50" i="2"/>
  <c r="CD70" i="2"/>
  <c r="CD151" i="2"/>
  <c r="CD182" i="2"/>
  <c r="CD152" i="2"/>
  <c r="CD113" i="2"/>
  <c r="CD26" i="2"/>
  <c r="CD107" i="2"/>
  <c r="CD180" i="2"/>
  <c r="CD82" i="2"/>
  <c r="CD85" i="2"/>
  <c r="CD178" i="2"/>
  <c r="CD75" i="2"/>
  <c r="CD170" i="2"/>
  <c r="CD32" i="2"/>
  <c r="CD53" i="2"/>
  <c r="CD189" i="2"/>
  <c r="CD145" i="2"/>
  <c r="CD191" i="2"/>
  <c r="CD130" i="2"/>
  <c r="CD121" i="2"/>
  <c r="CD81" i="2"/>
  <c r="CD168" i="2"/>
  <c r="CD5" i="2"/>
  <c r="CD22" i="2"/>
  <c r="CD38" i="2"/>
  <c r="CD114" i="2"/>
  <c r="CD93" i="2"/>
  <c r="CD120" i="2"/>
  <c r="CD177" i="2"/>
  <c r="CD149" i="2"/>
  <c r="CD119" i="2"/>
  <c r="CD138" i="2"/>
  <c r="CD18" i="2"/>
  <c r="CD167" i="2"/>
  <c r="CD115" i="2"/>
  <c r="CD186" i="2"/>
  <c r="CD79" i="2"/>
  <c r="CD202" i="2"/>
  <c r="CD17" i="2"/>
  <c r="CD137" i="2"/>
  <c r="CD62" i="2"/>
  <c r="CD19" i="2"/>
  <c r="CD47" i="2"/>
  <c r="CD24" i="2"/>
  <c r="CD148" i="2"/>
  <c r="CD21" i="2"/>
  <c r="CD117" i="2"/>
  <c r="CD97" i="2"/>
  <c r="CD169" i="2"/>
  <c r="CD83" i="2"/>
  <c r="CD35" i="2"/>
  <c r="CD175" i="2"/>
  <c r="CD20" i="2"/>
  <c r="CD56" i="2"/>
  <c r="CD88" i="2"/>
  <c r="CD111" i="2"/>
  <c r="CD143" i="2"/>
  <c r="CD89" i="2"/>
  <c r="CD12" i="2"/>
  <c r="CD25" i="2"/>
  <c r="CD29" i="2"/>
  <c r="CD77" i="2"/>
  <c r="CD181" i="2"/>
  <c r="CD13" i="2"/>
  <c r="CD193" i="2"/>
  <c r="CD185" i="2"/>
  <c r="CD44" i="2"/>
  <c r="CD7" i="2"/>
  <c r="CD41" i="2"/>
  <c r="CD140" i="2"/>
  <c r="CD78" i="2"/>
  <c r="CD4" i="2"/>
  <c r="CD134" i="2"/>
  <c r="CD108" i="2"/>
  <c r="CD95" i="2"/>
  <c r="CD73" i="2"/>
  <c r="CD99" i="2"/>
  <c r="CD45" i="2"/>
  <c r="CD65" i="2"/>
  <c r="CD48" i="2"/>
  <c r="CD15" i="2"/>
  <c r="CD106" i="2"/>
  <c r="CD162" i="2"/>
  <c r="CD16" i="2"/>
  <c r="CD187" i="2"/>
  <c r="CD199" i="2"/>
  <c r="CD92" i="2"/>
  <c r="CD67" i="2"/>
  <c r="CD39" i="2"/>
  <c r="CD131" i="2"/>
  <c r="CD155" i="2"/>
  <c r="CD153" i="2"/>
  <c r="CD90" i="2"/>
  <c r="CD55" i="2"/>
  <c r="CD14" i="2"/>
  <c r="CD118" i="2"/>
  <c r="CD110" i="2"/>
  <c r="CD194" i="2"/>
  <c r="CD51" i="2"/>
  <c r="CD141" i="2"/>
  <c r="CD171" i="2"/>
  <c r="CD28" i="2"/>
  <c r="CD124" i="2"/>
  <c r="CD173" i="2"/>
  <c r="CD96" i="2"/>
  <c r="CD27" i="2"/>
  <c r="CD142" i="2"/>
  <c r="CD34" i="2"/>
  <c r="CD196" i="2"/>
  <c r="CD154" i="2"/>
  <c r="CD195" i="2"/>
  <c r="CD192" i="2"/>
  <c r="CD69" i="2"/>
  <c r="CD136" i="2"/>
  <c r="CD30" i="2"/>
  <c r="CD156" i="2"/>
  <c r="CD129" i="2"/>
  <c r="CD105" i="2"/>
  <c r="CD54" i="2"/>
  <c r="CD43" i="2"/>
  <c r="CD144" i="2"/>
  <c r="CD59" i="2"/>
  <c r="CD203" i="2"/>
  <c r="CD125" i="2"/>
  <c r="CD174" i="2"/>
  <c r="CD150" i="2"/>
  <c r="CD9" i="2"/>
  <c r="CD183" i="2"/>
  <c r="CD128" i="2"/>
  <c r="CD139" i="2"/>
  <c r="CD198" i="2"/>
  <c r="CD58" i="2"/>
  <c r="CD161" i="2"/>
  <c r="CD184" i="2"/>
  <c r="CD147" i="2"/>
  <c r="CD123" i="2"/>
  <c r="CD133" i="2"/>
  <c r="CD135" i="2"/>
  <c r="CD80" i="2"/>
  <c r="CD197" i="2"/>
  <c r="CD160" i="2"/>
  <c r="CD10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71" i="2" l="1"/>
  <c r="BI47" i="2"/>
  <c r="BI70" i="2"/>
  <c r="BI145" i="2"/>
  <c r="BI154" i="2"/>
  <c r="BI166" i="2"/>
  <c r="BI134" i="2"/>
  <c r="BI187" i="2"/>
  <c r="BI73" i="2"/>
  <c r="BI19" i="2"/>
  <c r="BI91" i="2"/>
  <c r="BI176" i="2"/>
  <c r="BI99" i="2"/>
  <c r="BI83" i="2"/>
  <c r="BI137" i="2"/>
  <c r="BI168" i="2"/>
  <c r="BI121" i="2"/>
  <c r="BI101" i="2"/>
  <c r="BI175" i="2"/>
  <c r="BI201" i="2"/>
  <c r="BI164" i="2"/>
  <c r="BI178" i="2"/>
  <c r="BI45" i="2"/>
  <c r="BI75" i="2"/>
  <c r="BI185" i="2"/>
  <c r="BI122" i="2"/>
  <c r="BI174" i="2"/>
  <c r="BI92" i="2"/>
  <c r="BI190" i="2"/>
  <c r="BI100" i="2"/>
  <c r="BI97" i="2"/>
  <c r="BI130" i="2"/>
  <c r="BI144" i="2"/>
  <c r="BI93" i="2"/>
  <c r="BI135" i="2"/>
  <c r="BI195" i="2"/>
  <c r="BI15" i="2"/>
  <c r="BI106" i="2"/>
  <c r="BI180" i="2"/>
  <c r="BI95" i="2"/>
  <c r="BI61" i="2"/>
  <c r="BI49" i="2"/>
  <c r="BI63" i="2"/>
  <c r="BI116" i="2"/>
  <c r="BI67" i="2"/>
  <c r="BI7" i="2"/>
  <c r="BI127" i="2"/>
  <c r="BI199" i="2"/>
  <c r="BI87" i="2"/>
  <c r="BI72" i="2"/>
  <c r="BI152" i="2"/>
  <c r="BI69" i="2"/>
  <c r="BI107" i="2"/>
  <c r="BI29" i="2"/>
  <c r="BI56" i="2"/>
  <c r="BI197" i="2"/>
  <c r="BI181" i="2"/>
  <c r="BI139" i="2"/>
  <c r="BI119" i="2"/>
  <c r="BI141" i="2"/>
  <c r="BI21" i="2"/>
  <c r="BI124" i="2"/>
  <c r="BI23" i="2"/>
  <c r="BI125" i="2"/>
  <c r="BI42" i="2"/>
  <c r="BI52" i="2"/>
  <c r="BI184" i="2"/>
  <c r="BI37" i="2"/>
  <c r="BI161" i="2"/>
  <c r="BI146" i="2"/>
  <c r="BI6" i="2"/>
  <c r="BI157" i="2"/>
  <c r="BI192" i="2"/>
  <c r="BI40" i="2"/>
  <c r="BI32" i="2"/>
  <c r="BI46" i="2"/>
  <c r="BI25" i="2"/>
  <c r="BI16" i="2"/>
  <c r="BI20" i="2"/>
  <c r="BI85" i="2"/>
  <c r="BI200" i="2"/>
  <c r="BI55" i="2"/>
  <c r="BI36" i="2"/>
  <c r="BI41" i="2"/>
  <c r="BI167" i="2"/>
  <c r="BI39" i="2"/>
  <c r="BI4" i="2"/>
  <c r="BI172" i="2"/>
  <c r="BI113" i="2"/>
  <c r="BI34" i="2"/>
  <c r="BI51" i="2"/>
  <c r="BI8" i="2"/>
  <c r="BI163" i="2"/>
  <c r="BI50" i="2"/>
  <c r="BI64" i="2"/>
  <c r="BI88" i="2"/>
  <c r="BI57" i="2"/>
  <c r="BI179" i="2"/>
  <c r="BI96" i="2"/>
  <c r="BI126" i="2"/>
  <c r="BI182" i="2"/>
  <c r="BI188" i="2"/>
  <c r="BI194" i="2"/>
  <c r="BI112" i="2"/>
  <c r="BI84" i="2"/>
  <c r="BI81" i="2"/>
  <c r="BI59" i="2"/>
  <c r="BI128" i="2"/>
  <c r="BI132" i="2"/>
  <c r="BI118" i="2"/>
  <c r="BI150" i="2"/>
  <c r="BI203" i="2"/>
  <c r="BI22" i="2"/>
  <c r="BI111" i="2"/>
  <c r="BI148" i="2"/>
  <c r="BI142" i="2"/>
  <c r="BI186" i="2"/>
  <c r="BI120" i="2"/>
  <c r="BI138" i="2"/>
  <c r="BI27" i="2"/>
  <c r="BI98" i="2"/>
  <c r="BI33" i="2"/>
  <c r="BI189" i="2"/>
  <c r="BI74" i="2"/>
  <c r="BI38" i="2"/>
  <c r="BI28" i="2"/>
  <c r="BI53" i="2"/>
  <c r="BI76" i="2"/>
  <c r="BI14" i="2"/>
  <c r="BI13" i="2"/>
  <c r="BI54" i="2"/>
  <c r="BI110" i="2"/>
  <c r="BI105" i="2"/>
  <c r="BI173" i="2"/>
  <c r="BI155" i="2"/>
  <c r="BI94" i="2"/>
  <c r="BI151" i="2"/>
  <c r="BI60" i="2"/>
  <c r="BI102" i="2"/>
  <c r="BI80" i="2"/>
  <c r="BI171" i="2"/>
  <c r="BI158" i="2"/>
  <c r="BI58" i="2"/>
  <c r="BI65" i="2"/>
  <c r="BI115" i="2"/>
  <c r="BI79" i="2"/>
  <c r="BI196" i="2"/>
  <c r="BI177" i="2"/>
  <c r="BI129" i="2"/>
  <c r="BI68" i="2"/>
  <c r="BI198" i="2"/>
  <c r="BI48" i="2"/>
  <c r="BI89" i="2"/>
  <c r="BI35" i="2"/>
  <c r="BI77" i="2"/>
  <c r="BI147" i="2"/>
  <c r="BI66" i="2"/>
  <c r="BI117" i="2"/>
  <c r="BI131" i="2"/>
  <c r="BI12" i="2"/>
  <c r="BI136" i="2"/>
  <c r="BI133" i="2"/>
  <c r="BI108" i="2"/>
  <c r="BI191" i="2"/>
  <c r="BI26" i="2"/>
  <c r="BI44" i="2"/>
  <c r="BI104" i="2"/>
  <c r="BI11" i="2"/>
  <c r="BI30" i="2"/>
  <c r="BI9" i="2"/>
  <c r="BI31" i="2"/>
  <c r="BI18" i="2"/>
  <c r="BI183" i="2"/>
  <c r="BI90" i="2"/>
  <c r="BI153" i="2"/>
  <c r="BI62" i="2"/>
  <c r="BI10" i="2"/>
  <c r="BI82" i="2"/>
  <c r="BI103" i="2"/>
  <c r="BI5" i="2"/>
  <c r="BI159" i="2"/>
  <c r="BI143" i="2"/>
  <c r="BI24" i="2"/>
  <c r="BI202" i="2"/>
  <c r="BI3" i="2"/>
  <c r="C8" i="4" s="1"/>
  <c r="E8" i="4" s="1"/>
  <c r="F8" i="4" s="1"/>
  <c r="G8" i="4" s="1"/>
  <c r="L8" i="4" s="1"/>
  <c r="BI123" i="2"/>
  <c r="BI114" i="2"/>
  <c r="BI78" i="2"/>
  <c r="BI149" i="2"/>
  <c r="BI86" i="2"/>
  <c r="BI170" i="2"/>
  <c r="BI17" i="2"/>
  <c r="BI140" i="2"/>
  <c r="BI162" i="2"/>
  <c r="BI160" i="2"/>
  <c r="BI109" i="2"/>
  <c r="BI169" i="2"/>
  <c r="BI156" i="2"/>
  <c r="BI43" i="2"/>
  <c r="BI193" i="2"/>
  <c r="BI165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<sst xmlns="http://schemas.openxmlformats.org/spreadsheetml/2006/main" count="1177" uniqueCount="324">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</sst>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2.563317265587385</c:v>
                </c:pt>
                <c:pt idx="2">
                  <c:v>2.9931242698209175</c:v>
                </c:pt>
                <c:pt idx="3">
                  <c:v>3.495262379874847</c:v>
                </c:pt>
                <c:pt idx="4">
                  <c:v>4.0819457908313188</c:v>
                </c:pt>
                <c:pt idx="5">
                  <c:v>4.767457867928365</c:v>
                </c:pt>
                <c:pt idx="6">
                  <c:v>5.5685027236698934</c:v>
                </c:pt>
                <c:pt idx="7">
                  <c:v>6.5046166966546997</c:v>
                </c:pt>
                <c:pt idx="8">
                  <c:v>7.5986499639953875</c:v>
                </c:pt>
                <c:pt idx="9">
                  <c:v>8.8773302709534629</c:v>
                </c:pt>
                <c:pt idx="10">
                  <c:v>10.371922813713566</c:v>
                </c:pt>
                <c:pt idx="11">
                  <c:v>12.119002715718514</c:v>
                </c:pt>
                <c:pt idx="12">
                  <c:v>14.161359355243766</c:v>
                </c:pt>
                <c:pt idx="13">
                  <c:v>16.549055102890339</c:v>
                </c:pt>
                <c:pt idx="14">
                  <c:v>19.34066489563363</c:v>
                </c:pt>
                <c:pt idx="15">
                  <c:v>22.604727606533277</c:v>
                </c:pt>
                <c:pt idx="16">
                  <c:v>26.421445480550759</c:v>
                </c:pt>
                <c:pt idx="17">
                  <c:v>30.884674131214894</c:v>
                </c:pt>
                <c:pt idx="18">
                  <c:v>36.104252887315027</c:v>
                </c:pt>
                <c:pt idx="19">
                  <c:v>42.208733827691781</c:v>
                </c:pt>
                <c:pt idx="20">
                  <c:v>49.348577861626978</c:v>
                </c:pt>
                <c:pt idx="21">
                  <c:v>57.699897955682388</c:v>
                </c:pt>
                <c:pt idx="22">
                  <c:v>67.468843372192154</c:v>
                </c:pt>
                <c:pt idx="23">
                  <c:v>78.896734918347235</c:v>
                </c:pt>
                <c:pt idx="24">
                  <c:v>92.266080116422515</c:v>
                </c:pt>
                <c:pt idx="25">
                  <c:v>107.90761937422224</c:v>
                </c:pt>
                <c:pt idx="26">
                  <c:v>126.20858022201269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763648"/>
        <c:axId val="1187770176"/>
      </c:scatterChart>
      <c:valAx>
        <c:axId val="1187763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7770176"/>
        <c:crosses val="autoZero"/>
        <c:crossBetween val="midCat"/>
      </c:valAx>
      <c:valAx>
        <c:axId val="118777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776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908768"/>
        <c:axId val="1357916384"/>
      </c:scatterChart>
      <c:valAx>
        <c:axId val="1357908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7916384"/>
        <c:crosses val="autoZero"/>
        <c:crossBetween val="midCat"/>
      </c:valAx>
      <c:valAx>
        <c:axId val="13579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7908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3902048"/>
        <c:axId val="1443902592"/>
      </c:scatterChart>
      <c:valAx>
        <c:axId val="144390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3902592"/>
        <c:crosses val="autoZero"/>
        <c:crossBetween val="midCat"/>
      </c:valAx>
      <c:valAx>
        <c:axId val="144390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390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3903680"/>
        <c:axId val="1443904768"/>
      </c:scatterChart>
      <c:valAx>
        <c:axId val="1443903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3904768"/>
        <c:crosses val="autoZero"/>
        <c:crossBetween val="midCat"/>
      </c:valAx>
      <c:valAx>
        <c:axId val="144390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390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3892800"/>
        <c:axId val="1443905312"/>
      </c:scatterChart>
      <c:valAx>
        <c:axId val="1443892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3905312"/>
        <c:crosses val="autoZero"/>
        <c:crossBetween val="midCat"/>
      </c:valAx>
      <c:valAx>
        <c:axId val="144390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3892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3905856"/>
        <c:axId val="880070304"/>
      </c:scatterChart>
      <c:valAx>
        <c:axId val="1443905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0070304"/>
        <c:crosses val="autoZero"/>
        <c:crossBetween val="midCat"/>
      </c:valAx>
      <c:valAx>
        <c:axId val="8800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390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067584"/>
        <c:axId val="880068128"/>
      </c:scatterChart>
      <c:valAx>
        <c:axId val="880067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0068128"/>
        <c:crosses val="autoZero"/>
        <c:crossBetween val="midCat"/>
      </c:valAx>
      <c:valAx>
        <c:axId val="88006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006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131.19552875292825</c:v>
                </c:pt>
                <c:pt idx="22">
                  <c:v>150.23693675874819</c:v>
                </c:pt>
                <c:pt idx="23">
                  <c:v>169.22076873606747</c:v>
                </c:pt>
                <c:pt idx="24">
                  <c:v>188.15439824972211</c:v>
                </c:pt>
                <c:pt idx="25">
                  <c:v>207.04359025710687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236.43267338641553</c:v>
                </c:pt>
                <c:pt idx="32">
                  <c:v>252.59797413681909</c:v>
                </c:pt>
                <c:pt idx="33">
                  <c:v>268.73984484198553</c:v>
                </c:pt>
                <c:pt idx="34">
                  <c:v>284.85989094555777</c:v>
                </c:pt>
                <c:pt idx="35">
                  <c:v>300.95952130477968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305.82302433005208</c:v>
                </c:pt>
                <c:pt idx="42">
                  <c:v>318.16118821698814</c:v>
                </c:pt>
                <c:pt idx="43">
                  <c:v>330.48876005573726</c:v>
                </c:pt>
                <c:pt idx="44">
                  <c:v>342.80619071488059</c:v>
                </c:pt>
                <c:pt idx="45">
                  <c:v>355.11389600890431</c:v>
                </c:pt>
                <c:pt idx="46">
                  <c:v>292.35055150938035</c:v>
                </c:pt>
                <c:pt idx="47">
                  <c:v>302.45616879398875</c:v>
                </c:pt>
                <c:pt idx="48">
                  <c:v>312.55427347160997</c:v>
                </c:pt>
                <c:pt idx="49">
                  <c:v>322.6451426246872</c:v>
                </c:pt>
                <c:pt idx="50">
                  <c:v>332.72903457884451</c:v>
                </c:pt>
                <c:pt idx="51">
                  <c:v>341.68683217968459</c:v>
                </c:pt>
                <c:pt idx="52">
                  <c:v>350.63946715468188</c:v>
                </c:pt>
                <c:pt idx="53">
                  <c:v>359.58708999068585</c:v>
                </c:pt>
                <c:pt idx="54">
                  <c:v>368.52984306951663</c:v>
                </c:pt>
                <c:pt idx="55">
                  <c:v>377.46786129486031</c:v>
                </c:pt>
                <c:pt idx="56">
                  <c:v>340.56739298972934</c:v>
                </c:pt>
                <c:pt idx="57">
                  <c:v>348.40178403373949</c:v>
                </c:pt>
                <c:pt idx="58">
                  <c:v>356.23230957994457</c:v>
                </c:pt>
                <c:pt idx="59">
                  <c:v>364.05906664989806</c:v>
                </c:pt>
                <c:pt idx="60">
                  <c:v>371.88214774985937</c:v>
                </c:pt>
                <c:pt idx="61">
                  <c:v>377.84017788163402</c:v>
                </c:pt>
                <c:pt idx="62">
                  <c:v>383.79616295666898</c:v>
                </c:pt>
                <c:pt idx="63">
                  <c:v>389.75013922020366</c:v>
                </c:pt>
                <c:pt idx="64">
                  <c:v>395.70214171866616</c:v>
                </c:pt>
                <c:pt idx="65">
                  <c:v>401.65220435716355</c:v>
                </c:pt>
                <c:pt idx="66">
                  <c:v>375.60615822359949</c:v>
                </c:pt>
                <c:pt idx="67">
                  <c:v>381.19066877305676</c:v>
                </c:pt>
                <c:pt idx="68">
                  <c:v>386.7733999720669</c:v>
                </c:pt>
                <c:pt idx="69">
                  <c:v>392.35438115419703</c:v>
                </c:pt>
                <c:pt idx="70">
                  <c:v>397.93364074958481</c:v>
                </c:pt>
                <c:pt idx="71">
                  <c:v>402.76762782233112</c:v>
                </c:pt>
                <c:pt idx="72">
                  <c:v>407.60035995338347</c:v>
                </c:pt>
                <c:pt idx="73">
                  <c:v>412.4318541373803</c:v>
                </c:pt>
                <c:pt idx="74">
                  <c:v>417.26212693788665</c:v>
                </c:pt>
                <c:pt idx="75">
                  <c:v>422.091194503304</c:v>
                </c:pt>
                <c:pt idx="76">
                  <c:v>426.54773922354394</c:v>
                </c:pt>
                <c:pt idx="77">
                  <c:v>431.00328251520631</c:v>
                </c:pt>
                <c:pt idx="78">
                  <c:v>435.45783620208459</c:v>
                </c:pt>
                <c:pt idx="79">
                  <c:v>439.91141184608779</c:v>
                </c:pt>
                <c:pt idx="80">
                  <c:v>444.36402075569316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071936"/>
        <c:axId val="880073024"/>
      </c:scatterChart>
      <c:valAx>
        <c:axId val="880071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0073024"/>
        <c:crosses val="autoZero"/>
        <c:crossBetween val="midCat"/>
      </c:valAx>
      <c:valAx>
        <c:axId val="88007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0071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2.4233379605482943</c:v>
                </c:pt>
                <c:pt idx="2">
                  <c:v>3.3911899510511758</c:v>
                </c:pt>
                <c:pt idx="3">
                  <c:v>4.7472570973955088</c:v>
                </c:pt>
                <c:pt idx="4">
                  <c:v>6.6478847603431106</c:v>
                </c:pt>
                <c:pt idx="5">
                  <c:v>9.3126189320690731</c:v>
                </c:pt>
                <c:pt idx="6">
                  <c:v>13.049842479543365</c:v>
                </c:pt>
                <c:pt idx="7">
                  <c:v>18.292843135377566</c:v>
                </c:pt>
                <c:pt idx="8">
                  <c:v>25.650570254048265</c:v>
                </c:pt>
                <c:pt idx="9">
                  <c:v>35.979079079598641</c:v>
                </c:pt>
                <c:pt idx="10">
                  <c:v>50.482117279404498</c:v>
                </c:pt>
                <c:pt idx="11">
                  <c:v>64.095146966739819</c:v>
                </c:pt>
                <c:pt idx="12">
                  <c:v>77.632991838946381</c:v>
                </c:pt>
                <c:pt idx="13">
                  <c:v>91.110686124684605</c:v>
                </c:pt>
                <c:pt idx="14">
                  <c:v>104.53841309330278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485.68618184612097</c:v>
                </c:pt>
                <c:pt idx="102">
                  <c:v>490.88033109552151</c:v>
                </c:pt>
                <c:pt idx="103">
                  <c:v>496.07331476727899</c:v>
                </c:pt>
                <c:pt idx="104">
                  <c:v>501.26514679259532</c:v>
                </c:pt>
                <c:pt idx="105">
                  <c:v>506.4558407903549</c:v>
                </c:pt>
                <c:pt idx="106">
                  <c:v>511.64541007732623</c:v>
                </c:pt>
                <c:pt idx="107">
                  <c:v>516.83386767792888</c:v>
                </c:pt>
                <c:pt idx="108">
                  <c:v>522.02122633358715</c:v>
                </c:pt>
                <c:pt idx="109">
                  <c:v>527.20749851169228</c:v>
                </c:pt>
                <c:pt idx="110">
                  <c:v>532.39269641419344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1867552"/>
        <c:axId val="1357912576"/>
      </c:scatterChart>
      <c:valAx>
        <c:axId val="1081867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7912576"/>
        <c:crosses val="autoZero"/>
        <c:crossBetween val="midCat"/>
      </c:valAx>
      <c:valAx>
        <c:axId val="1357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1867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919648"/>
        <c:axId val="1357924000"/>
      </c:scatterChart>
      <c:valAx>
        <c:axId val="1357919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7924000"/>
        <c:crosses val="autoZero"/>
        <c:crossBetween val="midCat"/>
      </c:valAx>
      <c:valAx>
        <c:axId val="13579240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7919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9" zoomScale="80" zoomScaleNormal="80" workbookViewId="0">
      <selection activeCell="A114" sqref="A114:H13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1.8</v>
      </c>
      <c r="D5" s="305" t="s">
        <v>229</v>
      </c>
      <c r="E5" s="306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2" t="s">
        <v>226</v>
      </c>
      <c r="B7" s="302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25</v>
      </c>
      <c r="C9" s="35">
        <v>0.2</v>
      </c>
      <c r="D9" s="36">
        <f t="shared" ref="D9:D18" si="0">C9*$C$5</f>
        <v>0.36000000000000004</v>
      </c>
      <c r="E9" s="37">
        <v>99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23</v>
      </c>
      <c r="C10" s="35">
        <v>0.2</v>
      </c>
      <c r="D10" s="36">
        <f t="shared" si="0"/>
        <v>0.36000000000000004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22</v>
      </c>
      <c r="C11" s="35">
        <v>0.2</v>
      </c>
      <c r="D11" s="36">
        <f t="shared" si="0"/>
        <v>0.36000000000000004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0.1</v>
      </c>
      <c r="D12" s="36">
        <f t="shared" si="0"/>
        <v>0.18000000000000002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6</v>
      </c>
      <c r="C13" s="35">
        <v>0.1</v>
      </c>
      <c r="D13" s="36">
        <f t="shared" si="0"/>
        <v>0.18000000000000002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29</v>
      </c>
      <c r="C14" s="35">
        <v>0.1</v>
      </c>
      <c r="D14" s="36">
        <f t="shared" si="0"/>
        <v>0.18000000000000002</v>
      </c>
      <c r="E14" s="37">
        <v>69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21</v>
      </c>
      <c r="C15" s="35">
        <v>0.05</v>
      </c>
      <c r="D15" s="36">
        <f t="shared" si="0"/>
        <v>9.0000000000000011E-2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50</v>
      </c>
      <c r="C16" s="35">
        <v>0.05</v>
      </c>
      <c r="D16" s="36">
        <f t="shared" si="0"/>
        <v>9.0000000000000011E-2</v>
      </c>
      <c r="E16" s="37">
        <v>110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1.8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Hêtre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27</v>
      </c>
      <c r="B36" s="63">
        <v>77</v>
      </c>
      <c r="C36" s="53">
        <v>1</v>
      </c>
      <c r="D36" s="63">
        <v>12</v>
      </c>
      <c r="E36" s="54"/>
      <c r="F36" s="54"/>
      <c r="G36" s="54"/>
      <c r="H36" s="54">
        <v>1</v>
      </c>
      <c r="I36" s="52">
        <f>IFERROR(B36/A36,"")</f>
        <v>2.8518518518518516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102</v>
      </c>
      <c r="C37" s="53">
        <v>2</v>
      </c>
      <c r="D37" s="63">
        <v>13</v>
      </c>
      <c r="E37" s="54"/>
      <c r="F37" s="54"/>
      <c r="G37" s="54"/>
      <c r="H37" s="54">
        <v>1</v>
      </c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36</v>
      </c>
      <c r="B38" s="63">
        <v>174</v>
      </c>
      <c r="C38" s="53">
        <v>3</v>
      </c>
      <c r="D38" s="63">
        <v>60</v>
      </c>
      <c r="E38" s="54"/>
      <c r="F38" s="54"/>
      <c r="G38" s="54"/>
      <c r="H38" s="54"/>
      <c r="I38" s="56">
        <f t="shared" si="1"/>
        <v>14.166666666666666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42</v>
      </c>
      <c r="B39" s="63">
        <v>205</v>
      </c>
      <c r="C39" s="53">
        <v>4</v>
      </c>
      <c r="D39" s="63">
        <v>59</v>
      </c>
      <c r="E39" s="54"/>
      <c r="F39" s="54"/>
      <c r="G39" s="54"/>
      <c r="H39" s="54"/>
      <c r="I39" s="52">
        <f t="shared" si="1"/>
        <v>15.166666666666666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48</v>
      </c>
      <c r="B40" s="63">
        <v>240</v>
      </c>
      <c r="C40" s="53">
        <v>5</v>
      </c>
      <c r="D40" s="63">
        <v>63</v>
      </c>
      <c r="E40" s="54"/>
      <c r="F40" s="54"/>
      <c r="G40" s="54"/>
      <c r="H40" s="54"/>
      <c r="I40" s="52">
        <f t="shared" si="1"/>
        <v>15.666666666666666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54</v>
      </c>
      <c r="B41" s="63">
        <v>270</v>
      </c>
      <c r="C41" s="53">
        <v>6</v>
      </c>
      <c r="D41" s="63">
        <v>64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60</v>
      </c>
      <c r="B42" s="63">
        <v>295</v>
      </c>
      <c r="C42" s="53">
        <v>7</v>
      </c>
      <c r="D42" s="63">
        <v>61</v>
      </c>
      <c r="E42" s="54"/>
      <c r="F42" s="54"/>
      <c r="G42" s="54"/>
      <c r="H42" s="54"/>
      <c r="I42" s="56">
        <f t="shared" si="1"/>
        <v>14.833333333333334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69</v>
      </c>
      <c r="B43" s="63">
        <v>358</v>
      </c>
      <c r="C43" s="53">
        <v>8</v>
      </c>
      <c r="D43" s="63">
        <v>84</v>
      </c>
      <c r="E43" s="54"/>
      <c r="F43" s="54"/>
      <c r="G43" s="54"/>
      <c r="H43" s="54"/>
      <c r="I43" s="52">
        <f t="shared" si="1"/>
        <v>13.777777777777779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78</v>
      </c>
      <c r="B44" s="63">
        <v>387</v>
      </c>
      <c r="C44" s="53">
        <v>9</v>
      </c>
      <c r="D44" s="63">
        <v>39</v>
      </c>
      <c r="E44" s="54"/>
      <c r="F44" s="54"/>
      <c r="G44" s="54"/>
      <c r="H44" s="54"/>
      <c r="I44" s="52">
        <f t="shared" si="1"/>
        <v>12.555555555555555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84</v>
      </c>
      <c r="B45" s="63">
        <v>420</v>
      </c>
      <c r="C45" s="53"/>
      <c r="D45" s="63"/>
      <c r="E45" s="54"/>
      <c r="F45" s="54"/>
      <c r="G45" s="54"/>
      <c r="H45" s="54"/>
      <c r="I45" s="52">
        <f t="shared" si="1"/>
        <v>12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90</v>
      </c>
      <c r="B46" s="63">
        <v>489</v>
      </c>
      <c r="C46" s="53"/>
      <c r="D46" s="63"/>
      <c r="E46" s="54"/>
      <c r="F46" s="54"/>
      <c r="G46" s="54"/>
      <c r="H46" s="54"/>
      <c r="I46" s="52">
        <f t="shared" si="1"/>
        <v>11.5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96</v>
      </c>
      <c r="B47" s="63">
        <v>557</v>
      </c>
      <c r="C47" s="53"/>
      <c r="D47" s="63"/>
      <c r="E47" s="54"/>
      <c r="F47" s="54"/>
      <c r="G47" s="54"/>
      <c r="H47" s="54"/>
      <c r="I47" s="52">
        <f t="shared" si="1"/>
        <v>11.333333333333334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99</v>
      </c>
      <c r="B48" s="63">
        <v>591</v>
      </c>
      <c r="C48" s="53">
        <v>10</v>
      </c>
      <c r="D48" s="63">
        <f>B48</f>
        <v>591</v>
      </c>
      <c r="E48" s="57"/>
      <c r="F48" s="57"/>
      <c r="G48" s="57"/>
      <c r="H48" s="57"/>
      <c r="I48" s="52">
        <f t="shared" si="1"/>
        <v>11.333333333333334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sycomore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f>11.1</f>
        <v>11.1</v>
      </c>
      <c r="C62" s="63"/>
      <c r="D62" s="63"/>
      <c r="E62" s="54"/>
      <c r="F62" s="54"/>
      <c r="G62" s="54"/>
      <c r="H62" s="290"/>
      <c r="I62" s="56">
        <f>IFERROR(B62/A62,"")</f>
        <v>1.1099999999999999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f>33+31.5</f>
        <v>64.5</v>
      </c>
      <c r="C63" s="63"/>
      <c r="D63" s="63"/>
      <c r="E63" s="54"/>
      <c r="F63" s="54"/>
      <c r="G63" s="54"/>
      <c r="H63" s="290"/>
      <c r="I63" s="52">
        <f>IF(A63&lt;&gt;0,(B63-(B62-D62))/(A63-A62),"")</f>
        <v>10.68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f>66.8+31.5+35</f>
        <v>133.30000000000001</v>
      </c>
      <c r="C64" s="63">
        <v>1</v>
      </c>
      <c r="D64" s="63">
        <f>31.5+35</f>
        <v>66.5</v>
      </c>
      <c r="E64" s="290"/>
      <c r="F64" s="290"/>
      <c r="G64" s="290"/>
      <c r="H64" s="290">
        <v>1</v>
      </c>
      <c r="I64" s="52">
        <f>IF(A64&lt;&gt;0,(B64-(B63-D63))/(A64-A63),"")</f>
        <v>13.760000000000002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f>105.5+35</f>
        <v>140.5</v>
      </c>
      <c r="C65" s="63"/>
      <c r="D65" s="63"/>
      <c r="E65" s="290"/>
      <c r="F65" s="290"/>
      <c r="G65" s="290"/>
      <c r="H65" s="290"/>
      <c r="I65" s="52">
        <f>IF(A65&lt;&gt;0,(B65-(B64-D64))/(A65-A64),"")</f>
        <v>14.739999999999998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f>141.8+35+35</f>
        <v>211.8</v>
      </c>
      <c r="C66" s="63">
        <v>2</v>
      </c>
      <c r="D66" s="63">
        <f>35+35</f>
        <v>70</v>
      </c>
      <c r="E66" s="290"/>
      <c r="F66" s="290"/>
      <c r="G66" s="290"/>
      <c r="H66" s="290">
        <v>1</v>
      </c>
      <c r="I66" s="52">
        <f t="shared" ref="I66:I81" si="2">IF(A66&lt;&gt;0,(B66-(B65-D65))/(A66-A65),"")</f>
        <v>14.260000000000002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f>171.4+35</f>
        <v>206.4</v>
      </c>
      <c r="C67" s="63"/>
      <c r="D67" s="63"/>
      <c r="E67" s="290"/>
      <c r="F67" s="290"/>
      <c r="G67" s="290"/>
      <c r="H67" s="290"/>
      <c r="I67" s="52">
        <f t="shared" si="2"/>
        <v>12.919999999999998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f>193.1+35+35</f>
        <v>263.10000000000002</v>
      </c>
      <c r="C68" s="63">
        <v>3</v>
      </c>
      <c r="D68" s="63">
        <f>35+35</f>
        <v>70</v>
      </c>
      <c r="E68" s="290"/>
      <c r="F68" s="290"/>
      <c r="G68" s="290"/>
      <c r="H68" s="290"/>
      <c r="I68" s="52">
        <f t="shared" si="2"/>
        <v>11.340000000000003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>
        <v>45</v>
      </c>
      <c r="B69" s="63">
        <f>218+24.2</f>
        <v>242.2</v>
      </c>
      <c r="C69" s="63"/>
      <c r="D69" s="63"/>
      <c r="E69" s="290"/>
      <c r="F69" s="290"/>
      <c r="G69" s="290"/>
      <c r="H69" s="290"/>
      <c r="I69" s="52">
        <f t="shared" si="2"/>
        <v>9.8199999999999932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3">
        <v>50</v>
      </c>
      <c r="B70" s="63">
        <f>241.8+24.2+18.9</f>
        <v>284.89999999999998</v>
      </c>
      <c r="C70" s="63">
        <v>4</v>
      </c>
      <c r="D70" s="63">
        <f>24.2+18.9</f>
        <v>43.099999999999994</v>
      </c>
      <c r="E70" s="290"/>
      <c r="F70" s="290"/>
      <c r="G70" s="290"/>
      <c r="H70" s="290"/>
      <c r="I70" s="52">
        <f t="shared" si="2"/>
        <v>8.5399999999999974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3">
        <v>55</v>
      </c>
      <c r="B71" s="63">
        <f>262.6+16</f>
        <v>278.60000000000002</v>
      </c>
      <c r="C71" s="63"/>
      <c r="D71" s="63"/>
      <c r="E71" s="290"/>
      <c r="F71" s="290"/>
      <c r="G71" s="290"/>
      <c r="H71" s="290"/>
      <c r="I71" s="52">
        <f t="shared" si="2"/>
        <v>7.3600000000000083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3">
        <v>60</v>
      </c>
      <c r="B72" s="63">
        <f>279.8+16+14.2</f>
        <v>310</v>
      </c>
      <c r="C72" s="63">
        <v>5</v>
      </c>
      <c r="D72" s="63">
        <f>16+14.2</f>
        <v>30.2</v>
      </c>
      <c r="E72" s="290"/>
      <c r="F72" s="290"/>
      <c r="G72" s="290"/>
      <c r="H72" s="290"/>
      <c r="I72" s="52">
        <f t="shared" si="2"/>
        <v>6.2799999999999958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3">
        <v>65</v>
      </c>
      <c r="B73" s="63">
        <f>292.6+13.4</f>
        <v>306</v>
      </c>
      <c r="C73" s="63"/>
      <c r="D73" s="63"/>
      <c r="E73" s="290"/>
      <c r="F73" s="290"/>
      <c r="G73" s="290"/>
      <c r="H73" s="290"/>
      <c r="I73" s="52">
        <f t="shared" si="2"/>
        <v>5.2399999999999975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3">
        <v>70</v>
      </c>
      <c r="B74" s="63">
        <f>302.6+13.4+12.5</f>
        <v>328.5</v>
      </c>
      <c r="C74" s="63">
        <v>6</v>
      </c>
      <c r="D74" s="63">
        <f>13.4+12.5</f>
        <v>25.9</v>
      </c>
      <c r="E74" s="291"/>
      <c r="F74" s="291"/>
      <c r="G74" s="291"/>
      <c r="H74" s="291"/>
      <c r="I74" s="52">
        <f t="shared" si="2"/>
        <v>4.5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3">
        <v>75</v>
      </c>
      <c r="B75" s="63">
        <f>311.9+11.6</f>
        <v>323.5</v>
      </c>
      <c r="C75" s="63"/>
      <c r="D75" s="63"/>
      <c r="E75" s="291"/>
      <c r="F75" s="291"/>
      <c r="G75" s="291"/>
      <c r="H75" s="291"/>
      <c r="I75" s="52">
        <f t="shared" si="2"/>
        <v>4.1799999999999953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3">
        <v>80</v>
      </c>
      <c r="B76" s="53">
        <v>341.3</v>
      </c>
      <c r="C76" s="63">
        <v>7</v>
      </c>
      <c r="D76" s="53">
        <v>341.3</v>
      </c>
      <c r="E76" s="57"/>
      <c r="F76" s="57"/>
      <c r="G76" s="57"/>
      <c r="H76" s="57"/>
      <c r="I76" s="52">
        <f t="shared" si="2"/>
        <v>3.5600000000000023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plane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f>11.1</f>
        <v>11.1</v>
      </c>
      <c r="C88" s="63"/>
      <c r="D88" s="63"/>
      <c r="E88" s="54"/>
      <c r="F88" s="54"/>
      <c r="G88" s="54"/>
      <c r="H88" s="290"/>
      <c r="I88" s="56">
        <f>IFERROR(B88/A88,"")</f>
        <v>1.1099999999999999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f>33+31.5</f>
        <v>64.5</v>
      </c>
      <c r="C89" s="63"/>
      <c r="D89" s="63"/>
      <c r="E89" s="54"/>
      <c r="F89" s="54"/>
      <c r="G89" s="54"/>
      <c r="H89" s="290"/>
      <c r="I89" s="56">
        <f t="shared" ref="I89:I107" si="3">IF(A89&lt;&gt;0,(B89-(B88-D88))/(A89-A88),"")</f>
        <v>10.68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f>66.8+31.5+35</f>
        <v>133.30000000000001</v>
      </c>
      <c r="C90" s="63">
        <v>1</v>
      </c>
      <c r="D90" s="63">
        <f>31.5+35</f>
        <v>66.5</v>
      </c>
      <c r="E90" s="290"/>
      <c r="F90" s="290"/>
      <c r="G90" s="290"/>
      <c r="H90" s="290">
        <v>1</v>
      </c>
      <c r="I90" s="56">
        <f t="shared" si="3"/>
        <v>13.760000000000002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f>105.5+35</f>
        <v>140.5</v>
      </c>
      <c r="C91" s="63"/>
      <c r="D91" s="63"/>
      <c r="E91" s="290"/>
      <c r="F91" s="290"/>
      <c r="G91" s="290"/>
      <c r="H91" s="290"/>
      <c r="I91" s="56">
        <f t="shared" si="3"/>
        <v>14.739999999999998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f>141.8+35+35</f>
        <v>211.8</v>
      </c>
      <c r="C92" s="63">
        <v>2</v>
      </c>
      <c r="D92" s="63">
        <f>35+35</f>
        <v>70</v>
      </c>
      <c r="E92" s="290"/>
      <c r="F92" s="290"/>
      <c r="G92" s="290"/>
      <c r="H92" s="290">
        <v>1</v>
      </c>
      <c r="I92" s="56">
        <f t="shared" si="3"/>
        <v>14.260000000000002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f>171.4+35</f>
        <v>206.4</v>
      </c>
      <c r="C93" s="63"/>
      <c r="D93" s="63"/>
      <c r="E93" s="290"/>
      <c r="F93" s="290"/>
      <c r="G93" s="290"/>
      <c r="H93" s="290"/>
      <c r="I93" s="56">
        <f t="shared" si="3"/>
        <v>12.919999999999998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f>193.1+35+35</f>
        <v>263.10000000000002</v>
      </c>
      <c r="C94" s="63">
        <v>3</v>
      </c>
      <c r="D94" s="63">
        <f>35+35</f>
        <v>70</v>
      </c>
      <c r="E94" s="290"/>
      <c r="F94" s="290"/>
      <c r="G94" s="290"/>
      <c r="H94" s="290"/>
      <c r="I94" s="56">
        <f t="shared" si="3"/>
        <v>11.340000000000003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f>218+24.2</f>
        <v>242.2</v>
      </c>
      <c r="C95" s="63"/>
      <c r="D95" s="63"/>
      <c r="E95" s="290"/>
      <c r="F95" s="290"/>
      <c r="G95" s="290"/>
      <c r="H95" s="290"/>
      <c r="I95" s="56">
        <f t="shared" si="3"/>
        <v>9.8199999999999932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f>241.8+24.2+18.9</f>
        <v>284.89999999999998</v>
      </c>
      <c r="C96" s="63">
        <v>4</v>
      </c>
      <c r="D96" s="63">
        <f>24.2+18.9</f>
        <v>43.099999999999994</v>
      </c>
      <c r="E96" s="290"/>
      <c r="F96" s="290"/>
      <c r="G96" s="290"/>
      <c r="H96" s="290"/>
      <c r="I96" s="56">
        <f t="shared" si="3"/>
        <v>8.5399999999999974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f>262.6+16</f>
        <v>278.60000000000002</v>
      </c>
      <c r="C97" s="63"/>
      <c r="D97" s="63"/>
      <c r="E97" s="290"/>
      <c r="F97" s="290"/>
      <c r="G97" s="290"/>
      <c r="H97" s="290"/>
      <c r="I97" s="56">
        <f t="shared" si="3"/>
        <v>7.3600000000000083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f>279.8+16+14.2</f>
        <v>310</v>
      </c>
      <c r="C98" s="63">
        <v>5</v>
      </c>
      <c r="D98" s="63">
        <f>16+14.2</f>
        <v>30.2</v>
      </c>
      <c r="E98" s="290"/>
      <c r="F98" s="290"/>
      <c r="G98" s="290"/>
      <c r="H98" s="290"/>
      <c r="I98" s="56">
        <f t="shared" si="3"/>
        <v>6.2799999999999958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f>292.6+13.4</f>
        <v>306</v>
      </c>
      <c r="C99" s="63"/>
      <c r="D99" s="63"/>
      <c r="E99" s="290"/>
      <c r="F99" s="290"/>
      <c r="G99" s="290"/>
      <c r="H99" s="290"/>
      <c r="I99" s="56">
        <f t="shared" si="3"/>
        <v>5.2399999999999975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f>302.6+13.4+12.5</f>
        <v>328.5</v>
      </c>
      <c r="C100" s="63">
        <v>6</v>
      </c>
      <c r="D100" s="63">
        <f>13.4+12.5</f>
        <v>25.9</v>
      </c>
      <c r="E100" s="291"/>
      <c r="F100" s="291"/>
      <c r="G100" s="291"/>
      <c r="H100" s="291"/>
      <c r="I100" s="56">
        <f t="shared" si="3"/>
        <v>4.5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f>311.9+11.6</f>
        <v>323.5</v>
      </c>
      <c r="C101" s="63"/>
      <c r="D101" s="63"/>
      <c r="E101" s="291"/>
      <c r="F101" s="291"/>
      <c r="G101" s="291"/>
      <c r="H101" s="291"/>
      <c r="I101" s="56">
        <f t="shared" si="3"/>
        <v>4.1799999999999953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v>341.3</v>
      </c>
      <c r="C102" s="63">
        <v>7</v>
      </c>
      <c r="D102" s="53">
        <v>341.3</v>
      </c>
      <c r="E102" s="57"/>
      <c r="F102" s="57"/>
      <c r="G102" s="57"/>
      <c r="H102" s="57"/>
      <c r="I102" s="56">
        <f t="shared" si="3"/>
        <v>3.5600000000000023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42</v>
      </c>
      <c r="C114" s="63"/>
      <c r="D114" s="63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62+8</f>
        <v>70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76+8+21</f>
        <v>105</v>
      </c>
      <c r="C116" s="63">
        <v>1</v>
      </c>
      <c r="D116" s="63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95+21</f>
        <v>116</v>
      </c>
      <c r="C117" s="63"/>
      <c r="D117" s="63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116+21+21</f>
        <v>158</v>
      </c>
      <c r="C118" s="63">
        <v>2</v>
      </c>
      <c r="D118" s="63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137+21</f>
        <v>158</v>
      </c>
      <c r="C119" s="63"/>
      <c r="D119" s="63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3">
        <f>157+21+21</f>
        <v>199</v>
      </c>
      <c r="C120" s="63">
        <v>3</v>
      </c>
      <c r="D120" s="63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3">
        <f>176+21</f>
        <v>197</v>
      </c>
      <c r="C121" s="63"/>
      <c r="D121" s="6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Charme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74/1.56</f>
        <v>47.435897435897431</v>
      </c>
      <c r="C140" s="63"/>
      <c r="D140" s="63"/>
      <c r="E140" s="54"/>
      <c r="F140" s="54"/>
      <c r="G140" s="54"/>
      <c r="H140" s="54"/>
      <c r="I140" s="60">
        <f>IFERROR(B140/A140,"")</f>
        <v>3.1623931623931623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(118+14)/1.56</f>
        <v>84.615384615384613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7.4358974358974361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(158+14+19)/1.56</f>
        <v>122.43589743589743</v>
      </c>
      <c r="C142" s="63">
        <v>1</v>
      </c>
      <c r="D142" s="63">
        <f>(14+19+23)/1.56</f>
        <v>35.897435897435898</v>
      </c>
      <c r="E142" s="54"/>
      <c r="F142" s="54"/>
      <c r="G142" s="54"/>
      <c r="H142" s="54">
        <v>1</v>
      </c>
      <c r="I142" s="60">
        <f t="shared" si="5"/>
        <v>7.5641025641025639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193/1.56</f>
        <v>123.71794871794872</v>
      </c>
      <c r="C143" s="63"/>
      <c r="D143" s="63"/>
      <c r="E143" s="54"/>
      <c r="F143" s="54"/>
      <c r="G143" s="54"/>
      <c r="H143" s="54"/>
      <c r="I143" s="60">
        <f t="shared" si="5"/>
        <v>7.4358974358974361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(224+25)/1.56</f>
        <v>159.61538461538461</v>
      </c>
      <c r="C144" s="63">
        <v>2</v>
      </c>
      <c r="D144" s="63">
        <f>(25+27)/1.56</f>
        <v>33.333333333333336</v>
      </c>
      <c r="E144" s="54"/>
      <c r="F144" s="54"/>
      <c r="G144" s="54"/>
      <c r="H144" s="54"/>
      <c r="I144" s="60">
        <f t="shared" si="5"/>
        <v>7.1794871794871797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250/1.56</f>
        <v>160.25641025641025</v>
      </c>
      <c r="C145" s="63"/>
      <c r="D145" s="63"/>
      <c r="E145" s="54"/>
      <c r="F145" s="54"/>
      <c r="G145" s="54"/>
      <c r="H145" s="54"/>
      <c r="I145" s="60">
        <f t="shared" si="5"/>
        <v>6.7948717948717956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(272+27)/1.56</f>
        <v>191.66666666666666</v>
      </c>
      <c r="C146" s="63">
        <v>3</v>
      </c>
      <c r="D146" s="63">
        <f>(27+27)/1.56</f>
        <v>34.615384615384613</v>
      </c>
      <c r="E146" s="54"/>
      <c r="F146" s="54"/>
      <c r="G146" s="54"/>
      <c r="H146" s="54"/>
      <c r="I146" s="60">
        <f t="shared" si="5"/>
        <v>6.2820512820512819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53">
        <v>187.17948717948718</v>
      </c>
      <c r="C147" s="53"/>
      <c r="D147" s="53"/>
      <c r="E147" s="54"/>
      <c r="F147" s="54"/>
      <c r="G147" s="54"/>
      <c r="H147" s="54"/>
      <c r="I147" s="60">
        <f>IF(A147&lt;&gt;0,(B147-(B146-D146))/(A147-A146),"")</f>
        <v>6.0256410256410273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53">
        <v>215.38461538461539</v>
      </c>
      <c r="C148" s="53">
        <v>4</v>
      </c>
      <c r="D148" s="53">
        <v>34.615384615384613</v>
      </c>
      <c r="E148" s="54"/>
      <c r="F148" s="54"/>
      <c r="G148" s="54"/>
      <c r="H148" s="54"/>
      <c r="I148" s="60">
        <f t="shared" si="5"/>
        <v>5.6410256410256405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53">
        <v>207.69230769230768</v>
      </c>
      <c r="C149" s="53"/>
      <c r="D149" s="53"/>
      <c r="E149" s="54"/>
      <c r="F149" s="54"/>
      <c r="G149" s="54"/>
      <c r="H149" s="54"/>
      <c r="I149" s="60">
        <f t="shared" si="5"/>
        <v>5.3846153846153815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53">
        <v>232.69230769230768</v>
      </c>
      <c r="C150" s="53">
        <v>5</v>
      </c>
      <c r="D150" s="53">
        <v>32.692307692307693</v>
      </c>
      <c r="E150" s="54"/>
      <c r="F150" s="54"/>
      <c r="G150" s="54"/>
      <c r="H150" s="54"/>
      <c r="I150" s="60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53">
        <v>223.7179487179487</v>
      </c>
      <c r="C151" s="53"/>
      <c r="D151" s="53"/>
      <c r="E151" s="54"/>
      <c r="F151" s="54"/>
      <c r="G151" s="54"/>
      <c r="H151" s="54"/>
      <c r="I151" s="60">
        <f t="shared" si="5"/>
        <v>4.7435897435897401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53">
        <v>246.15384615384613</v>
      </c>
      <c r="C152" s="53">
        <v>6</v>
      </c>
      <c r="D152" s="53">
        <v>30.769230769230766</v>
      </c>
      <c r="E152" s="54"/>
      <c r="F152" s="54"/>
      <c r="G152" s="54"/>
      <c r="H152" s="54"/>
      <c r="I152" s="60">
        <f t="shared" si="5"/>
        <v>4.4871794871794863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53">
        <v>237.17948717948718</v>
      </c>
      <c r="C153" s="53"/>
      <c r="D153" s="53"/>
      <c r="E153" s="54"/>
      <c r="F153" s="54"/>
      <c r="G153" s="54"/>
      <c r="H153" s="54"/>
      <c r="I153" s="60">
        <f t="shared" si="5"/>
        <v>4.3589743589743648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85</v>
      </c>
      <c r="B154" s="53">
        <v>258.33333333333331</v>
      </c>
      <c r="C154" s="53">
        <v>7</v>
      </c>
      <c r="D154" s="53">
        <v>28.846153846153847</v>
      </c>
      <c r="E154" s="54"/>
      <c r="F154" s="54"/>
      <c r="G154" s="54"/>
      <c r="H154" s="54"/>
      <c r="I154" s="60">
        <f t="shared" si="5"/>
        <v>4.2307692307692264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90</v>
      </c>
      <c r="B155" s="53">
        <v>248.7179487179487</v>
      </c>
      <c r="C155" s="53"/>
      <c r="D155" s="53"/>
      <c r="E155" s="54"/>
      <c r="F155" s="54"/>
      <c r="G155" s="54"/>
      <c r="H155" s="54"/>
      <c r="I155" s="60">
        <f t="shared" si="5"/>
        <v>3.8461538461538454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95</v>
      </c>
      <c r="B156" s="53">
        <v>267.94871794871796</v>
      </c>
      <c r="C156" s="53">
        <v>8</v>
      </c>
      <c r="D156" s="53">
        <v>27.564102564102562</v>
      </c>
      <c r="E156" s="54"/>
      <c r="F156" s="54"/>
      <c r="G156" s="54"/>
      <c r="H156" s="54"/>
      <c r="I156" s="60">
        <f t="shared" si="5"/>
        <v>3.8461538461538511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100</v>
      </c>
      <c r="B157" s="53">
        <v>258.33333333333331</v>
      </c>
      <c r="C157" s="53"/>
      <c r="D157" s="53"/>
      <c r="E157" s="54"/>
      <c r="F157" s="54"/>
      <c r="G157" s="54"/>
      <c r="H157" s="54"/>
      <c r="I157" s="60">
        <f t="shared" si="5"/>
        <v>3.5897435897435854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110</v>
      </c>
      <c r="B158" s="53">
        <v>292.30769230769232</v>
      </c>
      <c r="C158" s="53">
        <v>9</v>
      </c>
      <c r="D158" s="53">
        <v>37.820512820512818</v>
      </c>
      <c r="E158" s="54"/>
      <c r="F158" s="54"/>
      <c r="G158" s="54"/>
      <c r="H158" s="54"/>
      <c r="I158" s="60">
        <f t="shared" si="5"/>
        <v>3.3974358974359005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120</v>
      </c>
      <c r="B159" s="53">
        <v>285.89743589743591</v>
      </c>
      <c r="C159" s="53">
        <v>10</v>
      </c>
      <c r="D159" s="53">
        <v>285.89743589743591</v>
      </c>
      <c r="E159" s="54"/>
      <c r="F159" s="54"/>
      <c r="G159" s="54"/>
      <c r="H159" s="54"/>
      <c r="I159" s="60">
        <f t="shared" si="5"/>
        <v>3.141025641025641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Merisier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v>40</v>
      </c>
      <c r="C166" s="53"/>
      <c r="D166" s="63"/>
      <c r="E166" s="54"/>
      <c r="F166" s="54"/>
      <c r="G166" s="54"/>
      <c r="H166" s="54"/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f>85+3</f>
        <v>88</v>
      </c>
      <c r="C167" s="53">
        <v>1</v>
      </c>
      <c r="D167" s="63">
        <f>3+25</f>
        <v>28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v>113</v>
      </c>
      <c r="C168" s="53">
        <v>2</v>
      </c>
      <c r="D168" s="63">
        <v>27</v>
      </c>
      <c r="E168" s="54"/>
      <c r="F168" s="54"/>
      <c r="G168" s="54"/>
      <c r="H168" s="54">
        <v>1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31</v>
      </c>
      <c r="B169" s="63">
        <v>155</v>
      </c>
      <c r="C169" s="53">
        <v>3</v>
      </c>
      <c r="D169" s="63">
        <v>36</v>
      </c>
      <c r="E169" s="54"/>
      <c r="F169" s="54"/>
      <c r="G169" s="54"/>
      <c r="H169" s="54"/>
      <c r="I169" s="52">
        <f t="shared" si="6"/>
        <v>11.5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37</v>
      </c>
      <c r="B170" s="63">
        <v>188</v>
      </c>
      <c r="C170" s="53">
        <v>4</v>
      </c>
      <c r="D170" s="63">
        <v>36</v>
      </c>
      <c r="E170" s="54"/>
      <c r="F170" s="54"/>
      <c r="G170" s="54"/>
      <c r="H170" s="54"/>
      <c r="I170" s="52">
        <f t="shared" si="6"/>
        <v>11.5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44</v>
      </c>
      <c r="B171" s="63">
        <v>230</v>
      </c>
      <c r="C171" s="53">
        <v>5</v>
      </c>
      <c r="D171" s="63">
        <v>43</v>
      </c>
      <c r="E171" s="54"/>
      <c r="F171" s="54"/>
      <c r="G171" s="54"/>
      <c r="H171" s="54"/>
      <c r="I171" s="52">
        <f t="shared" si="6"/>
        <v>11.142857142857142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52</v>
      </c>
      <c r="B172" s="63">
        <v>270</v>
      </c>
      <c r="C172" s="53">
        <v>6</v>
      </c>
      <c r="D172" s="63">
        <v>48</v>
      </c>
      <c r="E172" s="54"/>
      <c r="F172" s="54"/>
      <c r="G172" s="54"/>
      <c r="H172" s="54"/>
      <c r="I172" s="52">
        <f t="shared" si="6"/>
        <v>10.375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63">
        <v>297</v>
      </c>
      <c r="C173" s="53">
        <v>7</v>
      </c>
      <c r="D173" s="63">
        <v>47</v>
      </c>
      <c r="E173" s="54"/>
      <c r="F173" s="54"/>
      <c r="G173" s="54"/>
      <c r="H173" s="54"/>
      <c r="I173" s="52">
        <f t="shared" si="6"/>
        <v>9.375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69</v>
      </c>
      <c r="B174" s="63">
        <v>328</v>
      </c>
      <c r="C174" s="53">
        <v>8</v>
      </c>
      <c r="D174" s="63">
        <f>B174</f>
        <v>328</v>
      </c>
      <c r="E174" s="54"/>
      <c r="F174" s="54"/>
      <c r="G174" s="54"/>
      <c r="H174" s="54"/>
      <c r="I174" s="52">
        <f t="shared" si="6"/>
        <v>8.6666666666666661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63"/>
      <c r="C175" s="53"/>
      <c r="D175" s="6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63"/>
      <c r="C176" s="53"/>
      <c r="D176" s="6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63"/>
      <c r="C177" s="53"/>
      <c r="D177" s="6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63"/>
      <c r="C178" s="53"/>
      <c r="D178" s="63"/>
      <c r="E178" s="57"/>
      <c r="F178" s="57"/>
      <c r="G178" s="57"/>
      <c r="H178" s="57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63"/>
      <c r="C179" s="5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8"/>
      <c r="B180" s="59"/>
      <c r="C180" s="53"/>
      <c r="D180" s="5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8"/>
      <c r="B181" s="59"/>
      <c r="C181" s="5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8"/>
      <c r="B182" s="59"/>
      <c r="C182" s="53"/>
      <c r="D182" s="61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Erable champêtre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v>9</v>
      </c>
      <c r="C192" s="53"/>
      <c r="D192" s="63"/>
      <c r="E192" s="66"/>
      <c r="F192" s="66"/>
      <c r="G192" s="66"/>
      <c r="H192" s="66"/>
      <c r="I192" s="52">
        <f>IFERROR(B192/A192,"")</f>
        <v>0.6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v>57</v>
      </c>
      <c r="C193" s="53"/>
      <c r="D193" s="63"/>
      <c r="E193" s="66"/>
      <c r="F193" s="66"/>
      <c r="G193" s="66"/>
      <c r="H193" s="66"/>
      <c r="I193" s="52">
        <f t="shared" ref="I193:I211" si="7">IF(A193&lt;&gt;0,(B193-(B192-D192))/(A193-A192),"")</f>
        <v>9.6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f>86+21</f>
        <v>107</v>
      </c>
      <c r="C194" s="53">
        <v>1</v>
      </c>
      <c r="D194" s="63">
        <f>21+21</f>
        <v>42</v>
      </c>
      <c r="E194" s="66"/>
      <c r="F194" s="66"/>
      <c r="G194" s="66"/>
      <c r="H194" s="66">
        <v>1</v>
      </c>
      <c r="I194" s="52">
        <f t="shared" si="7"/>
        <v>10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8">
        <v>30</v>
      </c>
      <c r="B195" s="58">
        <v>114</v>
      </c>
      <c r="C195" s="58"/>
      <c r="D195" s="58"/>
      <c r="E195" s="66"/>
      <c r="F195" s="66"/>
      <c r="G195" s="66"/>
      <c r="H195" s="66"/>
      <c r="I195" s="52">
        <f t="shared" si="7"/>
        <v>9.8000000000000007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8">
        <v>35</v>
      </c>
      <c r="B196" s="58">
        <v>157</v>
      </c>
      <c r="C196" s="58">
        <v>2</v>
      </c>
      <c r="D196" s="58">
        <v>42</v>
      </c>
      <c r="E196" s="66"/>
      <c r="F196" s="66"/>
      <c r="G196" s="66"/>
      <c r="H196" s="66"/>
      <c r="I196" s="52">
        <f t="shared" si="7"/>
        <v>8.6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8">
        <v>40</v>
      </c>
      <c r="B197" s="58">
        <v>153</v>
      </c>
      <c r="C197" s="58"/>
      <c r="D197" s="58"/>
      <c r="E197" s="66"/>
      <c r="F197" s="66"/>
      <c r="G197" s="66"/>
      <c r="H197" s="66"/>
      <c r="I197" s="52">
        <f t="shared" si="7"/>
        <v>7.6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8">
        <v>45</v>
      </c>
      <c r="B198" s="58">
        <v>186</v>
      </c>
      <c r="C198" s="58">
        <v>3</v>
      </c>
      <c r="D198" s="58">
        <v>39</v>
      </c>
      <c r="E198" s="66"/>
      <c r="F198" s="66"/>
      <c r="G198" s="66"/>
      <c r="H198" s="66"/>
      <c r="I198" s="52">
        <f t="shared" si="7"/>
        <v>6.6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8">
        <v>50</v>
      </c>
      <c r="B199" s="58">
        <v>174</v>
      </c>
      <c r="C199" s="58"/>
      <c r="D199" s="58"/>
      <c r="E199" s="66"/>
      <c r="F199" s="66"/>
      <c r="G199" s="66"/>
      <c r="H199" s="66"/>
      <c r="I199" s="52">
        <f t="shared" si="7"/>
        <v>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8">
        <v>55</v>
      </c>
      <c r="B200" s="58">
        <v>198</v>
      </c>
      <c r="C200" s="58">
        <v>4</v>
      </c>
      <c r="D200" s="58">
        <v>24</v>
      </c>
      <c r="E200" s="66"/>
      <c r="F200" s="66"/>
      <c r="G200" s="66"/>
      <c r="H200" s="66"/>
      <c r="I200" s="52">
        <f t="shared" si="7"/>
        <v>4.8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8">
        <v>60</v>
      </c>
      <c r="B201" s="58">
        <v>195</v>
      </c>
      <c r="C201" s="58"/>
      <c r="D201" s="58"/>
      <c r="E201" s="66"/>
      <c r="F201" s="66"/>
      <c r="G201" s="66"/>
      <c r="H201" s="66"/>
      <c r="I201" s="52">
        <f t="shared" si="7"/>
        <v>4.2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8">
        <v>65</v>
      </c>
      <c r="B202" s="58">
        <v>211</v>
      </c>
      <c r="C202" s="58">
        <v>5</v>
      </c>
      <c r="D202" s="58">
        <v>17</v>
      </c>
      <c r="E202" s="66"/>
      <c r="F202" s="66"/>
      <c r="G202" s="66"/>
      <c r="H202" s="66"/>
      <c r="I202" s="52">
        <f t="shared" si="7"/>
        <v>3.2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>
        <v>70</v>
      </c>
      <c r="B203" s="58">
        <v>209</v>
      </c>
      <c r="C203" s="58"/>
      <c r="D203" s="58"/>
      <c r="E203" s="66"/>
      <c r="F203" s="66"/>
      <c r="G203" s="66"/>
      <c r="H203" s="66"/>
      <c r="I203" s="52">
        <f t="shared" si="7"/>
        <v>3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>
        <v>75</v>
      </c>
      <c r="B204" s="58">
        <v>222</v>
      </c>
      <c r="C204" s="58"/>
      <c r="D204" s="58"/>
      <c r="E204" s="67"/>
      <c r="F204" s="67"/>
      <c r="G204" s="67"/>
      <c r="H204" s="67"/>
      <c r="I204" s="52">
        <f t="shared" si="7"/>
        <v>2.6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2">
        <v>80</v>
      </c>
      <c r="B205" s="63">
        <f>219+8+7</f>
        <v>234</v>
      </c>
      <c r="C205" s="92">
        <v>6</v>
      </c>
      <c r="D205" s="63">
        <f>B205</f>
        <v>234</v>
      </c>
      <c r="E205" s="57"/>
      <c r="F205" s="57"/>
      <c r="G205" s="57"/>
      <c r="H205" s="57"/>
      <c r="I205" s="52">
        <f t="shared" si="7"/>
        <v>2.4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Tilleul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3">
        <f>51/1.56</f>
        <v>32.692307692307693</v>
      </c>
      <c r="C218" s="63"/>
      <c r="D218" s="63"/>
      <c r="E218" s="54"/>
      <c r="F218" s="54"/>
      <c r="G218" s="54"/>
      <c r="H218" s="54"/>
      <c r="I218" s="56">
        <f>IFERROR(B218/A218,"")</f>
        <v>3.2692307692307692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15</v>
      </c>
      <c r="B219" s="63">
        <f>(110+12)/1.56</f>
        <v>78.205128205128204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9.1025641025641022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20</v>
      </c>
      <c r="B220" s="63">
        <f>(166+12+22)/1.56</f>
        <v>128.2051282051282</v>
      </c>
      <c r="C220" s="63">
        <v>1</v>
      </c>
      <c r="D220" s="63">
        <f>(12+22+27)/1.56</f>
        <v>39.102564102564102</v>
      </c>
      <c r="E220" s="54"/>
      <c r="F220" s="54"/>
      <c r="G220" s="54"/>
      <c r="H220" s="54">
        <v>1</v>
      </c>
      <c r="I220" s="56">
        <f t="shared" si="8"/>
        <v>10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25</v>
      </c>
      <c r="B221" s="63">
        <f>215/1.56</f>
        <v>137.82051282051282</v>
      </c>
      <c r="C221" s="63"/>
      <c r="D221" s="63"/>
      <c r="E221" s="54"/>
      <c r="F221" s="54"/>
      <c r="G221" s="54"/>
      <c r="H221" s="54"/>
      <c r="I221" s="56">
        <f t="shared" si="8"/>
        <v>9.7435897435897427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30</v>
      </c>
      <c r="B222" s="63">
        <f>(257+30)/1.56</f>
        <v>183.97435897435898</v>
      </c>
      <c r="C222" s="63">
        <v>2</v>
      </c>
      <c r="D222" s="63">
        <f>(30+31)/1.56</f>
        <v>39.102564102564102</v>
      </c>
      <c r="E222" s="54"/>
      <c r="F222" s="54"/>
      <c r="G222" s="54"/>
      <c r="H222" s="54">
        <v>1</v>
      </c>
      <c r="I222" s="56">
        <f t="shared" si="8"/>
        <v>9.2307692307692317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35</v>
      </c>
      <c r="B223" s="63">
        <f>294/1.56</f>
        <v>188.46153846153845</v>
      </c>
      <c r="C223" s="63"/>
      <c r="D223" s="63"/>
      <c r="E223" s="54"/>
      <c r="F223" s="54"/>
      <c r="G223" s="54"/>
      <c r="H223" s="54"/>
      <c r="I223" s="56">
        <f t="shared" si="8"/>
        <v>8.717948717948719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40</v>
      </c>
      <c r="B224" s="63">
        <f>(325+31)/1.56</f>
        <v>228.2051282051282</v>
      </c>
      <c r="C224" s="63">
        <v>3</v>
      </c>
      <c r="D224" s="63">
        <f>(31+31)/1.56</f>
        <v>39.743589743589745</v>
      </c>
      <c r="E224" s="54"/>
      <c r="F224" s="54"/>
      <c r="G224" s="54"/>
      <c r="H224" s="54"/>
      <c r="I224" s="56">
        <f t="shared" si="8"/>
        <v>7.9487179487179507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45</v>
      </c>
      <c r="B225" s="53">
        <v>226.28205128205127</v>
      </c>
      <c r="C225" s="53"/>
      <c r="D225" s="53"/>
      <c r="E225" s="54"/>
      <c r="F225" s="54"/>
      <c r="G225" s="54"/>
      <c r="H225" s="54"/>
      <c r="I225" s="56">
        <f t="shared" si="8"/>
        <v>7.5641025641025639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50</v>
      </c>
      <c r="B226" s="53">
        <v>261.53846153846155</v>
      </c>
      <c r="C226" s="53">
        <v>4</v>
      </c>
      <c r="D226" s="53">
        <v>36.53846153846154</v>
      </c>
      <c r="E226" s="54"/>
      <c r="F226" s="54"/>
      <c r="G226" s="54"/>
      <c r="H226" s="54"/>
      <c r="I226" s="56">
        <f t="shared" si="8"/>
        <v>7.0512820512820555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55</v>
      </c>
      <c r="B227" s="58">
        <v>258.33333333333331</v>
      </c>
      <c r="C227" s="58"/>
      <c r="D227" s="58"/>
      <c r="E227" s="66"/>
      <c r="F227" s="66"/>
      <c r="G227" s="66"/>
      <c r="H227" s="66"/>
      <c r="I227" s="56">
        <f t="shared" si="8"/>
        <v>6.6666666666666625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60</v>
      </c>
      <c r="B228" s="58">
        <v>289.10256410256409</v>
      </c>
      <c r="C228" s="58">
        <v>5</v>
      </c>
      <c r="D228" s="58">
        <v>35.256410256410255</v>
      </c>
      <c r="E228" s="66"/>
      <c r="F228" s="66"/>
      <c r="G228" s="66"/>
      <c r="H228" s="66"/>
      <c r="I228" s="56">
        <f t="shared" si="8"/>
        <v>6.1538461538461551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65</v>
      </c>
      <c r="B229" s="58">
        <v>282.69230769230768</v>
      </c>
      <c r="C229" s="58"/>
      <c r="D229" s="58"/>
      <c r="E229" s="66"/>
      <c r="F229" s="66"/>
      <c r="G229" s="66"/>
      <c r="H229" s="66"/>
      <c r="I229" s="56">
        <f t="shared" si="8"/>
        <v>5.7692307692307683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70</v>
      </c>
      <c r="B230" s="58">
        <v>308.97435897435895</v>
      </c>
      <c r="C230" s="58">
        <v>6</v>
      </c>
      <c r="D230" s="58">
        <v>31.410256410256409</v>
      </c>
      <c r="E230" s="67"/>
      <c r="F230" s="67"/>
      <c r="G230" s="67"/>
      <c r="H230" s="67"/>
      <c r="I230" s="56">
        <f t="shared" si="8"/>
        <v>5.2564102564102537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>
        <v>75</v>
      </c>
      <c r="B231" s="63">
        <f>473/1.56</f>
        <v>303.20512820512818</v>
      </c>
      <c r="C231" s="92"/>
      <c r="D231" s="63"/>
      <c r="E231" s="57"/>
      <c r="F231" s="57"/>
      <c r="G231" s="57"/>
      <c r="H231" s="57"/>
      <c r="I231" s="56">
        <f t="shared" si="8"/>
        <v>5.1282051282051269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80</v>
      </c>
      <c r="B232" s="53">
        <v>326.92307692307691</v>
      </c>
      <c r="C232" s="53">
        <v>7</v>
      </c>
      <c r="D232" s="53">
        <v>28.846153846153847</v>
      </c>
      <c r="E232" s="57"/>
      <c r="F232" s="57"/>
      <c r="G232" s="57"/>
      <c r="H232" s="57"/>
      <c r="I232" s="56">
        <f t="shared" si="8"/>
        <v>4.7435897435897463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85</v>
      </c>
      <c r="B233" s="53">
        <v>320.5128205128205</v>
      </c>
      <c r="C233" s="53"/>
      <c r="D233" s="53"/>
      <c r="E233" s="57"/>
      <c r="F233" s="57"/>
      <c r="G233" s="57"/>
      <c r="H233" s="57"/>
      <c r="I233" s="56">
        <f t="shared" si="8"/>
        <v>4.4871794871794917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90</v>
      </c>
      <c r="B234" s="53">
        <v>342.30769230769232</v>
      </c>
      <c r="C234" s="53">
        <v>8</v>
      </c>
      <c r="D234" s="53">
        <v>27.564102564102562</v>
      </c>
      <c r="E234" s="57"/>
      <c r="F234" s="57"/>
      <c r="G234" s="57"/>
      <c r="H234" s="57"/>
      <c r="I234" s="56">
        <f t="shared" si="8"/>
        <v>4.3589743589743648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95</v>
      </c>
      <c r="B235" s="53">
        <v>335.25641025641022</v>
      </c>
      <c r="C235" s="53"/>
      <c r="D235" s="53"/>
      <c r="E235" s="57"/>
      <c r="F235" s="57"/>
      <c r="G235" s="57"/>
      <c r="H235" s="57"/>
      <c r="I235" s="56">
        <f t="shared" si="8"/>
        <v>4.102564102564088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100</v>
      </c>
      <c r="B236" s="53">
        <v>355.12820512820514</v>
      </c>
      <c r="C236" s="53">
        <v>9</v>
      </c>
      <c r="D236" s="53">
        <v>25</v>
      </c>
      <c r="E236" s="57"/>
      <c r="F236" s="57"/>
      <c r="G236" s="57"/>
      <c r="H236" s="57"/>
      <c r="I236" s="56">
        <f t="shared" si="8"/>
        <v>3.9743589743589838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110</v>
      </c>
      <c r="B237" s="53">
        <v>366.66666666666663</v>
      </c>
      <c r="C237" s="53">
        <v>10</v>
      </c>
      <c r="D237" s="53">
        <v>366.66666666666663</v>
      </c>
      <c r="E237" s="57"/>
      <c r="F237" s="57"/>
      <c r="G237" s="57"/>
      <c r="H237" s="57"/>
      <c r="I237" s="56">
        <f t="shared" si="8"/>
        <v>3.6538461538461489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1"/>
      <c r="B251" s="63"/>
      <c r="C251" s="63"/>
      <c r="D251" s="63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1"/>
      <c r="B252" s="63"/>
      <c r="C252" s="63"/>
      <c r="D252" s="63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1"/>
      <c r="B253" s="63"/>
      <c r="C253" s="63"/>
      <c r="D253" s="63"/>
      <c r="E253" s="54"/>
      <c r="F253" s="54"/>
      <c r="G253" s="54"/>
      <c r="H253" s="5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1"/>
      <c r="B254" s="63"/>
      <c r="C254" s="63"/>
      <c r="D254" s="63"/>
      <c r="E254" s="54"/>
      <c r="F254" s="54"/>
      <c r="G254" s="54"/>
      <c r="H254" s="5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281"/>
      <c r="B255" s="63"/>
      <c r="C255" s="63"/>
      <c r="D255" s="63"/>
      <c r="E255" s="54"/>
      <c r="F255" s="54"/>
      <c r="G255" s="54"/>
      <c r="H255" s="5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281"/>
      <c r="B256" s="63"/>
      <c r="C256" s="63"/>
      <c r="D256" s="63"/>
      <c r="E256" s="54"/>
      <c r="F256" s="54"/>
      <c r="G256" s="54"/>
      <c r="H256" s="54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281"/>
      <c r="B257" s="63"/>
      <c r="C257" s="63"/>
      <c r="D257" s="63"/>
      <c r="E257" s="54"/>
      <c r="F257" s="54"/>
      <c r="G257" s="54"/>
      <c r="H257" s="54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281"/>
      <c r="B258" s="53"/>
      <c r="C258" s="53"/>
      <c r="D258" s="53"/>
      <c r="E258" s="54"/>
      <c r="F258" s="54"/>
      <c r="G258" s="54"/>
      <c r="H258" s="54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281"/>
      <c r="B259" s="53"/>
      <c r="C259" s="53"/>
      <c r="D259" s="53"/>
      <c r="E259" s="54"/>
      <c r="F259" s="54"/>
      <c r="G259" s="54"/>
      <c r="H259" s="54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281"/>
      <c r="B260" s="53"/>
      <c r="C260" s="53"/>
      <c r="D260" s="53"/>
      <c r="E260" s="54"/>
      <c r="F260" s="54"/>
      <c r="G260" s="54"/>
      <c r="H260" s="54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281"/>
      <c r="B261" s="53"/>
      <c r="C261" s="53"/>
      <c r="D261" s="53"/>
      <c r="E261" s="54"/>
      <c r="F261" s="54"/>
      <c r="G261" s="54"/>
      <c r="H261" s="54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281"/>
      <c r="B262" s="53"/>
      <c r="C262" s="53"/>
      <c r="D262" s="53"/>
      <c r="E262" s="54"/>
      <c r="F262" s="54"/>
      <c r="G262" s="54"/>
      <c r="H262" s="54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281"/>
      <c r="B263" s="53"/>
      <c r="C263" s="53"/>
      <c r="D263" s="53"/>
      <c r="E263" s="54"/>
      <c r="F263" s="54"/>
      <c r="G263" s="54"/>
      <c r="H263" s="54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Hêtre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Erable sycomore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plane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Alisier torminal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Charme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Merisier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Erable champêtre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Tilleul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9">
        <f>(B3+E3+F3)*44/12+(C3+D3)*0.475*44/12</f>
        <v>183.33333333333334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478.11504516179713</v>
      </c>
      <c r="T3" s="62">
        <f>IF('Données projet'!E9&gt;30,$R$33-$H$33,LOOKUP('Données projet'!$E$9,$A$3:$A$203,R3:R203)-LOOKUP('Données projet'!$E$9,$A$3:$A$203,$H$3:$H$203))</f>
        <v>249.93713224442419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394.49874384716014</v>
      </c>
      <c r="AO3" s="62">
        <f>IF('Données projet'!E10&gt;30,$AM$33-$H$33,LOOKUP('Données projet'!$E$10,$A$3:$A$203,AM3:AM203)-LOOKUP('Données projet'!$E$10,$A$3:$A$203,$H$3:$H$203))</f>
        <v>423.72519584013378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394.49874384716014</v>
      </c>
      <c r="BJ3" s="62">
        <f>IF('Données projet'!E11&gt;30,$BH$33-$H$33,LOOKUP('Données projet'!$E$11,$A$3:$A$203,BH3:BH203)-LOOKUP('Données projet'!$E$11,$A$3:$A$203,$H$3:$H$203))</f>
        <v>423.72519584013378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496.33873798282525</v>
      </c>
      <c r="CE3" s="62">
        <f>IF('Données projet'!E12&gt;30,$CC$33-$H$33,LOOKUP('Données projet'!$E$12,$A$3:$A$203,CC3:CC203)-LOOKUP('Données projet'!$E$12,$A$3:$A$203,$H$3:$H$203))</f>
        <v>280.25465074992246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441.15969139782891</v>
      </c>
      <c r="CZ3" s="62">
        <f>IF('Données projet'!E13&gt;30,$CX$33-$H$33,LOOKUP('Données projet'!$E$13,$A$3:$A$203,CX3:CX203)-LOOKUP('Données projet'!$E$13,$A$3:$A$203,$H$3:$H$203))</f>
        <v>315.06466790224783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309.21625451786218</v>
      </c>
      <c r="DU3" s="62">
        <f>IF('Données projet'!E14&gt;30,$DS$33-$H$33,LOOKUP('Données projet'!$E$14,$A$3:$A$203,DS3:DS203)-LOOKUP('Données projet'!$E$14,$A$3:$A$203,$H$3:$H$203))</f>
        <v>302.59481222418219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298.56812743477741</v>
      </c>
      <c r="EP3" s="62">
        <f>IF('Données projet'!E15&gt;30,$EN$33-$H$33,LOOKUP('Données projet'!$E$15,$A$3:$A$203,EN3:EN203)-LOOKUP('Données projet'!$E$15,$A$3:$A$203,$H$3:$H$203))</f>
        <v>276.01618888357268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396.0878652679051</v>
      </c>
      <c r="FK3" s="62">
        <f>IF('Données projet'!E16&gt;30,$FI$33-$H$33,LOOKUP('Données projet'!$E$16,$A$3:$A$203,FI3:FI203)-LOOKUP('Données projet'!$E$16,$A$3:$A$203,$H$3:$H$203))</f>
        <v>327.26339199235406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9">
        <f t="shared" ref="H4:H67" si="1">(B4+E4+F4)*44/12+(C4+D4)*0.475*44/12</f>
        <v>183.33333333333334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2.8518518518518516</v>
      </c>
      <c r="N4" s="14">
        <f>IF('Données projet'!$A$36&gt;35,N3+M4-V3,IF(A4&lt;'Données projet'!$A$36,$K$205^A4,IF(A4='Données projet'!$A$36,'Données projet'!$B$36,N3+M4-V3)))</f>
        <v>1.1745459910013509</v>
      </c>
      <c r="O4" s="14">
        <f>N4*VLOOKUP('Données projet'!$B$9,Paramètres!$A$1:$I$89,3,0)*VLOOKUP('Données projet'!$B$9,Paramètres!$A$1:$I$89,5,0)</f>
        <v>1.0077604602791592</v>
      </c>
      <c r="P4" s="14">
        <f>EXP(-1.0587+0.8836*LN(O4)+0.284)</f>
        <v>0.46400064914900446</v>
      </c>
      <c r="Q4" s="22">
        <f t="shared" ref="Q4:Q34" si="2">(O4+P4)*0.475*44/12</f>
        <v>2.563317265587385</v>
      </c>
      <c r="R4" s="62">
        <f t="shared" si="0"/>
        <v>170.37575121851123</v>
      </c>
      <c r="S4" s="62">
        <f ca="1">AVERAGE(OFFSET($R$3,0,0,'Données projet'!$E$9+1,1))-AVERAGE(OFFSET($H$3,0,0,'Données projet'!$E$9+1,1))</f>
        <v>478.11504516179713</v>
      </c>
      <c r="T4" s="62">
        <f>$T$3</f>
        <v>249.93713224442419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1.1099999999999999</v>
      </c>
      <c r="AI4" s="14">
        <f>IF('Données projet'!$A$62&gt;35,AI3+AH4-AQ3,IF(A4&lt;'Données projet'!$A$62,$AF$205^A4,IF(A4='Données projet'!$A$62,'Données projet'!$B$62,AI3+AH4-AQ3)))</f>
        <v>1.2721323532877689</v>
      </c>
      <c r="AJ4" s="14">
        <f>AI4*VLOOKUP('Données projet'!$B$10,Paramètres!$A$1:$I$89,3,0)*VLOOKUP('Données projet'!$B$10,Paramètres!$A$1:$I$89,5,0)</f>
        <v>1.0121085002757488</v>
      </c>
      <c r="AK4" s="14">
        <f>EXP(-1.0587+0.8836*LN(AJ4)+0.284)</f>
        <v>0.46576913511432322</v>
      </c>
      <c r="AL4" s="22">
        <f t="shared" ref="AL4:AL67" si="4">(AJ4+AK4)*0.475*44/12</f>
        <v>2.5739702149710419</v>
      </c>
      <c r="AM4" s="62">
        <f t="shared" ref="AM4:AM67" si="5">AL4+(AD4+AE4)*44/12</f>
        <v>170.38640416789488</v>
      </c>
      <c r="AN4" s="62">
        <f ca="1">AVERAGE(OFFSET($AM$3,0,0,'Données projet'!$E$10+1,1))-AVERAGE(OFFSET($H$3,0,0,'Données projet'!$E$10+1,1))</f>
        <v>394.49874384716014</v>
      </c>
      <c r="AO4" s="62">
        <f>$AO$3</f>
        <v>423.72519584013378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1.1099999999999999</v>
      </c>
      <c r="BD4" s="13">
        <f>IF('Données projet'!$A$88&gt;35,BD3+BC4-BL3,IF(A4&lt;'Données projet'!$A$88,$BA$205^A4,IF(A4='Données projet'!$A$88,'Données projet'!$B$88,BD3+BC4-BL3)))</f>
        <v>1.2721323532877689</v>
      </c>
      <c r="BE4" s="14">
        <f>BD4*VLOOKUP('Données projet'!$B$11,Paramètres!$A$1:$I$89,3,0)*VLOOKUP('Données projet'!$B$11,Paramètres!$A$1:$I$89,5,0)</f>
        <v>1.0121085002757488</v>
      </c>
      <c r="BF4" s="14">
        <f>EXP(-1.0587+0.8836*LN(BE4)+0.284)</f>
        <v>0.46576913511432322</v>
      </c>
      <c r="BG4" s="22">
        <f t="shared" ref="BG4:BG67" si="7">(BE4+BF4)*0.475*44/12</f>
        <v>2.5739702149710419</v>
      </c>
      <c r="BH4" s="62">
        <f t="shared" ref="BH4:BH67" si="8">BG4+(AY4+AZ4)*44/12</f>
        <v>170.38640416789488</v>
      </c>
      <c r="BI4" s="62">
        <f ca="1">AVERAGE(OFFSET($BH$3,0,0,'Données projet'!$E$11+1,1))-AVERAGE(OFFSET($H$3,0,0,'Données projet'!$E$11+1,1))</f>
        <v>394.49874384716014</v>
      </c>
      <c r="BJ4" s="62">
        <f>$BJ$3</f>
        <v>423.72519584013378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1.165946847124371</v>
      </c>
      <c r="CA4" s="14">
        <f>EXP(-1.0587+0.8836*LN(BZ4)+0.284)</f>
        <v>0.52780002987456354</v>
      </c>
      <c r="CB4" s="22">
        <f t="shared" ref="CB4:CB67" si="10">(BZ4+CA4)*0.475*44/12</f>
        <v>2.9499424774398109</v>
      </c>
      <c r="CC4" s="62">
        <f t="shared" ref="CC4:CC67" si="11">CB4+(BT4+BU4)*44/12</f>
        <v>170.76237643036364</v>
      </c>
      <c r="CD4" s="62">
        <f ca="1">AVERAGE(OFFSET($CC$3,0,0,'Données projet'!$E$12+1,1))-AVERAGE(OFFSET($H$3,0,0,'Données projet'!$E$12+1,1))</f>
        <v>496.33873798282525</v>
      </c>
      <c r="CE4" s="62">
        <f>$CE$3</f>
        <v>280.25465074992246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3.1623931623931623</v>
      </c>
      <c r="CT4" s="13">
        <f>IF('Données projet'!$A$140&gt;35,CT3+CS4-DB3,IF(A4&lt;'Données projet'!$A$140,$CQ$205^A4,IF(A4='Données projet'!$A$140,'Données projet'!$B$140,CT3+CS4-DB3)))</f>
        <v>1.2934226882877784</v>
      </c>
      <c r="CU4" s="18">
        <f>CT4*VLOOKUP('Données projet'!$B$13,Paramètres!$A$1:$I$89,3,0)*VLOOKUP('Données projet'!$B$13,Paramètres!$A$1:$I$89,5,0)</f>
        <v>1.2308210301746498</v>
      </c>
      <c r="CV4" s="14">
        <f>EXP(-1.0587+0.8836*LN(CU4)+0.284)</f>
        <v>0.55366654932289705</v>
      </c>
      <c r="CW4" s="22">
        <f t="shared" ref="CW4:CW67" si="13">(CU4+CV4)*0.475*44/12</f>
        <v>3.1079825342915606</v>
      </c>
      <c r="CX4" s="62">
        <f t="shared" ref="CX4:CX67" si="14">CW4+(CO4+CP4)*44/12</f>
        <v>170.92041648721539</v>
      </c>
      <c r="CY4" s="62">
        <f ca="1">AVERAGE(OFFSET($CX$3,0,0,'Données projet'!$E$13+1,1))-AVERAGE(OFFSET($H$3,0,0,'Données projet'!$E$13+1,1))</f>
        <v>441.15969139782891</v>
      </c>
      <c r="CZ4" s="62">
        <f>$CZ$3</f>
        <v>315.06466790224783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0.99746715073179792</v>
      </c>
      <c r="DQ4" s="14">
        <f>EXP(-1.0587+0.8836*LN(DP4)+0.284)</f>
        <v>0.45981048445793882</v>
      </c>
      <c r="DR4" s="22">
        <f t="shared" ref="DR4:DR67" si="16">(DP4+DQ4)*0.475*44/12</f>
        <v>2.5380918812887914</v>
      </c>
      <c r="DS4" s="62">
        <f t="shared" ref="DS4:DS67" si="17">DR4+(DJ4+DK4)*44/12</f>
        <v>170.35052583421262</v>
      </c>
      <c r="DT4" s="62">
        <f ca="1">AVERAGE(OFFSET($DS$3,0,0,'Données projet'!$E$14+1,1))-AVERAGE(OFFSET($H$3,0,0,'Données projet'!$E$14+1,1))</f>
        <v>309.21625451786218</v>
      </c>
      <c r="DU4" s="62">
        <f>$DU$3</f>
        <v>302.59481222418219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0.6</v>
      </c>
      <c r="EJ4" s="13">
        <f>IF('Données projet'!$A$192&gt;35,EJ3+EI4-ER3,IF(A4&lt;'Données projet'!$A$192,$EG$205^A4,IF(A4='Données projet'!$A$192,'Données projet'!$B$192,EJ3+EI4-ER3)))</f>
        <v>1.1577536725165907</v>
      </c>
      <c r="EK4" s="18">
        <f>EJ4*VLOOKUP('Données projet'!$B$15,Paramètres!$A$1:$I$89,3,0)*VLOOKUP('Données projet'!$B$15,Paramètres!$A$1:$I$89,5,0)</f>
        <v>1.0114136083104937</v>
      </c>
      <c r="EL4" s="14">
        <f>EXP(-1.0587+0.8836*LN(EK4)+0.284)</f>
        <v>0.46548655994988658</v>
      </c>
      <c r="EM4" s="22">
        <f t="shared" ref="EM4:EM67" si="19">(EK4+EL4)*0.475*44/12</f>
        <v>2.5722677930534954</v>
      </c>
      <c r="EN4" s="62">
        <f t="shared" ref="EN4:EN67" si="20">EM4+(EE4+EF4)*44/12</f>
        <v>170.38470174597734</v>
      </c>
      <c r="EO4" s="62">
        <f ca="1">AVERAGE(OFFSET($EN$3,0,0,'Données projet'!$E$15+1,1))-AVERAGE(OFFSET($H$3,0,0,'Données projet'!$E$15+1,1))</f>
        <v>298.56812743477741</v>
      </c>
      <c r="EP4" s="62">
        <f>$EP$3</f>
        <v>276.01618888357268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3.2692307692307692</v>
      </c>
      <c r="FE4" s="13">
        <f>IF('Données projet'!$A$218&gt;35,FE3+FD4-FM3,IF(A4&lt;'Données projet'!$A$218,$FB$205^A4,IF(A4='Données projet'!$A$218,'Données projet'!$B$218,FE3+FD4-FM3)))</f>
        <v>1.4172437739267318</v>
      </c>
      <c r="FF4" s="18">
        <f>FE4*VLOOKUP('Données projet'!$B$16,Paramètres!$A$1:$I$89,3,0)*VLOOKUP('Données projet'!$B$16,Paramètres!$A$1:$I$89,5,0)</f>
        <v>0.95068712355005169</v>
      </c>
      <c r="FG4" s="14">
        <f>EXP(-1.0587+0.8836*LN(FF4)+0.284)</f>
        <v>0.44070309303270105</v>
      </c>
      <c r="FH4" s="22">
        <f t="shared" ref="FH4:FH67" si="22">(FF4+FG4)*0.475*44/12</f>
        <v>2.4233379605482943</v>
      </c>
      <c r="FI4" s="62">
        <f t="shared" ref="FI4:FI67" si="23">FH4+(EZ4+FA4)*44/12</f>
        <v>170.23577191347212</v>
      </c>
      <c r="FJ4" s="62">
        <f ca="1">AVERAGE(OFFSET($FI$3,0,0,'Données projet'!$E$16+1,1))-AVERAGE(OFFSET($H$3,0,0,'Données projet'!$E$16+1,1))</f>
        <v>396.0878652679051</v>
      </c>
      <c r="FK4" s="62">
        <f>$FK$3</f>
        <v>327.26339199235406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9">
        <f t="shared" si="1"/>
        <v>183.33333333333334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2.8518518518518516</v>
      </c>
      <c r="N5" s="14">
        <f>IF('Données projet'!$A$36&gt;35,N4+M5-V4,IF(A5&lt;'Données projet'!$A$36,$K$205^A5,IF(A5='Données projet'!$A$36,'Données projet'!$B$36,N4+M5-V4)))</f>
        <v>1.3795582849773456</v>
      </c>
      <c r="O5" s="14">
        <f>N5*VLOOKUP('Données projet'!$B$9,Paramètres!$A$1:$I$89,3,0)*VLOOKUP('Données projet'!$B$9,Paramètres!$A$1:$I$89,5,0)</f>
        <v>1.1836610085105626</v>
      </c>
      <c r="P5" s="14">
        <f t="shared" ref="P5:P68" si="33">EXP(-1.0587+0.8836*LN(O5)+0.284)</f>
        <v>0.53487924210431825</v>
      </c>
      <c r="Q5" s="22">
        <f t="shared" si="2"/>
        <v>2.9931242698209175</v>
      </c>
      <c r="R5" s="62">
        <f t="shared" si="0"/>
        <v>173.59040555732176</v>
      </c>
      <c r="S5" s="62">
        <f ca="1">AVERAGE(OFFSET($R$3,0,0,'Données projet'!$E$9+1,1))-AVERAGE(OFFSET($H$3,0,0,'Données projet'!$E$9+1,1))</f>
        <v>478.11504516179713</v>
      </c>
      <c r="T5" s="62">
        <f t="shared" ref="T5:T68" si="34">$T$3</f>
        <v>249.93713224442419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1.1099999999999999</v>
      </c>
      <c r="AI5" s="14">
        <f>IF('Données projet'!$A$62&gt;35,AI4+AH5-AQ4,IF(A5&lt;'Données projet'!$A$62,$AF$205^A5,IF(A5='Données projet'!$A$62,'Données projet'!$B$62,AI4+AH5-AQ4)))</f>
        <v>1.6183207242814768</v>
      </c>
      <c r="AJ5" s="14">
        <f>AI5*VLOOKUP('Données projet'!$B$10,Paramètres!$A$1:$I$89,3,0)*VLOOKUP('Données projet'!$B$10,Paramètres!$A$1:$I$89,5,0)</f>
        <v>1.2875359682383429</v>
      </c>
      <c r="AK5" s="14">
        <f t="shared" ref="AK5:AK68" si="35">EXP(-1.0587+0.8836*LN(AJ5)+0.284)</f>
        <v>0.57614983837086087</v>
      </c>
      <c r="AL5" s="22">
        <f t="shared" si="4"/>
        <v>3.2459194465110297</v>
      </c>
      <c r="AM5" s="62">
        <f t="shared" si="5"/>
        <v>173.84320073401187</v>
      </c>
      <c r="AN5" s="62">
        <f ca="1">AVERAGE(OFFSET($AM$3,0,0,'Données projet'!$E$10+1,1))-AVERAGE(OFFSET($H$3,0,0,'Données projet'!$E$10+1,1))</f>
        <v>394.49874384716014</v>
      </c>
      <c r="AO5" s="62">
        <f t="shared" ref="AO5:AO68" si="36">$AO$3</f>
        <v>423.72519584013378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1.1099999999999999</v>
      </c>
      <c r="BD5" s="13">
        <f>IF('Données projet'!$A$88&gt;35,BD4+BC5-BL4,IF(A5&lt;'Données projet'!$A$88,$BA$205^A5,IF(A5='Données projet'!$A$88,'Données projet'!$B$88,BD4+BC5-BL4)))</f>
        <v>1.6183207242814768</v>
      </c>
      <c r="BE5" s="14">
        <f>BD5*VLOOKUP('Données projet'!$B$11,Paramètres!$A$1:$I$89,3,0)*VLOOKUP('Données projet'!$B$11,Paramètres!$A$1:$I$89,5,0)</f>
        <v>1.2875359682383429</v>
      </c>
      <c r="BF5" s="14">
        <f t="shared" ref="BF5:BF68" si="37">EXP(-1.0587+0.8836*LN(BE5)+0.284)</f>
        <v>0.57614983837086087</v>
      </c>
      <c r="BG5" s="22">
        <f t="shared" si="7"/>
        <v>3.2459194465110297</v>
      </c>
      <c r="BH5" s="62">
        <f t="shared" si="8"/>
        <v>173.84320073401187</v>
      </c>
      <c r="BI5" s="62">
        <f ca="1">AVERAGE(OFFSET($BH$3,0,0,'Données projet'!$E$11+1,1))-AVERAGE(OFFSET($H$3,0,0,'Données projet'!$E$11+1,1))</f>
        <v>394.49874384716014</v>
      </c>
      <c r="BJ5" s="62">
        <f t="shared" ref="BJ5:BJ68" si="38">$BJ$3</f>
        <v>423.72519584013378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1.4055335507850097</v>
      </c>
      <c r="CA5" s="14">
        <f t="shared" ref="CA5:CA68" si="39">EXP(-1.0587+0.8836*LN(BZ5)+0.284)</f>
        <v>0.62256480317525631</v>
      </c>
      <c r="CB5" s="22">
        <f t="shared" si="10"/>
        <v>3.5322712998141292</v>
      </c>
      <c r="CC5" s="62">
        <f t="shared" si="11"/>
        <v>174.12955258731498</v>
      </c>
      <c r="CD5" s="62">
        <f ca="1">AVERAGE(OFFSET($CC$3,0,0,'Données projet'!$E$12+1,1))-AVERAGE(OFFSET($H$3,0,0,'Données projet'!$E$12+1,1))</f>
        <v>496.33873798282525</v>
      </c>
      <c r="CE5" s="62">
        <f t="shared" ref="CE5:CE68" si="40">$CE$3</f>
        <v>280.25465074992246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3.1623931623931623</v>
      </c>
      <c r="CT5" s="13">
        <f>IF('Données projet'!$A$140&gt;35,CT4+CS5-DB4,IF(A5&lt;'Données projet'!$A$140,$CQ$205^A5,IF(A5='Données projet'!$A$140,'Données projet'!$B$140,CT4+CS5-DB4)))</f>
        <v>1.6729422505775835</v>
      </c>
      <c r="CU5" s="18">
        <f>CT5*VLOOKUP('Données projet'!$B$13,Paramètres!$A$1:$I$89,3,0)*VLOOKUP('Données projet'!$B$13,Paramètres!$A$1:$I$89,5,0)</f>
        <v>1.5919718456496286</v>
      </c>
      <c r="CV5" s="14">
        <f t="shared" ref="CV5:CV68" si="41">EXP(-1.0587+0.8836*LN(CU5)+0.284)</f>
        <v>0.69499578258152339</v>
      </c>
      <c r="CW5" s="22">
        <f t="shared" si="13"/>
        <v>3.9831352858359232</v>
      </c>
      <c r="CX5" s="62">
        <f t="shared" si="14"/>
        <v>174.58041657333675</v>
      </c>
      <c r="CY5" s="62">
        <f ca="1">AVERAGE(OFFSET($CX$3,0,0,'Données projet'!$E$13+1,1))-AVERAGE(OFFSET($H$3,0,0,'Données projet'!$E$13+1,1))</f>
        <v>441.15969139782891</v>
      </c>
      <c r="CZ5" s="62">
        <f t="shared" ref="CZ5:CZ68" si="42">$CZ$3</f>
        <v>315.06466790224783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1.2755650215243732</v>
      </c>
      <c r="DQ5" s="14">
        <f t="shared" ref="DQ5:DQ68" si="43">EXP(-1.0587+0.8836*LN(DP5)+0.284)</f>
        <v>0.57141400910743001</v>
      </c>
      <c r="DR5" s="22">
        <f t="shared" si="16"/>
        <v>3.2168218116837237</v>
      </c>
      <c r="DS5" s="62">
        <f t="shared" si="17"/>
        <v>173.81410309918456</v>
      </c>
      <c r="DT5" s="62">
        <f ca="1">AVERAGE(OFFSET($DS$3,0,0,'Données projet'!$E$14+1,1))-AVERAGE(OFFSET($H$3,0,0,'Données projet'!$E$14+1,1))</f>
        <v>309.21625451786218</v>
      </c>
      <c r="DU5" s="62">
        <f t="shared" ref="DU5:DU68" si="44">$DU$3</f>
        <v>302.59481222418219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0.6</v>
      </c>
      <c r="EJ5" s="13">
        <f>IF('Données projet'!$A$192&gt;35,EJ4+EI5-ER4,IF(A5&lt;'Données projet'!$A$192,$EG$205^A5,IF(A5='Données projet'!$A$192,'Données projet'!$B$192,EJ4+EI5-ER4)))</f>
        <v>1.340393566225653</v>
      </c>
      <c r="EK5" s="18">
        <f>EJ5*VLOOKUP('Données projet'!$B$15,Paramètres!$A$1:$I$89,3,0)*VLOOKUP('Données projet'!$B$15,Paramètres!$A$1:$I$89,5,0)</f>
        <v>1.1709678194547306</v>
      </c>
      <c r="EL5" s="14">
        <f t="shared" ref="EL5:EL68" si="45">EXP(-1.0587+0.8836*LN(EK5)+0.284)</f>
        <v>0.52980785325350399</v>
      </c>
      <c r="EM5" s="22">
        <f t="shared" si="19"/>
        <v>2.9621842966335081</v>
      </c>
      <c r="EN5" s="62">
        <f t="shared" si="20"/>
        <v>173.55946558413433</v>
      </c>
      <c r="EO5" s="62">
        <f ca="1">AVERAGE(OFFSET($EN$3,0,0,'Données projet'!$E$15+1,1))-AVERAGE(OFFSET($H$3,0,0,'Données projet'!$E$15+1,1))</f>
        <v>298.56812743477741</v>
      </c>
      <c r="EP5" s="62">
        <f t="shared" ref="EP5:EP68" si="46">$EP$3</f>
        <v>276.01618888357268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3.2692307692307692</v>
      </c>
      <c r="FE5" s="13">
        <f>IF('Données projet'!$A$218&gt;35,FE4+FD5-FM4,IF(A5&lt;'Données projet'!$A$218,$FB$205^A5,IF(A5='Données projet'!$A$218,'Données projet'!$B$218,FE4+FD5-FM4)))</f>
        <v>2.0085799147340855</v>
      </c>
      <c r="FF5" s="18">
        <f>FE5*VLOOKUP('Données projet'!$B$16,Paramètres!$A$1:$I$89,3,0)*VLOOKUP('Données projet'!$B$16,Paramètres!$A$1:$I$89,5,0)</f>
        <v>1.3473554068036244</v>
      </c>
      <c r="FG5" s="14">
        <f t="shared" ref="FG5:FG68" si="47">EXP(-1.0587+0.8836*LN(FF5)+0.284)</f>
        <v>0.5997393019338928</v>
      </c>
      <c r="FH5" s="22">
        <f t="shared" si="22"/>
        <v>3.3911899510511758</v>
      </c>
      <c r="FI5" s="62">
        <f t="shared" si="23"/>
        <v>173.98847123855202</v>
      </c>
      <c r="FJ5" s="62">
        <f ca="1">AVERAGE(OFFSET($FI$3,0,0,'Données projet'!$E$16+1,1))-AVERAGE(OFFSET($H$3,0,0,'Données projet'!$E$16+1,1))</f>
        <v>396.0878652679051</v>
      </c>
      <c r="FK5" s="62">
        <f t="shared" ref="FK5:FK68" si="48">$FK$3</f>
        <v>327.26339199235406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9">
        <f t="shared" si="1"/>
        <v>183.33333333333334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2.8518518518518516</v>
      </c>
      <c r="N6" s="14">
        <f>IF('Données projet'!$A$36&gt;35,N5+M6-V5,IF(A6&lt;'Données projet'!$A$36,$K$205^A6,IF(A6='Données projet'!$A$36,'Données projet'!$B$36,N5+M6-V5)))</f>
        <v>1.6203546529728405</v>
      </c>
      <c r="O6" s="14">
        <f>N6*VLOOKUP('Données projet'!$B$9,Paramètres!$A$1:$I$89,3,0)*VLOOKUP('Données projet'!$B$9,Paramètres!$A$1:$I$89,5,0)</f>
        <v>1.3902642922506974</v>
      </c>
      <c r="P6" s="14">
        <f t="shared" si="33"/>
        <v>0.61658492107457386</v>
      </c>
      <c r="Q6" s="22">
        <f t="shared" si="2"/>
        <v>3.495262379874847</v>
      </c>
      <c r="R6" s="62">
        <f t="shared" si="0"/>
        <v>176.85028294975973</v>
      </c>
      <c r="S6" s="62">
        <f ca="1">AVERAGE(OFFSET($R$3,0,0,'Données projet'!$E$9+1,1))-AVERAGE(OFFSET($H$3,0,0,'Données projet'!$E$9+1,1))</f>
        <v>478.11504516179713</v>
      </c>
      <c r="T6" s="62">
        <f t="shared" si="34"/>
        <v>249.93713224442419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1.1099999999999999</v>
      </c>
      <c r="AI6" s="14">
        <f>IF('Données projet'!$A$62&gt;35,AI5+AH6-AQ5,IF(A6&lt;'Données projet'!$A$62,$AF$205^A6,IF(A6='Données projet'!$A$62,'Données projet'!$B$62,AI5+AH6-AQ5)))</f>
        <v>2.0587181513545616</v>
      </c>
      <c r="AJ6" s="14">
        <f>AI6*VLOOKUP('Données projet'!$B$10,Paramètres!$A$1:$I$89,3,0)*VLOOKUP('Données projet'!$B$10,Paramètres!$A$1:$I$89,5,0)</f>
        <v>1.6379161612176893</v>
      </c>
      <c r="AK6" s="14">
        <f t="shared" si="35"/>
        <v>0.71268920851376738</v>
      </c>
      <c r="AL6" s="22">
        <f t="shared" si="4"/>
        <v>4.0939710189489533</v>
      </c>
      <c r="AM6" s="62">
        <f t="shared" si="5"/>
        <v>177.44899158883385</v>
      </c>
      <c r="AN6" s="62">
        <f ca="1">AVERAGE(OFFSET($AM$3,0,0,'Données projet'!$E$10+1,1))-AVERAGE(OFFSET($H$3,0,0,'Données projet'!$E$10+1,1))</f>
        <v>394.49874384716014</v>
      </c>
      <c r="AO6" s="62">
        <f t="shared" si="36"/>
        <v>423.72519584013378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1.1099999999999999</v>
      </c>
      <c r="BD6" s="13">
        <f>IF('Données projet'!$A$88&gt;35,BD5+BC6-BL5,IF(A6&lt;'Données projet'!$A$88,$BA$205^A6,IF(A6='Données projet'!$A$88,'Données projet'!$B$88,BD5+BC6-BL5)))</f>
        <v>2.0587181513545616</v>
      </c>
      <c r="BE6" s="14">
        <f>BD6*VLOOKUP('Données projet'!$B$11,Paramètres!$A$1:$I$89,3,0)*VLOOKUP('Données projet'!$B$11,Paramètres!$A$1:$I$89,5,0)</f>
        <v>1.6379161612176893</v>
      </c>
      <c r="BF6" s="14">
        <f t="shared" si="37"/>
        <v>0.71268920851376738</v>
      </c>
      <c r="BG6" s="22">
        <f t="shared" si="7"/>
        <v>4.0939710189489533</v>
      </c>
      <c r="BH6" s="62">
        <f t="shared" si="8"/>
        <v>177.44899158883385</v>
      </c>
      <c r="BI6" s="62">
        <f ca="1">AVERAGE(OFFSET($BH$3,0,0,'Données projet'!$E$11+1,1))-AVERAGE(OFFSET($H$3,0,0,'Données projet'!$E$11+1,1))</f>
        <v>394.49874384716014</v>
      </c>
      <c r="BJ6" s="62">
        <f t="shared" si="38"/>
        <v>423.72519584013378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1.694352163012101</v>
      </c>
      <c r="CA6" s="14">
        <f t="shared" si="39"/>
        <v>0.73434428233124405</v>
      </c>
      <c r="CB6" s="22">
        <f t="shared" si="10"/>
        <v>4.2299796423063247</v>
      </c>
      <c r="CC6" s="62">
        <f t="shared" si="11"/>
        <v>177.5850002121912</v>
      </c>
      <c r="CD6" s="62">
        <f ca="1">AVERAGE(OFFSET($CC$3,0,0,'Données projet'!$E$12+1,1))-AVERAGE(OFFSET($H$3,0,0,'Données projet'!$E$12+1,1))</f>
        <v>496.33873798282525</v>
      </c>
      <c r="CE6" s="62">
        <f t="shared" si="40"/>
        <v>280.25465074992246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3.1623931623931623</v>
      </c>
      <c r="CT6" s="13">
        <f>IF('Données projet'!$A$140&gt;35,CT5+CS6-DB5,IF(A6&lt;'Données projet'!$A$140,$CQ$205^A6,IF(A6='Données projet'!$A$140,'Données projet'!$B$140,CT5+CS6-DB5)))</f>
        <v>2.1638214630922641</v>
      </c>
      <c r="CU6" s="18">
        <f>CT6*VLOOKUP('Données projet'!$B$13,Paramètres!$A$1:$I$89,3,0)*VLOOKUP('Données projet'!$B$13,Paramètres!$A$1:$I$89,5,0)</f>
        <v>2.0590925042785986</v>
      </c>
      <c r="CV6" s="14">
        <f t="shared" si="41"/>
        <v>0.87240079502149648</v>
      </c>
      <c r="CW6" s="22">
        <f t="shared" si="13"/>
        <v>5.1056841629476652</v>
      </c>
      <c r="CX6" s="62">
        <f t="shared" si="14"/>
        <v>178.46070473283254</v>
      </c>
      <c r="CY6" s="62">
        <f ca="1">AVERAGE(OFFSET($CX$3,0,0,'Données projet'!$E$13+1,1))-AVERAGE(OFFSET($H$3,0,0,'Données projet'!$E$13+1,1))</f>
        <v>441.15969139782891</v>
      </c>
      <c r="CZ6" s="62">
        <f t="shared" si="42"/>
        <v>315.06466790224783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1.6311977020423858</v>
      </c>
      <c r="DQ6" s="14">
        <f t="shared" si="43"/>
        <v>0.71010553443370616</v>
      </c>
      <c r="DR6" s="22">
        <f t="shared" si="16"/>
        <v>4.0777698035291934</v>
      </c>
      <c r="DS6" s="62">
        <f t="shared" si="17"/>
        <v>177.43279037341409</v>
      </c>
      <c r="DT6" s="62">
        <f ca="1">AVERAGE(OFFSET($DS$3,0,0,'Données projet'!$E$14+1,1))-AVERAGE(OFFSET($H$3,0,0,'Données projet'!$E$14+1,1))</f>
        <v>309.21625451786218</v>
      </c>
      <c r="DU6" s="62">
        <f t="shared" si="44"/>
        <v>302.59481222418219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0.6</v>
      </c>
      <c r="EJ6" s="13">
        <f>IF('Données projet'!$A$192&gt;35,EJ5+EI6-ER5,IF(A6&lt;'Données projet'!$A$192,$EG$205^A6,IF(A6='Données projet'!$A$192,'Données projet'!$B$192,EJ5+EI6-ER5)))</f>
        <v>1.5518455739153598</v>
      </c>
      <c r="EK6" s="18">
        <f>EJ6*VLOOKUP('Données projet'!$B$15,Paramètres!$A$1:$I$89,3,0)*VLOOKUP('Données projet'!$B$15,Paramètres!$A$1:$I$89,5,0)</f>
        <v>1.3556922933724584</v>
      </c>
      <c r="EL6" s="14">
        <f t="shared" si="45"/>
        <v>0.6030171126730397</v>
      </c>
      <c r="EM6" s="22">
        <f t="shared" si="19"/>
        <v>3.4114188821959091</v>
      </c>
      <c r="EN6" s="62">
        <f t="shared" si="20"/>
        <v>176.76643945208079</v>
      </c>
      <c r="EO6" s="62">
        <f ca="1">AVERAGE(OFFSET($EN$3,0,0,'Données projet'!$E$15+1,1))-AVERAGE(OFFSET($H$3,0,0,'Données projet'!$E$15+1,1))</f>
        <v>298.56812743477741</v>
      </c>
      <c r="EP6" s="62">
        <f t="shared" si="46"/>
        <v>276.01618888357268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3.2692307692307692</v>
      </c>
      <c r="FE6" s="13">
        <f>IF('Données projet'!$A$218&gt;35,FE5+FD6-FM5,IF(A6&lt;'Données projet'!$A$218,$FB$205^A6,IF(A6='Données projet'!$A$218,'Données projet'!$B$218,FE5+FD6-FM5)))</f>
        <v>2.8466473785911686</v>
      </c>
      <c r="FF6" s="18">
        <f>FE6*VLOOKUP('Données projet'!$B$16,Paramètres!$A$1:$I$89,3,0)*VLOOKUP('Données projet'!$B$16,Paramètres!$A$1:$I$89,5,0)</f>
        <v>1.909531061558956</v>
      </c>
      <c r="FG6" s="14">
        <f t="shared" si="47"/>
        <v>0.81616679340497278</v>
      </c>
      <c r="FH6" s="22">
        <f t="shared" si="22"/>
        <v>4.7472570973955088</v>
      </c>
      <c r="FI6" s="62">
        <f t="shared" si="23"/>
        <v>178.10227766728039</v>
      </c>
      <c r="FJ6" s="62">
        <f ca="1">AVERAGE(OFFSET($FI$3,0,0,'Données projet'!$E$16+1,1))-AVERAGE(OFFSET($H$3,0,0,'Données projet'!$E$16+1,1))</f>
        <v>396.0878652679051</v>
      </c>
      <c r="FK6" s="62">
        <f t="shared" si="48"/>
        <v>327.26339199235406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9">
        <f t="shared" si="1"/>
        <v>183.33333333333334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2.8518518518518516</v>
      </c>
      <c r="N7" s="14">
        <f>IF('Données projet'!$A$36&gt;35,N6+M7-V6,IF(A7&lt;'Données projet'!$A$36,$K$205^A7,IF(A7='Données projet'!$A$36,'Données projet'!$B$36,N6+M7-V6)))</f>
        <v>1.903181061649635</v>
      </c>
      <c r="O7" s="14">
        <f>N7*VLOOKUP('Données projet'!$B$9,Paramètres!$A$1:$I$89,3,0)*VLOOKUP('Données projet'!$B$9,Paramètres!$A$1:$I$89,5,0)</f>
        <v>1.632929350895387</v>
      </c>
      <c r="P7" s="14">
        <f t="shared" si="33"/>
        <v>0.71077158163934118</v>
      </c>
      <c r="Q7" s="22">
        <f t="shared" si="2"/>
        <v>4.0819457908313188</v>
      </c>
      <c r="R7" s="62">
        <f t="shared" si="0"/>
        <v>180.16806785500827</v>
      </c>
      <c r="S7" s="62">
        <f ca="1">AVERAGE(OFFSET($R$3,0,0,'Données projet'!$E$9+1,1))-AVERAGE(OFFSET($H$3,0,0,'Données projet'!$E$9+1,1))</f>
        <v>478.11504516179713</v>
      </c>
      <c r="T7" s="62">
        <f t="shared" si="34"/>
        <v>249.93713224442419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1.1099999999999999</v>
      </c>
      <c r="AI7" s="14">
        <f>IF('Données projet'!$A$62&gt;35,AI6+AH7-AQ6,IF(A7&lt;'Données projet'!$A$62,$AF$205^A7,IF(A7='Données projet'!$A$62,'Données projet'!$B$62,AI6+AH7-AQ6)))</f>
        <v>2.6189619666389237</v>
      </c>
      <c r="AJ7" s="14">
        <f>AI7*VLOOKUP('Données projet'!$B$10,Paramètres!$A$1:$I$89,3,0)*VLOOKUP('Données projet'!$B$10,Paramètres!$A$1:$I$89,5,0)</f>
        <v>2.0836461406579279</v>
      </c>
      <c r="AK7" s="14">
        <f t="shared" si="35"/>
        <v>0.88158647994800687</v>
      </c>
      <c r="AL7" s="22">
        <f t="shared" si="4"/>
        <v>5.1644468142220035</v>
      </c>
      <c r="AM7" s="62">
        <f t="shared" si="5"/>
        <v>181.25056887839895</v>
      </c>
      <c r="AN7" s="62">
        <f ca="1">AVERAGE(OFFSET($AM$3,0,0,'Données projet'!$E$10+1,1))-AVERAGE(OFFSET($H$3,0,0,'Données projet'!$E$10+1,1))</f>
        <v>394.49874384716014</v>
      </c>
      <c r="AO7" s="62">
        <f t="shared" si="36"/>
        <v>423.72519584013378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1.1099999999999999</v>
      </c>
      <c r="BD7" s="13">
        <f>IF('Données projet'!$A$88&gt;35,BD6+BC7-BL6,IF(A7&lt;'Données projet'!$A$88,$BA$205^A7,IF(A7='Données projet'!$A$88,'Données projet'!$B$88,BD6+BC7-BL6)))</f>
        <v>2.6189619666389237</v>
      </c>
      <c r="BE7" s="14">
        <f>BD7*VLOOKUP('Données projet'!$B$11,Paramètres!$A$1:$I$89,3,0)*VLOOKUP('Données projet'!$B$11,Paramètres!$A$1:$I$89,5,0)</f>
        <v>2.0836461406579279</v>
      </c>
      <c r="BF7" s="14">
        <f t="shared" si="37"/>
        <v>0.88158647994800687</v>
      </c>
      <c r="BG7" s="22">
        <f t="shared" si="7"/>
        <v>5.1644468142220035</v>
      </c>
      <c r="BH7" s="62">
        <f t="shared" si="8"/>
        <v>181.25056887839895</v>
      </c>
      <c r="BI7" s="62">
        <f ca="1">AVERAGE(OFFSET($BH$3,0,0,'Données projet'!$E$11+1,1))-AVERAGE(OFFSET($H$3,0,0,'Données projet'!$E$11+1,1))</f>
        <v>394.49874384716014</v>
      </c>
      <c r="BJ7" s="62">
        <f t="shared" si="38"/>
        <v>423.72519584013378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2.042519191875845</v>
      </c>
      <c r="CA7" s="14">
        <f t="shared" si="39"/>
        <v>0.86619340226463792</v>
      </c>
      <c r="CB7" s="22">
        <f t="shared" si="10"/>
        <v>5.0660077681280073</v>
      </c>
      <c r="CC7" s="62">
        <f t="shared" si="11"/>
        <v>181.15212983230495</v>
      </c>
      <c r="CD7" s="62">
        <f ca="1">AVERAGE(OFFSET($CC$3,0,0,'Données projet'!$E$12+1,1))-AVERAGE(OFFSET($H$3,0,0,'Données projet'!$E$12+1,1))</f>
        <v>496.33873798282525</v>
      </c>
      <c r="CE7" s="62">
        <f t="shared" si="40"/>
        <v>280.25465074992246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3.1623931623931623</v>
      </c>
      <c r="CT7" s="13">
        <f>IF('Données projet'!$A$140&gt;35,CT6+CS7-DB6,IF(A7&lt;'Données projet'!$A$140,$CQ$205^A7,IF(A7='Données projet'!$A$140,'Données projet'!$B$140,CT6+CS7-DB6)))</f>
        <v>2.7987357737675902</v>
      </c>
      <c r="CU7" s="18">
        <f>CT7*VLOOKUP('Données projet'!$B$13,Paramètres!$A$1:$I$89,3,0)*VLOOKUP('Données projet'!$B$13,Paramètres!$A$1:$I$89,5,0)</f>
        <v>2.6632769623172385</v>
      </c>
      <c r="CV7" s="14">
        <f t="shared" si="41"/>
        <v>1.0950903102276937</v>
      </c>
      <c r="CW7" s="22">
        <f t="shared" si="13"/>
        <v>6.5458229996824224</v>
      </c>
      <c r="CX7" s="62">
        <f t="shared" si="14"/>
        <v>182.63194506385938</v>
      </c>
      <c r="CY7" s="62">
        <f ca="1">AVERAGE(OFFSET($CX$3,0,0,'Données projet'!$E$13+1,1))-AVERAGE(OFFSET($H$3,0,0,'Données projet'!$E$13+1,1))</f>
        <v>441.15969139782891</v>
      </c>
      <c r="CZ7" s="62">
        <f t="shared" si="42"/>
        <v>315.06466790224783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2.0859822104313781</v>
      </c>
      <c r="DQ7" s="14">
        <f t="shared" si="43"/>
        <v>0.88245976121767966</v>
      </c>
      <c r="DR7" s="22">
        <f t="shared" si="16"/>
        <v>5.1700364339554419</v>
      </c>
      <c r="DS7" s="62">
        <f t="shared" si="17"/>
        <v>181.25615849813238</v>
      </c>
      <c r="DT7" s="62">
        <f ca="1">AVERAGE(OFFSET($DS$3,0,0,'Données projet'!$E$14+1,1))-AVERAGE(OFFSET($H$3,0,0,'Données projet'!$E$14+1,1))</f>
        <v>309.21625451786218</v>
      </c>
      <c r="DU7" s="62">
        <f t="shared" si="44"/>
        <v>302.59481222418219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0.6</v>
      </c>
      <c r="EJ7" s="13">
        <f>IF('Données projet'!$A$192&gt;35,EJ6+EI7-ER6,IF(A7&lt;'Données projet'!$A$192,$EG$205^A7,IF(A7='Données projet'!$A$192,'Données projet'!$B$192,EJ6+EI7-ER6)))</f>
        <v>1.796654912379124</v>
      </c>
      <c r="EK7" s="18">
        <f>EJ7*VLOOKUP('Données projet'!$B$15,Paramètres!$A$1:$I$89,3,0)*VLOOKUP('Données projet'!$B$15,Paramètres!$A$1:$I$89,5,0)</f>
        <v>1.5695577314544029</v>
      </c>
      <c r="EL7" s="14">
        <f t="shared" si="45"/>
        <v>0.68634248424879218</v>
      </c>
      <c r="EM7" s="22">
        <f t="shared" si="19"/>
        <v>3.9290262090163979</v>
      </c>
      <c r="EN7" s="62">
        <f t="shared" si="20"/>
        <v>180.01514827319335</v>
      </c>
      <c r="EO7" s="62">
        <f ca="1">AVERAGE(OFFSET($EN$3,0,0,'Données projet'!$E$15+1,1))-AVERAGE(OFFSET($H$3,0,0,'Données projet'!$E$15+1,1))</f>
        <v>298.56812743477741</v>
      </c>
      <c r="EP7" s="62">
        <f t="shared" si="46"/>
        <v>276.01618888357268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3.2692307692307692</v>
      </c>
      <c r="FE7" s="13">
        <f>IF('Données projet'!$A$218&gt;35,FE6+FD7-FM6,IF(A7&lt;'Données projet'!$A$218,$FB$205^A7,IF(A7='Données projet'!$A$218,'Données projet'!$B$218,FE6+FD7-FM6)))</f>
        <v>4.034393273873186</v>
      </c>
      <c r="FF7" s="18">
        <f>FE7*VLOOKUP('Données projet'!$B$16,Paramètres!$A$1:$I$89,3,0)*VLOOKUP('Données projet'!$B$16,Paramètres!$A$1:$I$89,5,0)</f>
        <v>2.7062710081141335</v>
      </c>
      <c r="FG7" s="14">
        <f t="shared" si="47"/>
        <v>1.1106963183986573</v>
      </c>
      <c r="FH7" s="22">
        <f t="shared" si="22"/>
        <v>6.6478847603431106</v>
      </c>
      <c r="FI7" s="62">
        <f t="shared" si="23"/>
        <v>182.73400682452007</v>
      </c>
      <c r="FJ7" s="62">
        <f ca="1">AVERAGE(OFFSET($FI$3,0,0,'Données projet'!$E$16+1,1))-AVERAGE(OFFSET($H$3,0,0,'Données projet'!$E$16+1,1))</f>
        <v>396.0878652679051</v>
      </c>
      <c r="FK7" s="62">
        <f t="shared" si="48"/>
        <v>327.26339199235406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9">
        <f t="shared" si="1"/>
        <v>183.33333333333334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2.8518518518518516</v>
      </c>
      <c r="N8" s="14">
        <f>IF('Données projet'!$A$36&gt;35,N7+M8-V7,IF(A8&lt;'Données projet'!$A$36,$K$205^A8,IF(A8='Données projet'!$A$36,'Données projet'!$B$36,N7+M8-V7)))</f>
        <v>2.2353736861102735</v>
      </c>
      <c r="O8" s="14">
        <f>N8*VLOOKUP('Données projet'!$B$9,Paramètres!$A$1:$I$89,3,0)*VLOOKUP('Données projet'!$B$9,Paramètres!$A$1:$I$89,5,0)</f>
        <v>1.9179506226826148</v>
      </c>
      <c r="P8" s="14">
        <f t="shared" si="33"/>
        <v>0.81934576081692545</v>
      </c>
      <c r="Q8" s="22">
        <f t="shared" si="2"/>
        <v>4.767457867928365</v>
      </c>
      <c r="R8" s="62">
        <f t="shared" si="0"/>
        <v>183.55850574437571</v>
      </c>
      <c r="S8" s="62">
        <f ca="1">AVERAGE(OFFSET($R$3,0,0,'Données projet'!$E$9+1,1))-AVERAGE(OFFSET($H$3,0,0,'Données projet'!$E$9+1,1))</f>
        <v>478.11504516179713</v>
      </c>
      <c r="T8" s="62">
        <f t="shared" si="34"/>
        <v>249.93713224442419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1.1099999999999999</v>
      </c>
      <c r="AI8" s="14">
        <f>IF('Données projet'!$A$62&gt;35,AI7+AH8-AQ7,IF(A8&lt;'Données projet'!$A$62,$AF$205^A8,IF(A8='Données projet'!$A$62,'Données projet'!$B$62,AI7+AH8-AQ7)))</f>
        <v>3.331666249791537</v>
      </c>
      <c r="AJ8" s="14">
        <f>AI8*VLOOKUP('Données projet'!$B$10,Paramètres!$A$1:$I$89,3,0)*VLOOKUP('Données projet'!$B$10,Paramètres!$A$1:$I$89,5,0)</f>
        <v>2.650673668334147</v>
      </c>
      <c r="AK8" s="14">
        <f t="shared" si="35"/>
        <v>1.0905100180313785</v>
      </c>
      <c r="AL8" s="22">
        <f t="shared" si="4"/>
        <v>6.5158949204199574</v>
      </c>
      <c r="AM8" s="62">
        <f t="shared" si="5"/>
        <v>185.3069427968673</v>
      </c>
      <c r="AN8" s="62">
        <f ca="1">AVERAGE(OFFSET($AM$3,0,0,'Données projet'!$E$10+1,1))-AVERAGE(OFFSET($H$3,0,0,'Données projet'!$E$10+1,1))</f>
        <v>394.49874384716014</v>
      </c>
      <c r="AO8" s="62">
        <f t="shared" si="36"/>
        <v>423.72519584013378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1.1099999999999999</v>
      </c>
      <c r="BD8" s="13">
        <f>IF('Données projet'!$A$88&gt;35,BD7+BC8-BL7,IF(A8&lt;'Données projet'!$A$88,$BA$205^A8,IF(A8='Données projet'!$A$88,'Données projet'!$B$88,BD7+BC8-BL7)))</f>
        <v>3.331666249791537</v>
      </c>
      <c r="BE8" s="14">
        <f>BD8*VLOOKUP('Données projet'!$B$11,Paramètres!$A$1:$I$89,3,0)*VLOOKUP('Données projet'!$B$11,Paramètres!$A$1:$I$89,5,0)</f>
        <v>2.650673668334147</v>
      </c>
      <c r="BF8" s="14">
        <f t="shared" si="37"/>
        <v>1.0905100180313785</v>
      </c>
      <c r="BG8" s="22">
        <f t="shared" si="7"/>
        <v>6.5158949204199574</v>
      </c>
      <c r="BH8" s="62">
        <f t="shared" si="8"/>
        <v>185.3069427968673</v>
      </c>
      <c r="BI8" s="62">
        <f ca="1">AVERAGE(OFFSET($BH$3,0,0,'Données projet'!$E$11+1,1))-AVERAGE(OFFSET($H$3,0,0,'Données projet'!$E$11+1,1))</f>
        <v>394.49874384716014</v>
      </c>
      <c r="BJ8" s="62">
        <f t="shared" si="38"/>
        <v>423.72519584013378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2.4622299544651152</v>
      </c>
      <c r="CA8" s="14">
        <f t="shared" si="39"/>
        <v>1.021715601495419</v>
      </c>
      <c r="CB8" s="22">
        <f t="shared" si="10"/>
        <v>6.0678718432979295</v>
      </c>
      <c r="CC8" s="62">
        <f t="shared" si="11"/>
        <v>184.85891971974527</v>
      </c>
      <c r="CD8" s="62">
        <f ca="1">AVERAGE(OFFSET($CC$3,0,0,'Données projet'!$E$12+1,1))-AVERAGE(OFFSET($H$3,0,0,'Données projet'!$E$12+1,1))</f>
        <v>496.33873798282525</v>
      </c>
      <c r="CE8" s="62">
        <f t="shared" si="40"/>
        <v>280.25465074992246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3.1623931623931623</v>
      </c>
      <c r="CT8" s="13">
        <f>IF('Données projet'!$A$140&gt;35,CT7+CS8-DB7,IF(A8&lt;'Données projet'!$A$140,$CQ$205^A8,IF(A8='Données projet'!$A$140,'Données projet'!$B$140,CT7+CS8-DB7)))</f>
        <v>3.6199483483136521</v>
      </c>
      <c r="CU8" s="18">
        <f>CT8*VLOOKUP('Données projet'!$B$13,Paramètres!$A$1:$I$89,3,0)*VLOOKUP('Données projet'!$B$13,Paramètres!$A$1:$I$89,5,0)</f>
        <v>3.4447428482552716</v>
      </c>
      <c r="CV8" s="14">
        <f t="shared" si="41"/>
        <v>1.3746236757212458</v>
      </c>
      <c r="CW8" s="22">
        <f t="shared" si="13"/>
        <v>8.3937300292591015</v>
      </c>
      <c r="CX8" s="62">
        <f t="shared" si="14"/>
        <v>187.18477790570645</v>
      </c>
      <c r="CY8" s="62">
        <f ca="1">AVERAGE(OFFSET($CX$3,0,0,'Données projet'!$E$13+1,1))-AVERAGE(OFFSET($H$3,0,0,'Données projet'!$E$13+1,1))</f>
        <v>441.15969139782891</v>
      </c>
      <c r="CZ8" s="62">
        <f t="shared" si="42"/>
        <v>315.06466790224783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2.6675624768156463</v>
      </c>
      <c r="DQ8" s="14">
        <f t="shared" si="43"/>
        <v>1.0966471776471767</v>
      </c>
      <c r="DR8" s="22">
        <f t="shared" si="16"/>
        <v>6.5559984815227494</v>
      </c>
      <c r="DS8" s="62">
        <f t="shared" si="17"/>
        <v>185.3470463579701</v>
      </c>
      <c r="DT8" s="62">
        <f ca="1">AVERAGE(OFFSET($DS$3,0,0,'Données projet'!$E$14+1,1))-AVERAGE(OFFSET($H$3,0,0,'Données projet'!$E$14+1,1))</f>
        <v>309.21625451786218</v>
      </c>
      <c r="DU8" s="62">
        <f t="shared" si="44"/>
        <v>302.59481222418219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0.6</v>
      </c>
      <c r="EJ8" s="13">
        <f>IF('Données projet'!$A$192&gt;35,EJ7+EI8-ER7,IF(A8&lt;'Données projet'!$A$192,$EG$205^A8,IF(A8='Données projet'!$A$192,'Données projet'!$B$192,EJ7+EI8-ER7)))</f>
        <v>2.0800838230519041</v>
      </c>
      <c r="EK8" s="18">
        <f>EJ8*VLOOKUP('Données projet'!$B$15,Paramètres!$A$1:$I$89,3,0)*VLOOKUP('Données projet'!$B$15,Paramètres!$A$1:$I$89,5,0)</f>
        <v>1.8171612278181437</v>
      </c>
      <c r="EL8" s="14">
        <f t="shared" si="45"/>
        <v>0.78118182019192373</v>
      </c>
      <c r="EM8" s="22">
        <f t="shared" si="19"/>
        <v>4.5254474752842002</v>
      </c>
      <c r="EN8" s="62">
        <f t="shared" si="20"/>
        <v>183.31649535173156</v>
      </c>
      <c r="EO8" s="62">
        <f ca="1">AVERAGE(OFFSET($EN$3,0,0,'Données projet'!$E$15+1,1))-AVERAGE(OFFSET($H$3,0,0,'Données projet'!$E$15+1,1))</f>
        <v>298.56812743477741</v>
      </c>
      <c r="EP8" s="62">
        <f t="shared" si="46"/>
        <v>276.01618888357268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3.2692307692307692</v>
      </c>
      <c r="FE8" s="13">
        <f>IF('Données projet'!$A$218&gt;35,FE7+FD8-FM7,IF(A8&lt;'Données projet'!$A$218,$FB$205^A8,IF(A8='Données projet'!$A$218,'Données projet'!$B$218,FE7+FD8-FM7)))</f>
        <v>5.7177187489686574</v>
      </c>
      <c r="FF8" s="18">
        <f>FE8*VLOOKUP('Données projet'!$B$16,Paramètres!$A$1:$I$89,3,0)*VLOOKUP('Données projet'!$B$16,Paramètres!$A$1:$I$89,5,0)</f>
        <v>3.8354457368081754</v>
      </c>
      <c r="FG8" s="14">
        <f t="shared" si="47"/>
        <v>1.5115125017003845</v>
      </c>
      <c r="FH8" s="22">
        <f t="shared" si="22"/>
        <v>9.3126189320690731</v>
      </c>
      <c r="FI8" s="62">
        <f t="shared" si="23"/>
        <v>188.10366680851644</v>
      </c>
      <c r="FJ8" s="62">
        <f ca="1">AVERAGE(OFFSET($FI$3,0,0,'Données projet'!$E$16+1,1))-AVERAGE(OFFSET($H$3,0,0,'Données projet'!$E$16+1,1))</f>
        <v>396.0878652679051</v>
      </c>
      <c r="FK8" s="62">
        <f t="shared" si="48"/>
        <v>327.26339199235406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9">
        <f t="shared" si="1"/>
        <v>183.33333333333334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2.8518518518518516</v>
      </c>
      <c r="N9" s="14">
        <f>IF('Données projet'!$A$36&gt;35,N8+M9-V8,IF(A9&lt;'Données projet'!$A$36,$K$205^A9,IF(A9='Données projet'!$A$36,'Données projet'!$B$36,N8+M9-V8)))</f>
        <v>2.6255492014107342</v>
      </c>
      <c r="O9" s="14">
        <f>N9*VLOOKUP('Données projet'!$B$9,Paramètres!$A$1:$I$89,3,0)*VLOOKUP('Données projet'!$B$9,Paramètres!$A$1:$I$89,5,0)</f>
        <v>2.2527212148104101</v>
      </c>
      <c r="P9" s="14">
        <f t="shared" si="33"/>
        <v>0.94450522940196935</v>
      </c>
      <c r="Q9" s="22">
        <f t="shared" si="2"/>
        <v>5.5685027236698934</v>
      </c>
      <c r="R9" s="62">
        <f t="shared" si="0"/>
        <v>187.03875481992887</v>
      </c>
      <c r="S9" s="62">
        <f ca="1">AVERAGE(OFFSET($R$3,0,0,'Données projet'!$E$9+1,1))-AVERAGE(OFFSET($H$3,0,0,'Données projet'!$E$9+1,1))</f>
        <v>478.11504516179713</v>
      </c>
      <c r="T9" s="62">
        <f t="shared" si="34"/>
        <v>249.93713224442419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1.1099999999999999</v>
      </c>
      <c r="AI9" s="14">
        <f>IF('Données projet'!$A$62&gt;35,AI8+AH9-AQ8,IF(A9&lt;'Données projet'!$A$62,$AF$205^A9,IF(A9='Données projet'!$A$62,'Données projet'!$B$62,AI8+AH9-AQ8)))</f>
        <v>4.2383204267167436</v>
      </c>
      <c r="AJ9" s="14">
        <f>AI9*VLOOKUP('Données projet'!$B$10,Paramètres!$A$1:$I$89,3,0)*VLOOKUP('Données projet'!$B$10,Paramètres!$A$1:$I$89,5,0)</f>
        <v>3.3720077314958417</v>
      </c>
      <c r="AK9" s="14">
        <f t="shared" si="35"/>
        <v>1.3489454823501079</v>
      </c>
      <c r="AL9" s="22">
        <f t="shared" si="4"/>
        <v>8.2223268474483628</v>
      </c>
      <c r="AM9" s="62">
        <f t="shared" si="5"/>
        <v>189.69257894370733</v>
      </c>
      <c r="AN9" s="62">
        <f ca="1">AVERAGE(OFFSET($AM$3,0,0,'Données projet'!$E$10+1,1))-AVERAGE(OFFSET($H$3,0,0,'Données projet'!$E$10+1,1))</f>
        <v>394.49874384716014</v>
      </c>
      <c r="AO9" s="62">
        <f t="shared" si="36"/>
        <v>423.72519584013378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1.1099999999999999</v>
      </c>
      <c r="BD9" s="13">
        <f>IF('Données projet'!$A$88&gt;35,BD8+BC9-BL8,IF(A9&lt;'Données projet'!$A$88,$BA$205^A9,IF(A9='Données projet'!$A$88,'Données projet'!$B$88,BD8+BC9-BL8)))</f>
        <v>4.2383204267167436</v>
      </c>
      <c r="BE9" s="14">
        <f>BD9*VLOOKUP('Données projet'!$B$11,Paramètres!$A$1:$I$89,3,0)*VLOOKUP('Données projet'!$B$11,Paramètres!$A$1:$I$89,5,0)</f>
        <v>3.3720077314958417</v>
      </c>
      <c r="BF9" s="14">
        <f t="shared" si="37"/>
        <v>1.3489454823501079</v>
      </c>
      <c r="BG9" s="22">
        <f t="shared" si="7"/>
        <v>8.2223268474483628</v>
      </c>
      <c r="BH9" s="62">
        <f t="shared" si="8"/>
        <v>189.69257894370733</v>
      </c>
      <c r="BI9" s="62">
        <f ca="1">AVERAGE(OFFSET($BH$3,0,0,'Données projet'!$E$11+1,1))-AVERAGE(OFFSET($H$3,0,0,'Données projet'!$E$11+1,1))</f>
        <v>394.49874384716014</v>
      </c>
      <c r="BJ9" s="62">
        <f t="shared" si="38"/>
        <v>423.72519584013378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2.9681857447309605</v>
      </c>
      <c r="CA9" s="14">
        <f t="shared" si="39"/>
        <v>1.2051613041728233</v>
      </c>
      <c r="CB9" s="22">
        <f t="shared" si="10"/>
        <v>7.2685794435074236</v>
      </c>
      <c r="CC9" s="62">
        <f t="shared" si="11"/>
        <v>188.73883153976641</v>
      </c>
      <c r="CD9" s="62">
        <f ca="1">AVERAGE(OFFSET($CC$3,0,0,'Données projet'!$E$12+1,1))-AVERAGE(OFFSET($H$3,0,0,'Données projet'!$E$12+1,1))</f>
        <v>496.33873798282525</v>
      </c>
      <c r="CE9" s="62">
        <f t="shared" si="40"/>
        <v>280.25465074992246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3.1623931623931623</v>
      </c>
      <c r="CT9" s="13">
        <f>IF('Données projet'!$A$140&gt;35,CT8+CS9-DB8,IF(A9&lt;'Données projet'!$A$140,$CQ$205^A9,IF(A9='Données projet'!$A$140,'Données projet'!$B$140,CT8+CS9-DB8)))</f>
        <v>4.6821233241387468</v>
      </c>
      <c r="CU9" s="18">
        <f>CT9*VLOOKUP('Données projet'!$B$13,Paramètres!$A$1:$I$89,3,0)*VLOOKUP('Données projet'!$B$13,Paramètres!$A$1:$I$89,5,0)</f>
        <v>4.4555085552504314</v>
      </c>
      <c r="CV9" s="14">
        <f t="shared" si="41"/>
        <v>1.7255108845411122</v>
      </c>
      <c r="CW9" s="22">
        <f t="shared" si="13"/>
        <v>10.765275524303604</v>
      </c>
      <c r="CX9" s="62">
        <f t="shared" si="14"/>
        <v>192.23552762056258</v>
      </c>
      <c r="CY9" s="62">
        <f ca="1">AVERAGE(OFFSET($CX$3,0,0,'Données projet'!$E$13+1,1))-AVERAGE(OFFSET($H$3,0,0,'Données projet'!$E$13+1,1))</f>
        <v>441.15969139782891</v>
      </c>
      <c r="CZ9" s="62">
        <f t="shared" si="42"/>
        <v>315.06466790224783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3.4112896707030256</v>
      </c>
      <c r="DQ9" s="14">
        <f t="shared" si="43"/>
        <v>1.3628213830192535</v>
      </c>
      <c r="DR9" s="22">
        <f t="shared" si="16"/>
        <v>8.3149100852329703</v>
      </c>
      <c r="DS9" s="62">
        <f t="shared" si="17"/>
        <v>189.78516218149196</v>
      </c>
      <c r="DT9" s="62">
        <f ca="1">AVERAGE(OFFSET($DS$3,0,0,'Données projet'!$E$14+1,1))-AVERAGE(OFFSET($H$3,0,0,'Données projet'!$E$14+1,1))</f>
        <v>309.21625451786218</v>
      </c>
      <c r="DU9" s="62">
        <f t="shared" si="44"/>
        <v>302.59481222418219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0.6</v>
      </c>
      <c r="EJ9" s="13">
        <f>IF('Données projet'!$A$192&gt;35,EJ8+EI9-ER8,IF(A9&lt;'Données projet'!$A$192,$EG$205^A9,IF(A9='Données projet'!$A$192,'Données projet'!$B$192,EJ8+EI9-ER8)))</f>
        <v>2.4082246852806919</v>
      </c>
      <c r="EK9" s="18">
        <f>EJ9*VLOOKUP('Données projet'!$B$15,Paramètres!$A$1:$I$89,3,0)*VLOOKUP('Données projet'!$B$15,Paramètres!$A$1:$I$89,5,0)</f>
        <v>2.1038250850612128</v>
      </c>
      <c r="EL9" s="14">
        <f t="shared" si="45"/>
        <v>0.88912612901456256</v>
      </c>
      <c r="EM9" s="22">
        <f t="shared" si="19"/>
        <v>5.2127233645153082</v>
      </c>
      <c r="EN9" s="62">
        <f t="shared" si="20"/>
        <v>186.68297546077429</v>
      </c>
      <c r="EO9" s="62">
        <f ca="1">AVERAGE(OFFSET($EN$3,0,0,'Données projet'!$E$15+1,1))-AVERAGE(OFFSET($H$3,0,0,'Données projet'!$E$15+1,1))</f>
        <v>298.56812743477741</v>
      </c>
      <c r="EP9" s="62">
        <f t="shared" si="46"/>
        <v>276.01618888357268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3.2692307692307692</v>
      </c>
      <c r="FE9" s="13">
        <f>IF('Données projet'!$A$218&gt;35,FE8+FD9-FM8,IF(A9&lt;'Données projet'!$A$218,$FB$205^A9,IF(A9='Données projet'!$A$218,'Données projet'!$B$218,FE8+FD9-FM8)))</f>
        <v>8.1034012980399712</v>
      </c>
      <c r="FF9" s="18">
        <f>FE9*VLOOKUP('Données projet'!$B$16,Paramètres!$A$1:$I$89,3,0)*VLOOKUP('Données projet'!$B$16,Paramètres!$A$1:$I$89,5,0)</f>
        <v>5.435761590725213</v>
      </c>
      <c r="FG9" s="14">
        <f t="shared" si="47"/>
        <v>2.0569709334145188</v>
      </c>
      <c r="FH9" s="22">
        <f t="shared" si="22"/>
        <v>13.049842479543365</v>
      </c>
      <c r="FI9" s="62">
        <f t="shared" si="23"/>
        <v>194.52009457580235</v>
      </c>
      <c r="FJ9" s="62">
        <f ca="1">AVERAGE(OFFSET($FI$3,0,0,'Données projet'!$E$16+1,1))-AVERAGE(OFFSET($H$3,0,0,'Données projet'!$E$16+1,1))</f>
        <v>396.0878652679051</v>
      </c>
      <c r="FK9" s="62">
        <f t="shared" si="48"/>
        <v>327.26339199235406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9">
        <f t="shared" si="1"/>
        <v>183.33333333333334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2.8518518518518516</v>
      </c>
      <c r="N10" s="14">
        <f>IF('Données projet'!$A$36&gt;35,N9+M10-V9,IF(A10&lt;'Données projet'!$A$36,$K$205^A10,IF(A10='Données projet'!$A$36,'Données projet'!$B$36,N9+M10-V9)))</f>
        <v>3.0838282886937765</v>
      </c>
      <c r="O10" s="14">
        <f>N10*VLOOKUP('Données projet'!$B$9,Paramètres!$A$1:$I$89,3,0)*VLOOKUP('Données projet'!$B$9,Paramètres!$A$1:$I$89,5,0)</f>
        <v>2.6459246716992606</v>
      </c>
      <c r="P10" s="14">
        <f t="shared" si="33"/>
        <v>1.0887834794900406</v>
      </c>
      <c r="Q10" s="22">
        <f t="shared" si="2"/>
        <v>6.5046166966546997</v>
      </c>
      <c r="R10" s="62">
        <f t="shared" si="0"/>
        <v>190.62879763239093</v>
      </c>
      <c r="S10" s="62">
        <f ca="1">AVERAGE(OFFSET($R$3,0,0,'Données projet'!$E$9+1,1))-AVERAGE(OFFSET($H$3,0,0,'Données projet'!$E$9+1,1))</f>
        <v>478.11504516179713</v>
      </c>
      <c r="T10" s="62">
        <f t="shared" si="34"/>
        <v>249.93713224442419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1.1099999999999999</v>
      </c>
      <c r="AI10" s="14">
        <f>IF('Données projet'!$A$62&gt;35,AI9+AH10-AQ9,IF(A10&lt;'Données projet'!$A$62,$AF$205^A10,IF(A10='Données projet'!$A$62,'Données projet'!$B$62,AI9+AH10-AQ9)))</f>
        <v>5.3917045384267919</v>
      </c>
      <c r="AJ10" s="14">
        <f>AI10*VLOOKUP('Données projet'!$B$10,Paramètres!$A$1:$I$89,3,0)*VLOOKUP('Données projet'!$B$10,Paramètres!$A$1:$I$89,5,0)</f>
        <v>4.289640130772356</v>
      </c>
      <c r="AK10" s="14">
        <f t="shared" si="35"/>
        <v>1.6686264997708673</v>
      </c>
      <c r="AL10" s="22">
        <f t="shared" si="4"/>
        <v>10.377314381529446</v>
      </c>
      <c r="AM10" s="62">
        <f t="shared" si="5"/>
        <v>194.50149531726569</v>
      </c>
      <c r="AN10" s="62">
        <f ca="1">AVERAGE(OFFSET($AM$3,0,0,'Données projet'!$E$10+1,1))-AVERAGE(OFFSET($H$3,0,0,'Données projet'!$E$10+1,1))</f>
        <v>394.49874384716014</v>
      </c>
      <c r="AO10" s="62">
        <f t="shared" si="36"/>
        <v>423.72519584013378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1.1099999999999999</v>
      </c>
      <c r="BD10" s="13">
        <f>IF('Données projet'!$A$88&gt;35,BD9+BC10-BL9,IF(A10&lt;'Données projet'!$A$88,$BA$205^A10,IF(A10='Données projet'!$A$88,'Données projet'!$B$88,BD9+BC10-BL9)))</f>
        <v>5.3917045384267919</v>
      </c>
      <c r="BE10" s="14">
        <f>BD10*VLOOKUP('Données projet'!$B$11,Paramètres!$A$1:$I$89,3,0)*VLOOKUP('Données projet'!$B$11,Paramètres!$A$1:$I$89,5,0)</f>
        <v>4.289640130772356</v>
      </c>
      <c r="BF10" s="14">
        <f t="shared" si="37"/>
        <v>1.6686264997708673</v>
      </c>
      <c r="BG10" s="22">
        <f t="shared" si="7"/>
        <v>10.377314381529446</v>
      </c>
      <c r="BH10" s="62">
        <f t="shared" si="8"/>
        <v>194.50149531726569</v>
      </c>
      <c r="BI10" s="62">
        <f ca="1">AVERAGE(OFFSET($BH$3,0,0,'Données projet'!$E$11+1,1))-AVERAGE(OFFSET($H$3,0,0,'Données projet'!$E$11+1,1))</f>
        <v>394.49874384716014</v>
      </c>
      <c r="BJ10" s="62">
        <f t="shared" si="38"/>
        <v>423.72519584013378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3.5781087786895851</v>
      </c>
      <c r="CA10" s="14">
        <f t="shared" si="39"/>
        <v>1.4215440842341414</v>
      </c>
      <c r="CB10" s="22">
        <f t="shared" si="10"/>
        <v>8.707728736258824</v>
      </c>
      <c r="CC10" s="62">
        <f t="shared" si="11"/>
        <v>192.83190967199505</v>
      </c>
      <c r="CD10" s="62">
        <f ca="1">AVERAGE(OFFSET($CC$3,0,0,'Données projet'!$E$12+1,1))-AVERAGE(OFFSET($H$3,0,0,'Données projet'!$E$12+1,1))</f>
        <v>496.33873798282525</v>
      </c>
      <c r="CE10" s="62">
        <f t="shared" si="40"/>
        <v>280.25465074992246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3.1623931623931623</v>
      </c>
      <c r="CT10" s="13">
        <f>IF('Données projet'!$A$140&gt;35,CT9+CS10-DB9,IF(A10&lt;'Données projet'!$A$140,$CQ$205^A10,IF(A10='Données projet'!$A$140,'Données projet'!$B$140,CT9+CS10-DB9)))</f>
        <v>6.0559645368024464</v>
      </c>
      <c r="CU10" s="18">
        <f>CT10*VLOOKUP('Données projet'!$B$13,Paramètres!$A$1:$I$89,3,0)*VLOOKUP('Données projet'!$B$13,Paramètres!$A$1:$I$89,5,0)</f>
        <v>5.7628558532212084</v>
      </c>
      <c r="CV10" s="14">
        <f t="shared" si="41"/>
        <v>2.1659657586703922</v>
      </c>
      <c r="CW10" s="22">
        <f t="shared" si="13"/>
        <v>13.809364307377871</v>
      </c>
      <c r="CX10" s="62">
        <f t="shared" si="14"/>
        <v>197.93354524311411</v>
      </c>
      <c r="CY10" s="62">
        <f ca="1">AVERAGE(OFFSET($CX$3,0,0,'Données projet'!$E$13+1,1))-AVERAGE(OFFSET($H$3,0,0,'Données projet'!$E$13+1,1))</f>
        <v>441.15969139782891</v>
      </c>
      <c r="CZ10" s="62">
        <f t="shared" si="42"/>
        <v>315.06466790224783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4.3623710104576414</v>
      </c>
      <c r="DQ10" s="14">
        <f t="shared" si="43"/>
        <v>1.6936004212396314</v>
      </c>
      <c r="DR10" s="22">
        <f t="shared" si="16"/>
        <v>10.54748357687275</v>
      </c>
      <c r="DS10" s="62">
        <f t="shared" si="17"/>
        <v>194.67166451260897</v>
      </c>
      <c r="DT10" s="62">
        <f ca="1">AVERAGE(OFFSET($DS$3,0,0,'Données projet'!$E$14+1,1))-AVERAGE(OFFSET($H$3,0,0,'Données projet'!$E$14+1,1))</f>
        <v>309.21625451786218</v>
      </c>
      <c r="DU10" s="62">
        <f t="shared" si="44"/>
        <v>302.59481222418219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0.6</v>
      </c>
      <c r="EJ10" s="13">
        <f>IF('Données projet'!$A$192&gt;35,EJ9+EI10-ER9,IF(A10&lt;'Données projet'!$A$192,$EG$205^A10,IF(A10='Données projet'!$A$192,'Données projet'!$B$192,EJ9+EI10-ER9)))</f>
        <v>2.788130973628832</v>
      </c>
      <c r="EK10" s="18">
        <f>EJ10*VLOOKUP('Données projet'!$B$15,Paramètres!$A$1:$I$89,3,0)*VLOOKUP('Données projet'!$B$15,Paramètres!$A$1:$I$89,5,0)</f>
        <v>2.4357112185621479</v>
      </c>
      <c r="EL10" s="14">
        <f t="shared" si="45"/>
        <v>1.0119862660170416</v>
      </c>
      <c r="EM10" s="22">
        <f t="shared" si="19"/>
        <v>6.0047397856420881</v>
      </c>
      <c r="EN10" s="62">
        <f t="shared" si="20"/>
        <v>190.12892072137834</v>
      </c>
      <c r="EO10" s="62">
        <f ca="1">AVERAGE(OFFSET($EN$3,0,0,'Données projet'!$E$15+1,1))-AVERAGE(OFFSET($H$3,0,0,'Données projet'!$E$15+1,1))</f>
        <v>298.56812743477741</v>
      </c>
      <c r="EP10" s="62">
        <f t="shared" si="46"/>
        <v>276.01618888357268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3.2692307692307692</v>
      </c>
      <c r="FE10" s="13">
        <f>IF('Données projet'!$A$218&gt;35,FE9+FD10-FM9,IF(A10&lt;'Données projet'!$A$218,$FB$205^A10,IF(A10='Données projet'!$A$218,'Données projet'!$B$218,FE9+FD10-FM9)))</f>
        <v>11.484495037276947</v>
      </c>
      <c r="FF10" s="18">
        <f>FE10*VLOOKUP('Données projet'!$B$16,Paramètres!$A$1:$I$89,3,0)*VLOOKUP('Données projet'!$B$16,Paramètres!$A$1:$I$89,5,0)</f>
        <v>7.7037992710053755</v>
      </c>
      <c r="FG10" s="14">
        <f t="shared" si="47"/>
        <v>2.7992685579195422</v>
      </c>
      <c r="FH10" s="22">
        <f t="shared" si="22"/>
        <v>18.292843135377566</v>
      </c>
      <c r="FI10" s="62">
        <f t="shared" si="23"/>
        <v>202.41702407111381</v>
      </c>
      <c r="FJ10" s="62">
        <f ca="1">AVERAGE(OFFSET($FI$3,0,0,'Données projet'!$E$16+1,1))-AVERAGE(OFFSET($H$3,0,0,'Données projet'!$E$16+1,1))</f>
        <v>396.0878652679051</v>
      </c>
      <c r="FK10" s="62">
        <f t="shared" si="48"/>
        <v>327.26339199235406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9">
        <f t="shared" si="1"/>
        <v>183.33333333333334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2.8518518518518516</v>
      </c>
      <c r="N11" s="14">
        <f>IF('Données projet'!$A$36&gt;35,N10+M11-V10,IF(A11&lt;'Données projet'!$A$36,$K$205^A11,IF(A11='Données projet'!$A$36,'Données projet'!$B$36,N10+M11-V10)))</f>
        <v>3.6220981534218315</v>
      </c>
      <c r="O11" s="14">
        <f>N11*VLOOKUP('Données projet'!$B$9,Paramètres!$A$1:$I$89,3,0)*VLOOKUP('Données projet'!$B$9,Paramètres!$A$1:$I$89,5,0)</f>
        <v>3.1077602156359316</v>
      </c>
      <c r="P11" s="14">
        <f t="shared" si="33"/>
        <v>1.2551010077107021</v>
      </c>
      <c r="Q11" s="22">
        <f t="shared" si="2"/>
        <v>7.5986499639953875</v>
      </c>
      <c r="R11" s="62">
        <f t="shared" si="0"/>
        <v>194.35192283021595</v>
      </c>
      <c r="S11" s="62">
        <f ca="1">AVERAGE(OFFSET($R$3,0,0,'Données projet'!$E$9+1,1))-AVERAGE(OFFSET($H$3,0,0,'Données projet'!$E$9+1,1))</f>
        <v>478.11504516179713</v>
      </c>
      <c r="T11" s="62">
        <f t="shared" si="34"/>
        <v>249.93713224442419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1.1099999999999999</v>
      </c>
      <c r="AI11" s="14">
        <f>IF('Données projet'!$A$62&gt;35,AI10+AH11-AQ10,IF(A11&lt;'Données projet'!$A$62,$AF$205^A11,IF(A11='Données projet'!$A$62,'Données projet'!$B$62,AI10+AH11-AQ10)))</f>
        <v>6.8589617827012184</v>
      </c>
      <c r="AJ11" s="14">
        <f>AI11*VLOOKUP('Données projet'!$B$10,Paramètres!$A$1:$I$89,3,0)*VLOOKUP('Données projet'!$B$10,Paramètres!$A$1:$I$89,5,0)</f>
        <v>5.4569899943170901</v>
      </c>
      <c r="AK11" s="14">
        <f t="shared" si="35"/>
        <v>2.0640674009203073</v>
      </c>
      <c r="AL11" s="22">
        <f t="shared" si="4"/>
        <v>13.0991749633718</v>
      </c>
      <c r="AM11" s="62">
        <f t="shared" si="5"/>
        <v>199.85244782959236</v>
      </c>
      <c r="AN11" s="62">
        <f ca="1">AVERAGE(OFFSET($AM$3,0,0,'Données projet'!$E$10+1,1))-AVERAGE(OFFSET($H$3,0,0,'Données projet'!$E$10+1,1))</f>
        <v>394.49874384716014</v>
      </c>
      <c r="AO11" s="62">
        <f t="shared" si="36"/>
        <v>423.72519584013378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1.1099999999999999</v>
      </c>
      <c r="BD11" s="13">
        <f>IF('Données projet'!$A$88&gt;35,BD10+BC11-BL10,IF(A11&lt;'Données projet'!$A$88,$BA$205^A11,IF(A11='Données projet'!$A$88,'Données projet'!$B$88,BD10+BC11-BL10)))</f>
        <v>6.8589617827012184</v>
      </c>
      <c r="BE11" s="14">
        <f>BD11*VLOOKUP('Données projet'!$B$11,Paramètres!$A$1:$I$89,3,0)*VLOOKUP('Données projet'!$B$11,Paramètres!$A$1:$I$89,5,0)</f>
        <v>5.4569899943170901</v>
      </c>
      <c r="BF11" s="14">
        <f t="shared" si="37"/>
        <v>2.0640674009203073</v>
      </c>
      <c r="BG11" s="22">
        <f t="shared" si="7"/>
        <v>13.0991749633718</v>
      </c>
      <c r="BH11" s="62">
        <f t="shared" si="8"/>
        <v>199.85244782959236</v>
      </c>
      <c r="BI11" s="62">
        <f ca="1">AVERAGE(OFFSET($BH$3,0,0,'Données projet'!$E$11+1,1))-AVERAGE(OFFSET($H$3,0,0,'Données projet'!$E$11+1,1))</f>
        <v>394.49874384716014</v>
      </c>
      <c r="BJ11" s="62">
        <f t="shared" si="38"/>
        <v>423.72519584013378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4.3133629540748091</v>
      </c>
      <c r="CA11" s="14">
        <f t="shared" si="39"/>
        <v>1.6767776864592203</v>
      </c>
      <c r="CB11" s="22">
        <f t="shared" si="10"/>
        <v>10.432828282263435</v>
      </c>
      <c r="CC11" s="62">
        <f t="shared" si="11"/>
        <v>197.186101148484</v>
      </c>
      <c r="CD11" s="62">
        <f ca="1">AVERAGE(OFFSET($CC$3,0,0,'Données projet'!$E$12+1,1))-AVERAGE(OFFSET($H$3,0,0,'Données projet'!$E$12+1,1))</f>
        <v>496.33873798282525</v>
      </c>
      <c r="CE11" s="62">
        <f t="shared" si="40"/>
        <v>280.25465074992246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3.1623931623931623</v>
      </c>
      <c r="CT11" s="13">
        <f>IF('Données projet'!$A$140&gt;35,CT10+CS11-DB10,IF(A11&lt;'Données projet'!$A$140,$CQ$205^A11,IF(A11='Données projet'!$A$140,'Données projet'!$B$140,CT10+CS11-DB10)))</f>
        <v>7.8329219313664717</v>
      </c>
      <c r="CU11" s="18">
        <f>CT11*VLOOKUP('Données projet'!$B$13,Paramètres!$A$1:$I$89,3,0)*VLOOKUP('Données projet'!$B$13,Paramètres!$A$1:$I$89,5,0)</f>
        <v>7.4538085098883347</v>
      </c>
      <c r="CV11" s="14">
        <f t="shared" si="41"/>
        <v>2.7188513904855807</v>
      </c>
      <c r="CW11" s="22">
        <f t="shared" si="13"/>
        <v>17.717382659817904</v>
      </c>
      <c r="CX11" s="62">
        <f t="shared" si="14"/>
        <v>204.47065552603846</v>
      </c>
      <c r="CY11" s="62">
        <f ca="1">AVERAGE(OFFSET($CX$3,0,0,'Données projet'!$E$13+1,1))-AVERAGE(OFFSET($H$3,0,0,'Données projet'!$E$13+1,1))</f>
        <v>441.15969139782891</v>
      </c>
      <c r="CZ11" s="62">
        <f t="shared" si="42"/>
        <v>315.06466790224783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5.5786176695335605</v>
      </c>
      <c r="DQ11" s="14">
        <f t="shared" si="43"/>
        <v>2.1046649418345189</v>
      </c>
      <c r="DR11" s="22">
        <f t="shared" si="16"/>
        <v>13.381717214799407</v>
      </c>
      <c r="DS11" s="62">
        <f t="shared" si="17"/>
        <v>200.13499008101996</v>
      </c>
      <c r="DT11" s="62">
        <f ca="1">AVERAGE(OFFSET($DS$3,0,0,'Données projet'!$E$14+1,1))-AVERAGE(OFFSET($H$3,0,0,'Données projet'!$E$14+1,1))</f>
        <v>309.21625451786218</v>
      </c>
      <c r="DU11" s="62">
        <f t="shared" si="44"/>
        <v>302.59481222418219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0.6</v>
      </c>
      <c r="EJ11" s="13">
        <f>IF('Données projet'!$A$192&gt;35,EJ10+EI11-ER10,IF(A11&lt;'Données projet'!$A$192,$EG$205^A11,IF(A11='Données projet'!$A$192,'Données projet'!$B$192,EJ10+EI11-ER10)))</f>
        <v>3.227968874176038</v>
      </c>
      <c r="EK11" s="18">
        <f>EJ11*VLOOKUP('Données projet'!$B$15,Paramètres!$A$1:$I$89,3,0)*VLOOKUP('Données projet'!$B$15,Paramètres!$A$1:$I$89,5,0)</f>
        <v>2.8199536084801871</v>
      </c>
      <c r="EL11" s="14">
        <f t="shared" si="45"/>
        <v>1.1518233118873293</v>
      </c>
      <c r="EM11" s="22">
        <f t="shared" si="19"/>
        <v>6.9175114696400923</v>
      </c>
      <c r="EN11" s="62">
        <f t="shared" si="20"/>
        <v>193.67078433586065</v>
      </c>
      <c r="EO11" s="62">
        <f ca="1">AVERAGE(OFFSET($EN$3,0,0,'Données projet'!$E$15+1,1))-AVERAGE(OFFSET($H$3,0,0,'Données projet'!$E$15+1,1))</f>
        <v>298.56812743477741</v>
      </c>
      <c r="EP11" s="62">
        <f t="shared" si="46"/>
        <v>276.01618888357268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3.2692307692307692</v>
      </c>
      <c r="FE11" s="13">
        <f>IF('Données projet'!$A$218&gt;35,FE10+FD11-FM10,IF(A11&lt;'Données projet'!$A$218,$FB$205^A11,IF(A11='Données projet'!$A$218,'Données projet'!$B$218,FE10+FD11-FM10)))</f>
        <v>16.276329088273204</v>
      </c>
      <c r="FF11" s="18">
        <f>FE11*VLOOKUP('Données projet'!$B$16,Paramètres!$A$1:$I$89,3,0)*VLOOKUP('Données projet'!$B$16,Paramètres!$A$1:$I$89,5,0)</f>
        <v>10.918161552413665</v>
      </c>
      <c r="FG11" s="14">
        <f t="shared" si="47"/>
        <v>3.8094385934513699</v>
      </c>
      <c r="FH11" s="22">
        <f t="shared" si="22"/>
        <v>25.650570254048265</v>
      </c>
      <c r="FI11" s="62">
        <f t="shared" si="23"/>
        <v>212.40384312026882</v>
      </c>
      <c r="FJ11" s="62">
        <f ca="1">AVERAGE(OFFSET($FI$3,0,0,'Données projet'!$E$16+1,1))-AVERAGE(OFFSET($H$3,0,0,'Données projet'!$E$16+1,1))</f>
        <v>396.0878652679051</v>
      </c>
      <c r="FK11" s="62">
        <f t="shared" si="48"/>
        <v>327.26339199235406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9">
        <f t="shared" si="1"/>
        <v>183.33333333333334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2.8518518518518516</v>
      </c>
      <c r="N12" s="14">
        <f>IF('Données projet'!$A$36&gt;35,N11+M12-V11,IF(A12&lt;'Données projet'!$A$36,$K$205^A12,IF(A12='Données projet'!$A$36,'Données projet'!$B$36,N11+M12-V11)))</f>
        <v>4.254320865115008</v>
      </c>
      <c r="O12" s="14">
        <f>N12*VLOOKUP('Données projet'!$B$9,Paramètres!$A$1:$I$89,3,0)*VLOOKUP('Données projet'!$B$9,Paramètres!$A$1:$I$89,5,0)</f>
        <v>3.6502073022686772</v>
      </c>
      <c r="P12" s="14">
        <f t="shared" si="33"/>
        <v>1.4468244322500574</v>
      </c>
      <c r="Q12" s="22">
        <f t="shared" si="2"/>
        <v>8.8773302709534629</v>
      </c>
      <c r="R12" s="62">
        <f t="shared" si="0"/>
        <v>198.23528902350952</v>
      </c>
      <c r="S12" s="62">
        <f ca="1">AVERAGE(OFFSET($R$3,0,0,'Données projet'!$E$9+1,1))-AVERAGE(OFFSET($H$3,0,0,'Données projet'!$E$9+1,1))</f>
        <v>478.11504516179713</v>
      </c>
      <c r="T12" s="62">
        <f t="shared" si="34"/>
        <v>249.93713224442419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1.1099999999999999</v>
      </c>
      <c r="AI12" s="14">
        <f>IF('Données projet'!$A$62&gt;35,AI11+AH12-AQ11,IF(A12&lt;'Données projet'!$A$62,$AF$205^A12,IF(A12='Données projet'!$A$62,'Données projet'!$B$62,AI11+AH12-AQ11)))</f>
        <v>8.7255071937385704</v>
      </c>
      <c r="AJ12" s="14">
        <f>AI12*VLOOKUP('Données projet'!$B$10,Paramètres!$A$1:$I$89,3,0)*VLOOKUP('Données projet'!$B$10,Paramètres!$A$1:$I$89,5,0)</f>
        <v>6.9420135233384066</v>
      </c>
      <c r="AK12" s="14">
        <f t="shared" si="35"/>
        <v>2.5532222076821487</v>
      </c>
      <c r="AL12" s="22">
        <f t="shared" si="4"/>
        <v>16.5375355648608</v>
      </c>
      <c r="AM12" s="62">
        <f t="shared" si="5"/>
        <v>205.89549431741688</v>
      </c>
      <c r="AN12" s="62">
        <f ca="1">AVERAGE(OFFSET($AM$3,0,0,'Données projet'!$E$10+1,1))-AVERAGE(OFFSET($H$3,0,0,'Données projet'!$E$10+1,1))</f>
        <v>394.49874384716014</v>
      </c>
      <c r="AO12" s="62">
        <f t="shared" si="36"/>
        <v>423.72519584013378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1.1099999999999999</v>
      </c>
      <c r="BD12" s="13">
        <f>IF('Données projet'!$A$88&gt;35,BD11+BC12-BL11,IF(A12&lt;'Données projet'!$A$88,$BA$205^A12,IF(A12='Données projet'!$A$88,'Données projet'!$B$88,BD11+BC12-BL11)))</f>
        <v>8.7255071937385704</v>
      </c>
      <c r="BE12" s="14">
        <f>BD12*VLOOKUP('Données projet'!$B$11,Paramètres!$A$1:$I$89,3,0)*VLOOKUP('Données projet'!$B$11,Paramètres!$A$1:$I$89,5,0)</f>
        <v>6.9420135233384066</v>
      </c>
      <c r="BF12" s="14">
        <f t="shared" si="37"/>
        <v>2.5532222076821487</v>
      </c>
      <c r="BG12" s="22">
        <f t="shared" si="7"/>
        <v>16.5375355648608</v>
      </c>
      <c r="BH12" s="62">
        <f t="shared" si="8"/>
        <v>205.89549431741688</v>
      </c>
      <c r="BI12" s="62">
        <f ca="1">AVERAGE(OFFSET($BH$3,0,0,'Données projet'!$E$11+1,1))-AVERAGE(OFFSET($H$3,0,0,'Données projet'!$E$11+1,1))</f>
        <v>394.49874384716014</v>
      </c>
      <c r="BJ12" s="62">
        <f t="shared" si="38"/>
        <v>423.72519584013378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5.1997021679141717</v>
      </c>
      <c r="CA12" s="14">
        <f t="shared" si="39"/>
        <v>1.977837649208241</v>
      </c>
      <c r="CB12" s="22">
        <f t="shared" si="10"/>
        <v>12.500881848154869</v>
      </c>
      <c r="CC12" s="62">
        <f t="shared" si="11"/>
        <v>201.85884060071095</v>
      </c>
      <c r="CD12" s="62">
        <f ca="1">AVERAGE(OFFSET($CC$3,0,0,'Données projet'!$E$12+1,1))-AVERAGE(OFFSET($H$3,0,0,'Données projet'!$E$12+1,1))</f>
        <v>496.33873798282525</v>
      </c>
      <c r="CE12" s="62">
        <f t="shared" si="40"/>
        <v>280.25465074992246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3.1623931623931623</v>
      </c>
      <c r="CT12" s="13">
        <f>IF('Données projet'!$A$140&gt;35,CT11+CS12-DB11,IF(A12&lt;'Données projet'!$A$140,$CQ$205^A12,IF(A12='Données projet'!$A$140,'Données projet'!$B$140,CT11+CS12-DB11)))</f>
        <v>10.131278941616319</v>
      </c>
      <c r="CU12" s="18">
        <f>CT12*VLOOKUP('Données projet'!$B$13,Paramètres!$A$1:$I$89,3,0)*VLOOKUP('Données projet'!$B$13,Paramètres!$A$1:$I$89,5,0)</f>
        <v>9.6409250408420899</v>
      </c>
      <c r="CV12" s="14">
        <f t="shared" si="41"/>
        <v>3.412866918119311</v>
      </c>
      <c r="CW12" s="22">
        <f t="shared" si="13"/>
        <v>22.735354328524441</v>
      </c>
      <c r="CX12" s="62">
        <f t="shared" si="14"/>
        <v>212.09331308108051</v>
      </c>
      <c r="CY12" s="62">
        <f ca="1">AVERAGE(OFFSET($CX$3,0,0,'Données projet'!$E$13+1,1))-AVERAGE(OFFSET($H$3,0,0,'Données projet'!$E$13+1,1))</f>
        <v>441.15969139782891</v>
      </c>
      <c r="CZ12" s="62">
        <f t="shared" si="42"/>
        <v>315.06466790224783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7.1339588100662858</v>
      </c>
      <c r="DQ12" s="14">
        <f t="shared" si="43"/>
        <v>2.6155015444227643</v>
      </c>
      <c r="DR12" s="22">
        <f t="shared" si="16"/>
        <v>16.980310117401761</v>
      </c>
      <c r="DS12" s="62">
        <f t="shared" si="17"/>
        <v>206.33826886995783</v>
      </c>
      <c r="DT12" s="62">
        <f ca="1">AVERAGE(OFFSET($DS$3,0,0,'Données projet'!$E$14+1,1))-AVERAGE(OFFSET($H$3,0,0,'Données projet'!$E$14+1,1))</f>
        <v>309.21625451786218</v>
      </c>
      <c r="DU12" s="62">
        <f t="shared" si="44"/>
        <v>302.59481222418219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0.6</v>
      </c>
      <c r="EJ12" s="13">
        <f>IF('Données projet'!$A$192&gt;35,EJ11+EI12-ER11,IF(A12&lt;'Données projet'!$A$192,$EG$205^A12,IF(A12='Données projet'!$A$192,'Données projet'!$B$192,EJ11+EI12-ER11)))</f>
        <v>3.7371928188465526</v>
      </c>
      <c r="EK12" s="18">
        <f>EJ12*VLOOKUP('Données projet'!$B$15,Paramètres!$A$1:$I$89,3,0)*VLOOKUP('Données projet'!$B$15,Paramètres!$A$1:$I$89,5,0)</f>
        <v>3.2648116465443486</v>
      </c>
      <c r="EL12" s="14">
        <f t="shared" si="45"/>
        <v>1.310983149038857</v>
      </c>
      <c r="EM12" s="22">
        <f t="shared" si="19"/>
        <v>7.9695092689740825</v>
      </c>
      <c r="EN12" s="62">
        <f t="shared" si="20"/>
        <v>197.32746802153017</v>
      </c>
      <c r="EO12" s="62">
        <f ca="1">AVERAGE(OFFSET($EN$3,0,0,'Données projet'!$E$15+1,1))-AVERAGE(OFFSET($H$3,0,0,'Données projet'!$E$15+1,1))</f>
        <v>298.56812743477741</v>
      </c>
      <c r="EP12" s="62">
        <f t="shared" si="46"/>
        <v>276.01618888357268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3.2692307692307692</v>
      </c>
      <c r="FE12" s="13">
        <f>IF('Données projet'!$A$218&gt;35,FE11+FD12-FM11,IF(A12&lt;'Données projet'!$A$218,$FB$205^A12,IF(A12='Données projet'!$A$218,'Données projet'!$B$218,FE11+FD12-FM11)))</f>
        <v>23.067526062737759</v>
      </c>
      <c r="FF12" s="18">
        <f>FE12*VLOOKUP('Données projet'!$B$16,Paramètres!$A$1:$I$89,3,0)*VLOOKUP('Données projet'!$B$16,Paramètres!$A$1:$I$89,5,0)</f>
        <v>15.473696482884488</v>
      </c>
      <c r="FG12" s="14">
        <f t="shared" si="47"/>
        <v>5.1841479647319577</v>
      </c>
      <c r="FH12" s="22">
        <f t="shared" si="22"/>
        <v>35.979079079598641</v>
      </c>
      <c r="FI12" s="62">
        <f t="shared" si="23"/>
        <v>225.33703783215472</v>
      </c>
      <c r="FJ12" s="62">
        <f ca="1">AVERAGE(OFFSET($FI$3,0,0,'Données projet'!$E$16+1,1))-AVERAGE(OFFSET($H$3,0,0,'Données projet'!$E$16+1,1))</f>
        <v>396.0878652679051</v>
      </c>
      <c r="FK12" s="62">
        <f t="shared" si="48"/>
        <v>327.26339199235406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9">
        <f t="shared" si="1"/>
        <v>183.33333333333334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2.8518518518518516</v>
      </c>
      <c r="N13" s="14">
        <f>IF('Données projet'!$A$36&gt;35,N12+M13-V12,IF(A13&lt;'Données projet'!$A$36,$K$205^A13,IF(A13='Données projet'!$A$36,'Données projet'!$B$36,N12+M13-V12)))</f>
        <v>4.9968955165542326</v>
      </c>
      <c r="O13" s="14">
        <f>N13*VLOOKUP('Données projet'!$B$9,Paramètres!$A$1:$I$89,3,0)*VLOOKUP('Données projet'!$B$9,Paramètres!$A$1:$I$89,5,0)</f>
        <v>4.287336353203532</v>
      </c>
      <c r="P13" s="14">
        <f t="shared" si="33"/>
        <v>1.6678346403162176</v>
      </c>
      <c r="Q13" s="22">
        <f t="shared" si="2"/>
        <v>10.371922813713566</v>
      </c>
      <c r="R13" s="62">
        <f t="shared" si="0"/>
        <v>202.31058479875844</v>
      </c>
      <c r="S13" s="62">
        <f ca="1">AVERAGE(OFFSET($R$3,0,0,'Données projet'!$E$9+1,1))-AVERAGE(OFFSET($H$3,0,0,'Données projet'!$E$9+1,1))</f>
        <v>478.11504516179713</v>
      </c>
      <c r="T13" s="62">
        <f t="shared" si="34"/>
        <v>249.93713224442419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11.1</v>
      </c>
      <c r="AG13" s="13">
        <f>VLOOKUP(A13,'Données projet'!$A$61:$I$81,9,0)</f>
        <v>1.1099999999999999</v>
      </c>
      <c r="AH13" s="13">
        <f t="array" ref="AH13">INDEX(AG:AG,MIN(IF(ISNUMBER(AG13:AG209),ROW(AG13:AG209),"")))</f>
        <v>1.1099999999999999</v>
      </c>
      <c r="AI13" s="14">
        <f>IF('Données projet'!$A$62&gt;35,AI12+AH13-AQ12,IF(A13&lt;'Données projet'!$A$62,$AF$205^A13,IF(A13='Données projet'!$A$62,'Données projet'!$B$62,AI12+AH13-AQ12)))</f>
        <v>11.1</v>
      </c>
      <c r="AJ13" s="14">
        <f>AI13*VLOOKUP('Données projet'!$B$10,Paramètres!$A$1:$I$89,3,0)*VLOOKUP('Données projet'!$B$10,Paramètres!$A$1:$I$89,5,0)</f>
        <v>8.8311599999999988</v>
      </c>
      <c r="AK13" s="14">
        <f t="shared" si="35"/>
        <v>3.1582997914189717</v>
      </c>
      <c r="AL13" s="22">
        <f t="shared" si="4"/>
        <v>20.881642470054704</v>
      </c>
      <c r="AM13" s="62">
        <f t="shared" si="5"/>
        <v>212.8203044550996</v>
      </c>
      <c r="AN13" s="62">
        <f ca="1">AVERAGE(OFFSET($AM$3,0,0,'Données projet'!$E$10+1,1))-AVERAGE(OFFSET($H$3,0,0,'Données projet'!$E$10+1,1))</f>
        <v>394.49874384716014</v>
      </c>
      <c r="AO13" s="62">
        <f t="shared" si="36"/>
        <v>423.72519584013378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11.1</v>
      </c>
      <c r="BB13" s="13">
        <f>VLOOKUP(A13,'Données projet'!$A$87:$I$107,9,0)</f>
        <v>1.1099999999999999</v>
      </c>
      <c r="BC13" s="13">
        <f t="array" ref="BC13">INDEX(BB:BB,MIN(IF(ISNUMBER(BB13:BB209),ROW(BB13:BB209),"")))</f>
        <v>1.1099999999999999</v>
      </c>
      <c r="BD13" s="13">
        <f>IF('Données projet'!$A$88&gt;35,BD12+BC13-BL12,IF(A13&lt;'Données projet'!$A$88,$BA$205^A13,IF(A13='Données projet'!$A$88,'Données projet'!$B$88,BD12+BC13-BL12)))</f>
        <v>11.1</v>
      </c>
      <c r="BE13" s="14">
        <f>BD13*VLOOKUP('Données projet'!$B$11,Paramètres!$A$1:$I$89,3,0)*VLOOKUP('Données projet'!$B$11,Paramètres!$A$1:$I$89,5,0)</f>
        <v>8.8311599999999988</v>
      </c>
      <c r="BF13" s="14">
        <f t="shared" si="37"/>
        <v>3.1582997914189717</v>
      </c>
      <c r="BG13" s="22">
        <f t="shared" si="7"/>
        <v>20.881642470054704</v>
      </c>
      <c r="BH13" s="62">
        <f t="shared" si="8"/>
        <v>212.8203044550996</v>
      </c>
      <c r="BI13" s="62">
        <f ca="1">AVERAGE(OFFSET($BH$3,0,0,'Données projet'!$E$11+1,1))-AVERAGE(OFFSET($H$3,0,0,'Données projet'!$E$11+1,1))</f>
        <v>394.49874384716014</v>
      </c>
      <c r="BJ13" s="62">
        <f t="shared" si="38"/>
        <v>423.72519584013378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6.2681724035000874</v>
      </c>
      <c r="CA13" s="14">
        <f t="shared" si="39"/>
        <v>2.3329519459947301</v>
      </c>
      <c r="CB13" s="22">
        <f t="shared" si="10"/>
        <v>14.98029157537014</v>
      </c>
      <c r="CC13" s="62">
        <f t="shared" si="11"/>
        <v>206.91895356041502</v>
      </c>
      <c r="CD13" s="62">
        <f ca="1">AVERAGE(OFFSET($CC$3,0,0,'Données projet'!$E$12+1,1))-AVERAGE(OFFSET($H$3,0,0,'Données projet'!$E$12+1,1))</f>
        <v>496.33873798282525</v>
      </c>
      <c r="CE13" s="62">
        <f t="shared" si="40"/>
        <v>280.25465074992246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3.1623931623931623</v>
      </c>
      <c r="CT13" s="13">
        <f>IF('Données projet'!$A$140&gt;35,CT12+CS13-DB12,IF(A13&lt;'Données projet'!$A$140,$CQ$205^A13,IF(A13='Données projet'!$A$140,'Données projet'!$B$140,CT12+CS13-DB12)))</f>
        <v>13.104026044458736</v>
      </c>
      <c r="CU13" s="18">
        <f>CT13*VLOOKUP('Données projet'!$B$13,Paramètres!$A$1:$I$89,3,0)*VLOOKUP('Données projet'!$B$13,Paramètres!$A$1:$I$89,5,0)</f>
        <v>12.469791183906933</v>
      </c>
      <c r="CV13" s="14">
        <f t="shared" si="41"/>
        <v>4.2840372377664062</v>
      </c>
      <c r="CW13" s="22">
        <f t="shared" si="13"/>
        <v>29.179584501081067</v>
      </c>
      <c r="CX13" s="62">
        <f t="shared" si="14"/>
        <v>221.11824648612594</v>
      </c>
      <c r="CY13" s="62">
        <f ca="1">AVERAGE(OFFSET($CX$3,0,0,'Données projet'!$E$13+1,1))-AVERAGE(OFFSET($H$3,0,0,'Données projet'!$E$13+1,1))</f>
        <v>441.15969139782891</v>
      </c>
      <c r="CZ13" s="62">
        <f t="shared" si="42"/>
        <v>315.06466790224783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9.1229353432241354</v>
      </c>
      <c r="DQ13" s="14">
        <f t="shared" si="43"/>
        <v>3.2503265450485803</v>
      </c>
      <c r="DR13" s="22">
        <f t="shared" si="16"/>
        <v>21.550097788741649</v>
      </c>
      <c r="DS13" s="62">
        <f t="shared" si="17"/>
        <v>213.48875977378654</v>
      </c>
      <c r="DT13" s="62">
        <f ca="1">AVERAGE(OFFSET($DS$3,0,0,'Données projet'!$E$14+1,1))-AVERAGE(OFFSET($H$3,0,0,'Données projet'!$E$14+1,1))</f>
        <v>309.21625451786218</v>
      </c>
      <c r="DU13" s="62">
        <f t="shared" si="44"/>
        <v>302.59481222418219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0.6</v>
      </c>
      <c r="EJ13" s="13">
        <f>IF('Données projet'!$A$192&gt;35,EJ12+EI13-ER12,IF(A13&lt;'Données projet'!$A$192,$EG$205^A13,IF(A13='Données projet'!$A$192,'Données projet'!$B$192,EJ12+EI13-ER12)))</f>
        <v>4.3267487109222253</v>
      </c>
      <c r="EK13" s="18">
        <f>EJ13*VLOOKUP('Données projet'!$B$15,Paramètres!$A$1:$I$89,3,0)*VLOOKUP('Données projet'!$B$15,Paramètres!$A$1:$I$89,5,0)</f>
        <v>3.7798476738616569</v>
      </c>
      <c r="EL13" s="14">
        <f t="shared" si="45"/>
        <v>1.4921358157334794</v>
      </c>
      <c r="EM13" s="22">
        <f t="shared" si="19"/>
        <v>9.182037911044862</v>
      </c>
      <c r="EN13" s="62">
        <f t="shared" si="20"/>
        <v>201.12069989608975</v>
      </c>
      <c r="EO13" s="62">
        <f ca="1">AVERAGE(OFFSET($EN$3,0,0,'Données projet'!$E$15+1,1))-AVERAGE(OFFSET($H$3,0,0,'Données projet'!$E$15+1,1))</f>
        <v>298.56812743477741</v>
      </c>
      <c r="EP13" s="62">
        <f t="shared" si="46"/>
        <v>276.01618888357268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32.692307692307693</v>
      </c>
      <c r="FC13" s="13">
        <f>VLOOKUP(A13,'Données projet'!$A$217:$I$237,9,0)</f>
        <v>3.2692307692307692</v>
      </c>
      <c r="FD13" s="13">
        <f t="array" ref="FD13">INDEX(FC:FC,MIN(IF(ISNUMBER(FC13:FC209),ROW(FC13:FC209),"")))</f>
        <v>3.2692307692307692</v>
      </c>
      <c r="FE13" s="13">
        <f>IF('Données projet'!$A$218&gt;35,FE12+FD13-FM12,IF(A13&lt;'Données projet'!$A$218,$FB$205^A13,IF(A13='Données projet'!$A$218,'Données projet'!$B$218,FE12+FD13-FM12)))</f>
        <v>32.692307692307693</v>
      </c>
      <c r="FF13" s="18">
        <f>FE13*VLOOKUP('Données projet'!$B$16,Paramètres!$A$1:$I$89,3,0)*VLOOKUP('Données projet'!$B$16,Paramètres!$A$1:$I$89,5,0)</f>
        <v>21.930000000000003</v>
      </c>
      <c r="FG13" s="14">
        <f t="shared" si="47"/>
        <v>7.0549477202322466</v>
      </c>
      <c r="FH13" s="22">
        <f t="shared" si="22"/>
        <v>50.482117279404498</v>
      </c>
      <c r="FI13" s="62">
        <f t="shared" si="23"/>
        <v>242.42077926444938</v>
      </c>
      <c r="FJ13" s="62">
        <f ca="1">AVERAGE(OFFSET($FI$3,0,0,'Données projet'!$E$16+1,1))-AVERAGE(OFFSET($H$3,0,0,'Données projet'!$E$16+1,1))</f>
        <v>396.0878652679051</v>
      </c>
      <c r="FK13" s="62">
        <f t="shared" si="48"/>
        <v>327.26339199235406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9">
        <f t="shared" si="1"/>
        <v>183.33333333333334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2.8518518518518516</v>
      </c>
      <c r="N14" s="14">
        <f>IF('Données projet'!$A$36&gt;35,N13+M14-V13,IF(A14&lt;'Données projet'!$A$36,$K$205^A14,IF(A14='Données projet'!$A$36,'Données projet'!$B$36,N13+M14-V13)))</f>
        <v>5.8690835964213983</v>
      </c>
      <c r="O14" s="14">
        <f>N14*VLOOKUP('Données projet'!$B$9,Paramètres!$A$1:$I$89,3,0)*VLOOKUP('Données projet'!$B$9,Paramètres!$A$1:$I$89,5,0)</f>
        <v>5.0356737257295601</v>
      </c>
      <c r="P14" s="14">
        <f t="shared" si="33"/>
        <v>1.922605345496381</v>
      </c>
      <c r="Q14" s="22">
        <f t="shared" si="2"/>
        <v>12.119002715718514</v>
      </c>
      <c r="R14" s="62">
        <f t="shared" si="0"/>
        <v>206.61480132483265</v>
      </c>
      <c r="S14" s="62">
        <f ca="1">AVERAGE(OFFSET($R$3,0,0,'Données projet'!$E$9+1,1))-AVERAGE(OFFSET($H$3,0,0,'Données projet'!$E$9+1,1))</f>
        <v>478.11504516179713</v>
      </c>
      <c r="T14" s="62">
        <f t="shared" si="34"/>
        <v>249.93713224442419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10.68</v>
      </c>
      <c r="AI14" s="14">
        <f>IF('Données projet'!$A$62&gt;35,AI13+AH14-AQ13,IF(A14&lt;'Données projet'!$A$62,$AF$205^A14,IF(A14='Données projet'!$A$62,'Données projet'!$B$62,AI13+AH14-AQ13)))</f>
        <v>21.78</v>
      </c>
      <c r="AJ14" s="14">
        <f>AI14*VLOOKUP('Données projet'!$B$10,Paramètres!$A$1:$I$89,3,0)*VLOOKUP('Données projet'!$B$10,Paramètres!$A$1:$I$89,5,0)</f>
        <v>17.328168000000002</v>
      </c>
      <c r="AK14" s="14">
        <f t="shared" si="35"/>
        <v>5.7294628302508057</v>
      </c>
      <c r="AL14" s="22">
        <f t="shared" si="4"/>
        <v>40.158707029353486</v>
      </c>
      <c r="AM14" s="62">
        <f t="shared" si="5"/>
        <v>234.65450563846761</v>
      </c>
      <c r="AN14" s="62">
        <f ca="1">AVERAGE(OFFSET($AM$3,0,0,'Données projet'!$E$10+1,1))-AVERAGE(OFFSET($H$3,0,0,'Données projet'!$E$10+1,1))</f>
        <v>394.49874384716014</v>
      </c>
      <c r="AO14" s="62">
        <f t="shared" si="36"/>
        <v>423.72519584013378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10.68</v>
      </c>
      <c r="BD14" s="13">
        <f>IF('Données projet'!$A$88&gt;35,BD13+BC14-BL13,IF(A14&lt;'Données projet'!$A$88,$BA$205^A14,IF(A14='Données projet'!$A$88,'Données projet'!$B$88,BD13+BC14-BL13)))</f>
        <v>21.78</v>
      </c>
      <c r="BE14" s="14">
        <f>BD14*VLOOKUP('Données projet'!$B$11,Paramètres!$A$1:$I$89,3,0)*VLOOKUP('Données projet'!$B$11,Paramètres!$A$1:$I$89,5,0)</f>
        <v>17.328168000000002</v>
      </c>
      <c r="BF14" s="14">
        <f t="shared" si="37"/>
        <v>5.7294628302508057</v>
      </c>
      <c r="BG14" s="22">
        <f t="shared" si="7"/>
        <v>40.158707029353486</v>
      </c>
      <c r="BH14" s="62">
        <f t="shared" si="8"/>
        <v>234.65450563846761</v>
      </c>
      <c r="BI14" s="62">
        <f ca="1">AVERAGE(OFFSET($BH$3,0,0,'Données projet'!$E$11+1,1))-AVERAGE(OFFSET($H$3,0,0,'Données projet'!$E$11+1,1))</f>
        <v>394.49874384716014</v>
      </c>
      <c r="BJ14" s="62">
        <f t="shared" si="38"/>
        <v>423.72519584013378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7.5561991843392455</v>
      </c>
      <c r="CA14" s="14">
        <f t="shared" si="39"/>
        <v>2.7518258561310041</v>
      </c>
      <c r="CB14" s="22">
        <f t="shared" si="10"/>
        <v>17.953143612152349</v>
      </c>
      <c r="CC14" s="62">
        <f t="shared" si="11"/>
        <v>212.44894222126649</v>
      </c>
      <c r="CD14" s="62">
        <f ca="1">AVERAGE(OFFSET($CC$3,0,0,'Données projet'!$E$12+1,1))-AVERAGE(OFFSET($H$3,0,0,'Données projet'!$E$12+1,1))</f>
        <v>496.33873798282525</v>
      </c>
      <c r="CE14" s="62">
        <f t="shared" si="40"/>
        <v>280.25465074992246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3.1623931623931623</v>
      </c>
      <c r="CT14" s="13">
        <f>IF('Données projet'!$A$140&gt;35,CT13+CS14-DB13,IF(A14&lt;'Données projet'!$A$140,$CQ$205^A14,IF(A14='Données projet'!$A$140,'Données projet'!$B$140,CT13+CS14-DB13)))</f>
        <v>16.949044593816883</v>
      </c>
      <c r="CU14" s="18">
        <f>CT14*VLOOKUP('Données projet'!$B$13,Paramètres!$A$1:$I$89,3,0)*VLOOKUP('Données projet'!$B$13,Paramètres!$A$1:$I$89,5,0)</f>
        <v>16.128710835476145</v>
      </c>
      <c r="CV14" s="14">
        <f t="shared" si="41"/>
        <v>5.3775829807869533</v>
      </c>
      <c r="CW14" s="22">
        <f t="shared" si="13"/>
        <v>37.456795063324897</v>
      </c>
      <c r="CX14" s="62">
        <f t="shared" si="14"/>
        <v>231.95259367243904</v>
      </c>
      <c r="CY14" s="62">
        <f ca="1">AVERAGE(OFFSET($CX$3,0,0,'Données projet'!$E$13+1,1))-AVERAGE(OFFSET($H$3,0,0,'Données projet'!$E$13+1,1))</f>
        <v>441.15969139782891</v>
      </c>
      <c r="CZ14" s="62">
        <f t="shared" si="42"/>
        <v>315.06466790224783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11.666446568097685</v>
      </c>
      <c r="DQ14" s="14">
        <f t="shared" si="43"/>
        <v>4.0392339557111736</v>
      </c>
      <c r="DR14" s="22">
        <f t="shared" si="16"/>
        <v>27.354060245633761</v>
      </c>
      <c r="DS14" s="62">
        <f t="shared" si="17"/>
        <v>221.84985885474788</v>
      </c>
      <c r="DT14" s="62">
        <f ca="1">AVERAGE(OFFSET($DS$3,0,0,'Données projet'!$E$14+1,1))-AVERAGE(OFFSET($H$3,0,0,'Données projet'!$E$14+1,1))</f>
        <v>309.21625451786218</v>
      </c>
      <c r="DU14" s="62">
        <f t="shared" si="44"/>
        <v>302.59481222418219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0.6</v>
      </c>
      <c r="EJ14" s="13">
        <f>IF('Données projet'!$A$192&gt;35,EJ13+EI14-ER13,IF(A14&lt;'Données projet'!$A$192,$EG$205^A14,IF(A14='Données projet'!$A$192,'Données projet'!$B$192,EJ13+EI14-ER13)))</f>
        <v>5.0093092101266317</v>
      </c>
      <c r="EK14" s="18">
        <f>EJ14*VLOOKUP('Données projet'!$B$15,Paramètres!$A$1:$I$89,3,0)*VLOOKUP('Données projet'!$B$15,Paramètres!$A$1:$I$89,5,0)</f>
        <v>4.3761325259666259</v>
      </c>
      <c r="EL14" s="14">
        <f t="shared" si="45"/>
        <v>1.69832029818762</v>
      </c>
      <c r="EM14" s="22">
        <f t="shared" si="19"/>
        <v>10.579672002068646</v>
      </c>
      <c r="EN14" s="62">
        <f t="shared" si="20"/>
        <v>205.07547061118277</v>
      </c>
      <c r="EO14" s="62">
        <f ca="1">AVERAGE(OFFSET($EN$3,0,0,'Données projet'!$E$15+1,1))-AVERAGE(OFFSET($H$3,0,0,'Données projet'!$E$15+1,1))</f>
        <v>298.56812743477741</v>
      </c>
      <c r="EP14" s="62">
        <f t="shared" si="46"/>
        <v>276.01618888357268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9.1025641025641022</v>
      </c>
      <c r="FE14" s="13">
        <f>IF('Données projet'!$A$218&gt;35,FE13+FD14-FM13,IF(A14&lt;'Données projet'!$A$218,$FB$205^A14,IF(A14='Données projet'!$A$218,'Données projet'!$B$218,FE13+FD14-FM13)))</f>
        <v>41.794871794871796</v>
      </c>
      <c r="FF14" s="18">
        <f>FE14*VLOOKUP('Données projet'!$B$16,Paramètres!$A$1:$I$89,3,0)*VLOOKUP('Données projet'!$B$16,Paramètres!$A$1:$I$89,5,0)</f>
        <v>28.035999999999998</v>
      </c>
      <c r="FG14" s="14">
        <f t="shared" si="47"/>
        <v>8.7650413206161684</v>
      </c>
      <c r="FH14" s="22">
        <f t="shared" si="22"/>
        <v>64.095146966739819</v>
      </c>
      <c r="FI14" s="62">
        <f t="shared" si="23"/>
        <v>258.59094557585394</v>
      </c>
      <c r="FJ14" s="62">
        <f ca="1">AVERAGE(OFFSET($FI$3,0,0,'Données projet'!$E$16+1,1))-AVERAGE(OFFSET($H$3,0,0,'Données projet'!$E$16+1,1))</f>
        <v>396.0878652679051</v>
      </c>
      <c r="FK14" s="62">
        <f t="shared" si="48"/>
        <v>327.26339199235406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9">
        <f t="shared" si="1"/>
        <v>183.33333333333334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2.8518518518518516</v>
      </c>
      <c r="N15" s="14">
        <f>IF('Données projet'!$A$36&gt;35,N14+M15-V14,IF(A15&lt;'Données projet'!$A$36,$K$205^A15,IF(A15='Données projet'!$A$36,'Données projet'!$B$36,N14+M15-V14)))</f>
        <v>6.8935086090285438</v>
      </c>
      <c r="O15" s="14">
        <f>N15*VLOOKUP('Données projet'!$B$9,Paramètres!$A$1:$I$89,3,0)*VLOOKUP('Données projet'!$B$9,Paramètres!$A$1:$I$89,5,0)</f>
        <v>5.9146303865464915</v>
      </c>
      <c r="P15" s="14">
        <f t="shared" si="33"/>
        <v>2.216293645172418</v>
      </c>
      <c r="Q15" s="22">
        <f t="shared" si="2"/>
        <v>14.161359355243766</v>
      </c>
      <c r="R15" s="62">
        <f t="shared" si="0"/>
        <v>211.19113680797665</v>
      </c>
      <c r="S15" s="62">
        <f ca="1">AVERAGE(OFFSET($R$3,0,0,'Données projet'!$E$9+1,1))-AVERAGE(OFFSET($H$3,0,0,'Données projet'!$E$9+1,1))</f>
        <v>478.11504516179713</v>
      </c>
      <c r="T15" s="62">
        <f t="shared" si="34"/>
        <v>249.93713224442419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10.68</v>
      </c>
      <c r="AI15" s="14">
        <f>IF('Données projet'!$A$62&gt;35,AI14+AH15-AQ14,IF(A15&lt;'Données projet'!$A$62,$AF$205^A15,IF(A15='Données projet'!$A$62,'Données projet'!$B$62,AI14+AH15-AQ14)))</f>
        <v>32.46</v>
      </c>
      <c r="AJ15" s="14">
        <f>AI15*VLOOKUP('Données projet'!$B$10,Paramètres!$A$1:$I$89,3,0)*VLOOKUP('Données projet'!$B$10,Paramètres!$A$1:$I$89,5,0)</f>
        <v>25.825176000000003</v>
      </c>
      <c r="AK15" s="14">
        <f t="shared" si="35"/>
        <v>8.1514246027621944</v>
      </c>
      <c r="AL15" s="22">
        <f t="shared" si="4"/>
        <v>59.175912716477491</v>
      </c>
      <c r="AM15" s="62">
        <f t="shared" si="5"/>
        <v>256.20569016921036</v>
      </c>
      <c r="AN15" s="62">
        <f ca="1">AVERAGE(OFFSET($AM$3,0,0,'Données projet'!$E$10+1,1))-AVERAGE(OFFSET($H$3,0,0,'Données projet'!$E$10+1,1))</f>
        <v>394.49874384716014</v>
      </c>
      <c r="AO15" s="62">
        <f t="shared" si="36"/>
        <v>423.72519584013378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10.68</v>
      </c>
      <c r="BD15" s="13">
        <f>IF('Données projet'!$A$88&gt;35,BD14+BC15-BL14,IF(A15&lt;'Données projet'!$A$88,$BA$205^A15,IF(A15='Données projet'!$A$88,'Données projet'!$B$88,BD14+BC15-BL14)))</f>
        <v>32.46</v>
      </c>
      <c r="BE15" s="14">
        <f>BD15*VLOOKUP('Données projet'!$B$11,Paramètres!$A$1:$I$89,3,0)*VLOOKUP('Données projet'!$B$11,Paramètres!$A$1:$I$89,5,0)</f>
        <v>25.825176000000003</v>
      </c>
      <c r="BF15" s="14">
        <f t="shared" si="37"/>
        <v>8.1514246027621944</v>
      </c>
      <c r="BG15" s="22">
        <f t="shared" si="7"/>
        <v>59.175912716477491</v>
      </c>
      <c r="BH15" s="62">
        <f t="shared" si="8"/>
        <v>256.20569016921036</v>
      </c>
      <c r="BI15" s="62">
        <f ca="1">AVERAGE(OFFSET($BH$3,0,0,'Données projet'!$E$11+1,1))-AVERAGE(OFFSET($H$3,0,0,'Données projet'!$E$11+1,1))</f>
        <v>394.49874384716014</v>
      </c>
      <c r="BJ15" s="62">
        <f t="shared" si="38"/>
        <v>423.72519584013378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9.1088984855501316</v>
      </c>
      <c r="CA15" s="14">
        <f t="shared" si="39"/>
        <v>3.2459072101643005</v>
      </c>
      <c r="CB15" s="22">
        <f t="shared" si="10"/>
        <v>21.517953253369303</v>
      </c>
      <c r="CC15" s="62">
        <f t="shared" si="11"/>
        <v>218.54773070610219</v>
      </c>
      <c r="CD15" s="62">
        <f ca="1">AVERAGE(OFFSET($CC$3,0,0,'Données projet'!$E$12+1,1))-AVERAGE(OFFSET($H$3,0,0,'Données projet'!$E$12+1,1))</f>
        <v>496.33873798282525</v>
      </c>
      <c r="CE15" s="62">
        <f t="shared" si="40"/>
        <v>280.25465074992246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3.1623931623931623</v>
      </c>
      <c r="CT15" s="13">
        <f>IF('Données projet'!$A$140&gt;35,CT14+CS15-DB14,IF(A15&lt;'Données projet'!$A$140,$CQ$205^A15,IF(A15='Données projet'!$A$140,'Données projet'!$B$140,CT14+CS15-DB14)))</f>
        <v>21.922278822444071</v>
      </c>
      <c r="CU15" s="18">
        <f>CT15*VLOOKUP('Données projet'!$B$13,Paramètres!$A$1:$I$89,3,0)*VLOOKUP('Données projet'!$B$13,Paramètres!$A$1:$I$89,5,0)</f>
        <v>20.861240527437776</v>
      </c>
      <c r="CV15" s="14">
        <f t="shared" si="41"/>
        <v>6.750267822211284</v>
      </c>
      <c r="CW15" s="22">
        <f t="shared" si="13"/>
        <v>48.090043708972111</v>
      </c>
      <c r="CX15" s="62">
        <f t="shared" si="14"/>
        <v>245.11982116170498</v>
      </c>
      <c r="CY15" s="62">
        <f ca="1">AVERAGE(OFFSET($CX$3,0,0,'Données projet'!$E$13+1,1))-AVERAGE(OFFSET($H$3,0,0,'Données projet'!$E$13+1,1))</f>
        <v>441.15969139782891</v>
      </c>
      <c r="CZ15" s="62">
        <f t="shared" si="42"/>
        <v>315.06466790224783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14.919098996724562</v>
      </c>
      <c r="DQ15" s="14">
        <f t="shared" si="43"/>
        <v>5.019622097301081</v>
      </c>
      <c r="DR15" s="22">
        <f t="shared" si="16"/>
        <v>34.726605905427995</v>
      </c>
      <c r="DS15" s="62">
        <f t="shared" si="17"/>
        <v>231.75638335816086</v>
      </c>
      <c r="DT15" s="62">
        <f ca="1">AVERAGE(OFFSET($DS$3,0,0,'Données projet'!$E$14+1,1))-AVERAGE(OFFSET($H$3,0,0,'Données projet'!$E$14+1,1))</f>
        <v>309.21625451786218</v>
      </c>
      <c r="DU15" s="62">
        <f t="shared" si="44"/>
        <v>302.59481222418219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0.6</v>
      </c>
      <c r="EJ15" s="13">
        <f>IF('Données projet'!$A$192&gt;35,EJ14+EI15-ER14,IF(A15&lt;'Données projet'!$A$192,$EG$205^A15,IF(A15='Données projet'!$A$192,'Données projet'!$B$192,EJ14+EI15-ER14)))</f>
        <v>5.799546134795289</v>
      </c>
      <c r="EK15" s="18">
        <f>EJ15*VLOOKUP('Données projet'!$B$15,Paramètres!$A$1:$I$89,3,0)*VLOOKUP('Données projet'!$B$15,Paramètres!$A$1:$I$89,5,0)</f>
        <v>5.0664835033571656</v>
      </c>
      <c r="EL15" s="14">
        <f t="shared" si="45"/>
        <v>1.9329955120863267</v>
      </c>
      <c r="EM15" s="22">
        <f t="shared" si="19"/>
        <v>12.190759285230749</v>
      </c>
      <c r="EN15" s="62">
        <f t="shared" si="20"/>
        <v>209.22053673796361</v>
      </c>
      <c r="EO15" s="62">
        <f ca="1">AVERAGE(OFFSET($EN$3,0,0,'Données projet'!$E$15+1,1))-AVERAGE(OFFSET($H$3,0,0,'Données projet'!$E$15+1,1))</f>
        <v>298.56812743477741</v>
      </c>
      <c r="EP15" s="62">
        <f t="shared" si="46"/>
        <v>276.01618888357268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9.1025641025641022</v>
      </c>
      <c r="FE15" s="13">
        <f>IF('Données projet'!$A$218&gt;35,FE14+FD15-FM14,IF(A15&lt;'Données projet'!$A$218,$FB$205^A15,IF(A15='Données projet'!$A$218,'Données projet'!$B$218,FE14+FD15-FM14)))</f>
        <v>50.897435897435898</v>
      </c>
      <c r="FF15" s="18">
        <f>FE15*VLOOKUP('Données projet'!$B$16,Paramètres!$A$1:$I$89,3,0)*VLOOKUP('Données projet'!$B$16,Paramètres!$A$1:$I$89,5,0)</f>
        <v>34.142000000000003</v>
      </c>
      <c r="FG15" s="14">
        <f t="shared" si="47"/>
        <v>10.431966606093619</v>
      </c>
      <c r="FH15" s="22">
        <f t="shared" si="22"/>
        <v>77.632991838946381</v>
      </c>
      <c r="FI15" s="62">
        <f t="shared" si="23"/>
        <v>274.66276929167924</v>
      </c>
      <c r="FJ15" s="62">
        <f ca="1">AVERAGE(OFFSET($FI$3,0,0,'Données projet'!$E$16+1,1))-AVERAGE(OFFSET($H$3,0,0,'Données projet'!$E$16+1,1))</f>
        <v>396.0878652679051</v>
      </c>
      <c r="FK15" s="62">
        <f t="shared" si="48"/>
        <v>327.26339199235406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9">
        <f t="shared" si="1"/>
        <v>183.33333333333334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2.8518518518518516</v>
      </c>
      <c r="N16" s="14">
        <f>IF('Données projet'!$A$36&gt;35,N15+M16-V15,IF(A16&lt;'Données projet'!$A$36,$K$205^A16,IF(A16='Données projet'!$A$36,'Données projet'!$B$36,N15+M16-V15)))</f>
        <v>8.096742900667774</v>
      </c>
      <c r="O16" s="14">
        <f>N16*VLOOKUP('Données projet'!$B$9,Paramètres!$A$1:$I$89,3,0)*VLOOKUP('Données projet'!$B$9,Paramètres!$A$1:$I$89,5,0)</f>
        <v>6.9470054087729514</v>
      </c>
      <c r="P16" s="14">
        <f t="shared" si="33"/>
        <v>2.5548444110683914</v>
      </c>
      <c r="Q16" s="22">
        <f t="shared" si="2"/>
        <v>16.549055102890339</v>
      </c>
      <c r="R16" s="62">
        <f t="shared" si="0"/>
        <v>216.09005535450916</v>
      </c>
      <c r="S16" s="62">
        <f ca="1">AVERAGE(OFFSET($R$3,0,0,'Données projet'!$E$9+1,1))-AVERAGE(OFFSET($H$3,0,0,'Données projet'!$E$9+1,1))</f>
        <v>478.11504516179713</v>
      </c>
      <c r="T16" s="62">
        <f t="shared" si="34"/>
        <v>249.93713224442419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10.68</v>
      </c>
      <c r="AI16" s="14">
        <f>IF('Données projet'!$A$62&gt;35,AI15+AH16-AQ15,IF(A16&lt;'Données projet'!$A$62,$AF$205^A16,IF(A16='Données projet'!$A$62,'Données projet'!$B$62,AI15+AH16-AQ15)))</f>
        <v>43.14</v>
      </c>
      <c r="AJ16" s="14">
        <f>AI16*VLOOKUP('Données projet'!$B$10,Paramètres!$A$1:$I$89,3,0)*VLOOKUP('Données projet'!$B$10,Paramètres!$A$1:$I$89,5,0)</f>
        <v>34.322184</v>
      </c>
      <c r="AK16" s="14">
        <f t="shared" si="35"/>
        <v>10.480597920580347</v>
      </c>
      <c r="AL16" s="22">
        <f t="shared" si="4"/>
        <v>78.031511845010769</v>
      </c>
      <c r="AM16" s="62">
        <f t="shared" si="5"/>
        <v>277.57251209662957</v>
      </c>
      <c r="AN16" s="62">
        <f ca="1">AVERAGE(OFFSET($AM$3,0,0,'Données projet'!$E$10+1,1))-AVERAGE(OFFSET($H$3,0,0,'Données projet'!$E$10+1,1))</f>
        <v>394.49874384716014</v>
      </c>
      <c r="AO16" s="62">
        <f t="shared" si="36"/>
        <v>423.72519584013378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10.68</v>
      </c>
      <c r="BD16" s="13">
        <f>IF('Données projet'!$A$88&gt;35,BD15+BC16-BL15,IF(A16&lt;'Données projet'!$A$88,$BA$205^A16,IF(A16='Données projet'!$A$88,'Données projet'!$B$88,BD15+BC16-BL15)))</f>
        <v>43.14</v>
      </c>
      <c r="BE16" s="14">
        <f>BD16*VLOOKUP('Données projet'!$B$11,Paramètres!$A$1:$I$89,3,0)*VLOOKUP('Données projet'!$B$11,Paramètres!$A$1:$I$89,5,0)</f>
        <v>34.322184</v>
      </c>
      <c r="BF16" s="14">
        <f t="shared" si="37"/>
        <v>10.480597920580347</v>
      </c>
      <c r="BG16" s="22">
        <f t="shared" si="7"/>
        <v>78.031511845010769</v>
      </c>
      <c r="BH16" s="62">
        <f t="shared" si="8"/>
        <v>277.57251209662957</v>
      </c>
      <c r="BI16" s="62">
        <f ca="1">AVERAGE(OFFSET($BH$3,0,0,'Données projet'!$E$11+1,1))-AVERAGE(OFFSET($H$3,0,0,'Données projet'!$E$11+1,1))</f>
        <v>394.49874384716014</v>
      </c>
      <c r="BJ16" s="62">
        <f t="shared" si="38"/>
        <v>423.72519584013378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10.98065702026792</v>
      </c>
      <c r="CA16" s="14">
        <f t="shared" si="39"/>
        <v>3.8286992592655618</v>
      </c>
      <c r="CB16" s="22">
        <f t="shared" si="10"/>
        <v>25.792962186854144</v>
      </c>
      <c r="CC16" s="62">
        <f t="shared" si="11"/>
        <v>225.33396243847295</v>
      </c>
      <c r="CD16" s="62">
        <f ca="1">AVERAGE(OFFSET($CC$3,0,0,'Données projet'!$E$12+1,1))-AVERAGE(OFFSET($H$3,0,0,'Données projet'!$E$12+1,1))</f>
        <v>496.33873798282525</v>
      </c>
      <c r="CE16" s="62">
        <f t="shared" si="40"/>
        <v>280.25465074992246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3.1623931623931623</v>
      </c>
      <c r="CT16" s="13">
        <f>IF('Données projet'!$A$140&gt;35,CT15+CS16-DB15,IF(A16&lt;'Données projet'!$A$140,$CQ$205^A16,IF(A16='Données projet'!$A$140,'Données projet'!$B$140,CT15+CS16-DB15)))</f>
        <v>28.35477280791984</v>
      </c>
      <c r="CU16" s="18">
        <f>CT16*VLOOKUP('Données projet'!$B$13,Paramètres!$A$1:$I$89,3,0)*VLOOKUP('Données projet'!$B$13,Paramètres!$A$1:$I$89,5,0)</f>
        <v>26.982401804016519</v>
      </c>
      <c r="CV16" s="14">
        <f t="shared" si="41"/>
        <v>8.4733449645277137</v>
      </c>
      <c r="CW16" s="22">
        <f t="shared" si="13"/>
        <v>61.752092288547864</v>
      </c>
      <c r="CX16" s="62">
        <f t="shared" si="14"/>
        <v>261.2930925401667</v>
      </c>
      <c r="CY16" s="62">
        <f ca="1">AVERAGE(OFFSET($CX$3,0,0,'Données projet'!$E$13+1,1))-AVERAGE(OFFSET($H$3,0,0,'Données projet'!$E$13+1,1))</f>
        <v>441.15969139782891</v>
      </c>
      <c r="CZ16" s="62">
        <f t="shared" si="42"/>
        <v>315.06466790224783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19.078604061215994</v>
      </c>
      <c r="DQ16" s="14">
        <f t="shared" si="43"/>
        <v>6.2379664748280286</v>
      </c>
      <c r="DR16" s="22">
        <f t="shared" si="16"/>
        <v>44.093027016943331</v>
      </c>
      <c r="DS16" s="62">
        <f t="shared" si="17"/>
        <v>243.63402726856214</v>
      </c>
      <c r="DT16" s="62">
        <f ca="1">AVERAGE(OFFSET($DS$3,0,0,'Données projet'!$E$14+1,1))-AVERAGE(OFFSET($H$3,0,0,'Données projet'!$E$14+1,1))</f>
        <v>309.21625451786218</v>
      </c>
      <c r="DU16" s="62">
        <f t="shared" si="44"/>
        <v>302.59481222418219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0.6</v>
      </c>
      <c r="EJ16" s="13">
        <f>IF('Données projet'!$A$192&gt;35,EJ15+EI16-ER15,IF(A16&lt;'Données projet'!$A$192,$EG$205^A16,IF(A16='Données projet'!$A$192,'Données projet'!$B$192,EJ15+EI16-ER15)))</f>
        <v>6.7144458364886441</v>
      </c>
      <c r="EK16" s="18">
        <f>EJ16*VLOOKUP('Données projet'!$B$15,Paramètres!$A$1:$I$89,3,0)*VLOOKUP('Données projet'!$B$15,Paramètres!$A$1:$I$89,5,0)</f>
        <v>5.86573988275648</v>
      </c>
      <c r="EL16" s="14">
        <f t="shared" si="45"/>
        <v>2.2000983287624218</v>
      </c>
      <c r="EM16" s="22">
        <f t="shared" si="19"/>
        <v>14.048001551728753</v>
      </c>
      <c r="EN16" s="62">
        <f t="shared" si="20"/>
        <v>213.58900180334757</v>
      </c>
      <c r="EO16" s="62">
        <f ca="1">AVERAGE(OFFSET($EN$3,0,0,'Données projet'!$E$15+1,1))-AVERAGE(OFFSET($H$3,0,0,'Données projet'!$E$15+1,1))</f>
        <v>298.56812743477741</v>
      </c>
      <c r="EP16" s="62">
        <f t="shared" si="46"/>
        <v>276.01618888357268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9.1025641025641022</v>
      </c>
      <c r="FE16" s="13">
        <f>IF('Données projet'!$A$218&gt;35,FE15+FD16-FM15,IF(A16&lt;'Données projet'!$A$218,$FB$205^A16,IF(A16='Données projet'!$A$218,'Données projet'!$B$218,FE15+FD16-FM15)))</f>
        <v>60</v>
      </c>
      <c r="FF16" s="18">
        <f>FE16*VLOOKUP('Données projet'!$B$16,Paramètres!$A$1:$I$89,3,0)*VLOOKUP('Données projet'!$B$16,Paramètres!$A$1:$I$89,5,0)</f>
        <v>40.248000000000005</v>
      </c>
      <c r="FG16" s="14">
        <f t="shared" si="47"/>
        <v>12.064355669675363</v>
      </c>
      <c r="FH16" s="22">
        <f t="shared" si="22"/>
        <v>91.110686124684605</v>
      </c>
      <c r="FI16" s="62">
        <f t="shared" si="23"/>
        <v>290.65168637630342</v>
      </c>
      <c r="FJ16" s="62">
        <f ca="1">AVERAGE(OFFSET($FI$3,0,0,'Données projet'!$E$16+1,1))-AVERAGE(OFFSET($H$3,0,0,'Données projet'!$E$16+1,1))</f>
        <v>396.0878652679051</v>
      </c>
      <c r="FK16" s="62">
        <f t="shared" si="48"/>
        <v>327.26339199235406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9">
        <f t="shared" si="1"/>
        <v>183.33333333333334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2.8518518518518516</v>
      </c>
      <c r="N17" s="14">
        <f>IF('Données projet'!$A$36&gt;35,N16+M17-V16,IF(A17&lt;'Données projet'!$A$36,$K$205^A17,IF(A17='Données projet'!$A$36,'Données projet'!$B$36,N16+M17-V16)))</f>
        <v>9.509996914147985</v>
      </c>
      <c r="O17" s="14">
        <f>N17*VLOOKUP('Données projet'!$B$9,Paramètres!$A$1:$I$89,3,0)*VLOOKUP('Données projet'!$B$9,Paramètres!$A$1:$I$89,5,0)</f>
        <v>8.159577352338971</v>
      </c>
      <c r="P17" s="14">
        <f t="shared" si="33"/>
        <v>2.945110626015266</v>
      </c>
      <c r="Q17" s="22">
        <f t="shared" si="2"/>
        <v>19.34066489563363</v>
      </c>
      <c r="R17" s="62">
        <f t="shared" si="0"/>
        <v>221.37052666790683</v>
      </c>
      <c r="S17" s="62">
        <f ca="1">AVERAGE(OFFSET($R$3,0,0,'Données projet'!$E$9+1,1))-AVERAGE(OFFSET($H$3,0,0,'Données projet'!$E$9+1,1))</f>
        <v>478.11504516179713</v>
      </c>
      <c r="T17" s="62">
        <f t="shared" si="34"/>
        <v>249.93713224442419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10.68</v>
      </c>
      <c r="AI17" s="14">
        <f>IF('Données projet'!$A$62&gt;35,AI16+AH17-AQ16,IF(A17&lt;'Données projet'!$A$62,$AF$205^A17,IF(A17='Données projet'!$A$62,'Données projet'!$B$62,AI16+AH17-AQ16)))</f>
        <v>53.82</v>
      </c>
      <c r="AJ17" s="14">
        <f>AI17*VLOOKUP('Données projet'!$B$10,Paramètres!$A$1:$I$89,3,0)*VLOOKUP('Données projet'!$B$10,Paramètres!$A$1:$I$89,5,0)</f>
        <v>42.819192000000001</v>
      </c>
      <c r="AK17" s="14">
        <f t="shared" si="35"/>
        <v>12.742886505722554</v>
      </c>
      <c r="AL17" s="22">
        <f t="shared" si="4"/>
        <v>96.770620064133439</v>
      </c>
      <c r="AM17" s="62">
        <f t="shared" si="5"/>
        <v>298.80048183640662</v>
      </c>
      <c r="AN17" s="62">
        <f ca="1">AVERAGE(OFFSET($AM$3,0,0,'Données projet'!$E$10+1,1))-AVERAGE(OFFSET($H$3,0,0,'Données projet'!$E$10+1,1))</f>
        <v>394.49874384716014</v>
      </c>
      <c r="AO17" s="62">
        <f t="shared" si="36"/>
        <v>423.72519584013378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10.68</v>
      </c>
      <c r="BD17" s="13">
        <f>IF('Données projet'!$A$88&gt;35,BD16+BC17-BL16,IF(A17&lt;'Données projet'!$A$88,$BA$205^A17,IF(A17='Données projet'!$A$88,'Données projet'!$B$88,BD16+BC17-BL16)))</f>
        <v>53.82</v>
      </c>
      <c r="BE17" s="14">
        <f>BD17*VLOOKUP('Données projet'!$B$11,Paramètres!$A$1:$I$89,3,0)*VLOOKUP('Données projet'!$B$11,Paramètres!$A$1:$I$89,5,0)</f>
        <v>42.819192000000001</v>
      </c>
      <c r="BF17" s="14">
        <f t="shared" si="37"/>
        <v>12.742886505722554</v>
      </c>
      <c r="BG17" s="22">
        <f t="shared" si="7"/>
        <v>96.770620064133439</v>
      </c>
      <c r="BH17" s="62">
        <f t="shared" si="8"/>
        <v>298.80048183640662</v>
      </c>
      <c r="BI17" s="62">
        <f ca="1">AVERAGE(OFFSET($BH$3,0,0,'Données projet'!$E$11+1,1))-AVERAGE(OFFSET($H$3,0,0,'Données projet'!$E$11+1,1))</f>
        <v>394.49874384716014</v>
      </c>
      <c r="BJ17" s="62">
        <f t="shared" si="38"/>
        <v>423.72519584013378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13.237037254068934</v>
      </c>
      <c r="CA17" s="14">
        <f t="shared" si="39"/>
        <v>4.5161297192961545</v>
      </c>
      <c r="CB17" s="22">
        <f t="shared" si="10"/>
        <v>30.920099145277529</v>
      </c>
      <c r="CC17" s="62">
        <f t="shared" si="11"/>
        <v>232.94996091755073</v>
      </c>
      <c r="CD17" s="62">
        <f ca="1">AVERAGE(OFFSET($CC$3,0,0,'Données projet'!$E$12+1,1))-AVERAGE(OFFSET($H$3,0,0,'Données projet'!$E$12+1,1))</f>
        <v>496.33873798282525</v>
      </c>
      <c r="CE17" s="62">
        <f t="shared" si="40"/>
        <v>280.25465074992246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3.1623931623931623</v>
      </c>
      <c r="CT17" s="13">
        <f>IF('Données projet'!$A$140&gt;35,CT16+CS17-DB16,IF(A17&lt;'Données projet'!$A$140,$CQ$205^A17,IF(A17='Données projet'!$A$140,'Données projet'!$B$140,CT16+CS17-DB16)))</f>
        <v>36.674706471008875</v>
      </c>
      <c r="CU17" s="18">
        <f>CT17*VLOOKUP('Données projet'!$B$13,Paramètres!$A$1:$I$89,3,0)*VLOOKUP('Données projet'!$B$13,Paramètres!$A$1:$I$89,5,0)</f>
        <v>34.899650677812041</v>
      </c>
      <c r="CV17" s="14">
        <f t="shared" si="41"/>
        <v>10.636255742571029</v>
      </c>
      <c r="CW17" s="22">
        <f t="shared" si="13"/>
        <v>79.308370348833833</v>
      </c>
      <c r="CX17" s="62">
        <f t="shared" si="14"/>
        <v>281.33823212110701</v>
      </c>
      <c r="CY17" s="62">
        <f ca="1">AVERAGE(OFFSET($CX$3,0,0,'Données projet'!$E$13+1,1))-AVERAGE(OFFSET($H$3,0,0,'Données projet'!$E$13+1,1))</f>
        <v>441.15969139782891</v>
      </c>
      <c r="CZ17" s="62">
        <f t="shared" si="42"/>
        <v>315.06466790224783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24.397795939591308</v>
      </c>
      <c r="DQ17" s="14">
        <f t="shared" si="43"/>
        <v>7.75202295846145</v>
      </c>
      <c r="DR17" s="22">
        <f t="shared" si="16"/>
        <v>55.994267914108548</v>
      </c>
      <c r="DS17" s="62">
        <f t="shared" si="17"/>
        <v>258.02412968638174</v>
      </c>
      <c r="DT17" s="62">
        <f ca="1">AVERAGE(OFFSET($DS$3,0,0,'Données projet'!$E$14+1,1))-AVERAGE(OFFSET($H$3,0,0,'Données projet'!$E$14+1,1))</f>
        <v>309.21625451786218</v>
      </c>
      <c r="DU17" s="62">
        <f t="shared" si="44"/>
        <v>302.59481222418219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0.6</v>
      </c>
      <c r="EJ17" s="13">
        <f>IF('Données projet'!$A$192&gt;35,EJ16+EI17-ER16,IF(A17&lt;'Données projet'!$A$192,$EG$205^A17,IF(A17='Données projet'!$A$192,'Données projet'!$B$192,EJ16+EI17-ER16)))</f>
        <v>7.7736743261084582</v>
      </c>
      <c r="EK17" s="18">
        <f>EJ17*VLOOKUP('Données projet'!$B$15,Paramètres!$A$1:$I$89,3,0)*VLOOKUP('Données projet'!$B$15,Paramètres!$A$1:$I$89,5,0)</f>
        <v>6.7910818912883508</v>
      </c>
      <c r="EL17" s="14">
        <f t="shared" si="45"/>
        <v>2.5041096194780144</v>
      </c>
      <c r="EM17" s="22">
        <f t="shared" si="19"/>
        <v>16.189125214584752</v>
      </c>
      <c r="EN17" s="62">
        <f t="shared" si="20"/>
        <v>218.21898698685794</v>
      </c>
      <c r="EO17" s="62">
        <f ca="1">AVERAGE(OFFSET($EN$3,0,0,'Données projet'!$E$15+1,1))-AVERAGE(OFFSET($H$3,0,0,'Données projet'!$E$15+1,1))</f>
        <v>298.56812743477741</v>
      </c>
      <c r="EP17" s="62">
        <f t="shared" si="46"/>
        <v>276.01618888357268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9.1025641025641022</v>
      </c>
      <c r="FE17" s="13">
        <f>IF('Données projet'!$A$218&gt;35,FE16+FD17-FM16,IF(A17&lt;'Données projet'!$A$218,$FB$205^A17,IF(A17='Données projet'!$A$218,'Données projet'!$B$218,FE16+FD17-FM16)))</f>
        <v>69.102564102564102</v>
      </c>
      <c r="FF17" s="18">
        <f>FE17*VLOOKUP('Données projet'!$B$16,Paramètres!$A$1:$I$89,3,0)*VLOOKUP('Données projet'!$B$16,Paramètres!$A$1:$I$89,5,0)</f>
        <v>46.353999999999999</v>
      </c>
      <c r="FG17" s="14">
        <f t="shared" si="47"/>
        <v>13.668055364575761</v>
      </c>
      <c r="FH17" s="22">
        <f t="shared" si="22"/>
        <v>104.53841309330278</v>
      </c>
      <c r="FI17" s="62">
        <f t="shared" si="23"/>
        <v>306.56827486557597</v>
      </c>
      <c r="FJ17" s="62">
        <f ca="1">AVERAGE(OFFSET($FI$3,0,0,'Données projet'!$E$16+1,1))-AVERAGE(OFFSET($H$3,0,0,'Données projet'!$E$16+1,1))</f>
        <v>396.0878652679051</v>
      </c>
      <c r="FK17" s="62">
        <f t="shared" si="48"/>
        <v>327.26339199235406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9">
        <f t="shared" si="1"/>
        <v>183.33333333333334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2.8518518518518516</v>
      </c>
      <c r="N18" s="14">
        <f>IF('Données projet'!$A$36&gt;35,N17+M18-V17,IF(A18&lt;'Données projet'!$A$36,$K$205^A18,IF(A18='Données projet'!$A$36,'Données projet'!$B$36,N17+M18-V17)))</f>
        <v>11.169928749947735</v>
      </c>
      <c r="O18" s="14">
        <f>N18*VLOOKUP('Données projet'!$B$9,Paramètres!$A$1:$I$89,3,0)*VLOOKUP('Données projet'!$B$9,Paramètres!$A$1:$I$89,5,0)</f>
        <v>9.5837988674551582</v>
      </c>
      <c r="P18" s="14">
        <f t="shared" si="33"/>
        <v>3.3949921028031831</v>
      </c>
      <c r="Q18" s="22">
        <f t="shared" si="2"/>
        <v>22.604727606533277</v>
      </c>
      <c r="R18" s="62">
        <f t="shared" si="0"/>
        <v>227.10147753941433</v>
      </c>
      <c r="S18" s="62">
        <f ca="1">AVERAGE(OFFSET($R$3,0,0,'Données projet'!$E$9+1,1))-AVERAGE(OFFSET($H$3,0,0,'Données projet'!$E$9+1,1))</f>
        <v>478.11504516179713</v>
      </c>
      <c r="T18" s="62">
        <f t="shared" si="34"/>
        <v>249.93713224442419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64.5</v>
      </c>
      <c r="AG18" s="13">
        <f>VLOOKUP(A18,'Données projet'!$A$61:$I$81,9,0)</f>
        <v>10.68</v>
      </c>
      <c r="AH18" s="13">
        <f t="array" ref="AH18">INDEX(AG:AG,MIN(IF(ISNUMBER(AG18:AG214),ROW(AG18:AG214),"")))</f>
        <v>10.68</v>
      </c>
      <c r="AI18" s="14">
        <f>IF('Données projet'!$A$62&gt;35,AI17+AH18-AQ17,IF(A18&lt;'Données projet'!$A$62,$AF$205^A18,IF(A18='Données projet'!$A$62,'Données projet'!$B$62,AI17+AH18-AQ17)))</f>
        <v>64.5</v>
      </c>
      <c r="AJ18" s="14">
        <f>AI18*VLOOKUP('Données projet'!$B$10,Paramètres!$A$1:$I$89,3,0)*VLOOKUP('Données projet'!$B$10,Paramètres!$A$1:$I$89,5,0)</f>
        <v>51.316200000000009</v>
      </c>
      <c r="AK18" s="14">
        <f t="shared" si="35"/>
        <v>14.953158316506878</v>
      </c>
      <c r="AL18" s="22">
        <f t="shared" si="4"/>
        <v>115.41913240124948</v>
      </c>
      <c r="AM18" s="62">
        <f t="shared" si="5"/>
        <v>319.91588233413052</v>
      </c>
      <c r="AN18" s="62">
        <f ca="1">AVERAGE(OFFSET($AM$3,0,0,'Données projet'!$E$10+1,1))-AVERAGE(OFFSET($H$3,0,0,'Données projet'!$E$10+1,1))</f>
        <v>394.49874384716014</v>
      </c>
      <c r="AO18" s="62">
        <f t="shared" si="36"/>
        <v>423.72519584013378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64.5</v>
      </c>
      <c r="BB18" s="13">
        <f>VLOOKUP(A18,'Données projet'!$A$87:$I$107,9,0)</f>
        <v>10.68</v>
      </c>
      <c r="BC18" s="13">
        <f t="array" ref="BC18">INDEX(BB:BB,MIN(IF(ISNUMBER(BB18:BB214),ROW(BB18:BB214),"")))</f>
        <v>10.68</v>
      </c>
      <c r="BD18" s="13">
        <f>IF('Données projet'!$A$88&gt;35,BD17+BC18-BL17,IF(A18&lt;'Données projet'!$A$88,$BA$205^A18,IF(A18='Données projet'!$A$88,'Données projet'!$B$88,BD17+BC18-BL17)))</f>
        <v>64.5</v>
      </c>
      <c r="BE18" s="14">
        <f>BD18*VLOOKUP('Données projet'!$B$11,Paramètres!$A$1:$I$89,3,0)*VLOOKUP('Données projet'!$B$11,Paramètres!$A$1:$I$89,5,0)</f>
        <v>51.316200000000009</v>
      </c>
      <c r="BF18" s="14">
        <f t="shared" si="37"/>
        <v>14.953158316506878</v>
      </c>
      <c r="BG18" s="22">
        <f t="shared" si="7"/>
        <v>115.41913240124948</v>
      </c>
      <c r="BH18" s="62">
        <f t="shared" si="8"/>
        <v>319.91588233413052</v>
      </c>
      <c r="BI18" s="62">
        <f ca="1">AVERAGE(OFFSET($BH$3,0,0,'Données projet'!$E$11+1,1))-AVERAGE(OFFSET($H$3,0,0,'Données projet'!$E$11+1,1))</f>
        <v>394.49874384716014</v>
      </c>
      <c r="BJ18" s="62">
        <f t="shared" si="38"/>
        <v>423.72519584013378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15.957073874741019</v>
      </c>
      <c r="CA18" s="14">
        <f t="shared" si="39"/>
        <v>5.3269860755326848</v>
      </c>
      <c r="CB18" s="22">
        <f t="shared" si="10"/>
        <v>37.069737746726702</v>
      </c>
      <c r="CC18" s="62">
        <f t="shared" si="11"/>
        <v>241.56648767960775</v>
      </c>
      <c r="CD18" s="62">
        <f ca="1">AVERAGE(OFFSET($CC$3,0,0,'Données projet'!$E$12+1,1))-AVERAGE(OFFSET($H$3,0,0,'Données projet'!$E$12+1,1))</f>
        <v>496.33873798282525</v>
      </c>
      <c r="CE18" s="62">
        <f t="shared" si="40"/>
        <v>280.25465074992246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47.435897435897431</v>
      </c>
      <c r="CR18" s="13">
        <f>VLOOKUP(A18,'Données projet'!$A$139:$I$159,9,0)</f>
        <v>3.1623931623931623</v>
      </c>
      <c r="CS18" s="13">
        <f t="array" ref="CS18">INDEX(CR:CR,MIN(IF(ISNUMBER(CR18:CR214),ROW(CR18:CR214),"")))</f>
        <v>3.1623931623931623</v>
      </c>
      <c r="CT18" s="13">
        <f>IF('Données projet'!$A$140&gt;35,CT17+CS18-DB17,IF(A18&lt;'Données projet'!$A$140,$CQ$205^A18,IF(A18='Données projet'!$A$140,'Données projet'!$B$140,CT17+CS18-DB17)))</f>
        <v>47.435897435897431</v>
      </c>
      <c r="CU18" s="18">
        <f>CT18*VLOOKUP('Données projet'!$B$13,Paramètres!$A$1:$I$89,3,0)*VLOOKUP('Données projet'!$B$13,Paramètres!$A$1:$I$89,5,0)</f>
        <v>45.139999999999993</v>
      </c>
      <c r="CV18" s="14">
        <f t="shared" si="41"/>
        <v>13.351272336364824</v>
      </c>
      <c r="CW18" s="22">
        <f t="shared" si="13"/>
        <v>101.87229931916873</v>
      </c>
      <c r="CX18" s="62">
        <f t="shared" si="14"/>
        <v>306.36904925204976</v>
      </c>
      <c r="CY18" s="62">
        <f ca="1">AVERAGE(OFFSET($CX$3,0,0,'Données projet'!$E$13+1,1))-AVERAGE(OFFSET($H$3,0,0,'Données projet'!$E$13+1,1))</f>
        <v>441.15969139782891</v>
      </c>
      <c r="CZ18" s="62">
        <f t="shared" si="42"/>
        <v>315.06466790224783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31.200000000000003</v>
      </c>
      <c r="DQ18" s="14">
        <f t="shared" si="43"/>
        <v>9.6335657126419925</v>
      </c>
      <c r="DR18" s="22">
        <f t="shared" si="16"/>
        <v>71.118460282851473</v>
      </c>
      <c r="DS18" s="62">
        <f t="shared" si="17"/>
        <v>275.61521021573253</v>
      </c>
      <c r="DT18" s="62">
        <f ca="1">AVERAGE(OFFSET($DS$3,0,0,'Données projet'!$E$14+1,1))-AVERAGE(OFFSET($H$3,0,0,'Données projet'!$E$14+1,1))</f>
        <v>309.21625451786218</v>
      </c>
      <c r="DU18" s="62">
        <f t="shared" si="44"/>
        <v>302.59481222418219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9</v>
      </c>
      <c r="EH18" s="13">
        <f>VLOOKUP(A18,'Données projet'!$A$191:$I$211,9,0)</f>
        <v>0.6</v>
      </c>
      <c r="EI18" s="13">
        <f t="array" ref="EI18">INDEX(EH:EH,MIN(IF(ISNUMBER(EH18:EH214),ROW(EH18:EH214),"")))</f>
        <v>0.6</v>
      </c>
      <c r="EJ18" s="13">
        <f>IF('Données projet'!$A$192&gt;35,EJ17+EI18-ER17,IF(A18&lt;'Données projet'!$A$192,$EG$205^A18,IF(A18='Données projet'!$A$192,'Données projet'!$B$192,EJ17+EI18-ER17)))</f>
        <v>9</v>
      </c>
      <c r="EK18" s="18">
        <f>EJ18*VLOOKUP('Données projet'!$B$15,Paramètres!$A$1:$I$89,3,0)*VLOOKUP('Données projet'!$B$15,Paramètres!$A$1:$I$89,5,0)</f>
        <v>7.8624000000000018</v>
      </c>
      <c r="EL18" s="14">
        <f t="shared" si="45"/>
        <v>2.8501294257559766</v>
      </c>
      <c r="EM18" s="22">
        <f t="shared" si="19"/>
        <v>18.657655416524996</v>
      </c>
      <c r="EN18" s="62">
        <f t="shared" si="20"/>
        <v>223.15440534940603</v>
      </c>
      <c r="EO18" s="62">
        <f ca="1">AVERAGE(OFFSET($EN$3,0,0,'Données projet'!$E$15+1,1))-AVERAGE(OFFSET($H$3,0,0,'Données projet'!$E$15+1,1))</f>
        <v>298.56812743477741</v>
      </c>
      <c r="EP18" s="62">
        <f t="shared" si="46"/>
        <v>276.01618888357268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78.205128205128204</v>
      </c>
      <c r="FC18" s="13">
        <f>VLOOKUP(A18,'Données projet'!$A$217:$I$237,9,0)</f>
        <v>9.1025641025641022</v>
      </c>
      <c r="FD18" s="13">
        <f t="array" ref="FD18">INDEX(FC:FC,MIN(IF(ISNUMBER(FC18:FC214),ROW(FC18:FC214),"")))</f>
        <v>9.1025641025641022</v>
      </c>
      <c r="FE18" s="13">
        <f>IF('Données projet'!$A$218&gt;35,FE17+FD18-FM17,IF(A18&lt;'Données projet'!$A$218,$FB$205^A18,IF(A18='Données projet'!$A$218,'Données projet'!$B$218,FE17+FD18-FM17)))</f>
        <v>78.205128205128204</v>
      </c>
      <c r="FF18" s="18">
        <f>FE18*VLOOKUP('Données projet'!$B$16,Paramètres!$A$1:$I$89,3,0)*VLOOKUP('Données projet'!$B$16,Paramètres!$A$1:$I$89,5,0)</f>
        <v>52.459999999999994</v>
      </c>
      <c r="FG18" s="14">
        <f t="shared" si="47"/>
        <v>15.247278696731632</v>
      </c>
      <c r="FH18" s="22">
        <f t="shared" si="22"/>
        <v>117.92351039680756</v>
      </c>
      <c r="FI18" s="62">
        <f t="shared" si="23"/>
        <v>322.42026032968863</v>
      </c>
      <c r="FJ18" s="62">
        <f ca="1">AVERAGE(OFFSET($FI$3,0,0,'Données projet'!$E$16+1,1))-AVERAGE(OFFSET($H$3,0,0,'Données projet'!$E$16+1,1))</f>
        <v>396.0878652679051</v>
      </c>
      <c r="FK18" s="62">
        <f t="shared" si="48"/>
        <v>327.26339199235406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9">
        <f t="shared" si="1"/>
        <v>183.33333333333334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2.8518518518518516</v>
      </c>
      <c r="N19" s="14">
        <f>IF('Données projet'!$A$36&gt;35,N18+M19-V18,IF(A19&lt;'Données projet'!$A$36,$K$205^A19,IF(A19='Données projet'!$A$36,'Données projet'!$B$36,N18+M19-V18)))</f>
        <v>13.119595033021842</v>
      </c>
      <c r="O19" s="14">
        <f>N19*VLOOKUP('Données projet'!$B$9,Paramètres!$A$1:$I$89,3,0)*VLOOKUP('Données projet'!$B$9,Paramètres!$A$1:$I$89,5,0)</f>
        <v>11.256612538332742</v>
      </c>
      <c r="P19" s="14">
        <f t="shared" si="33"/>
        <v>3.9135953930839631</v>
      </c>
      <c r="Q19" s="22">
        <f t="shared" si="2"/>
        <v>26.421445480550759</v>
      </c>
      <c r="R19" s="62">
        <f t="shared" si="0"/>
        <v>233.36349140266481</v>
      </c>
      <c r="S19" s="62">
        <f ca="1">AVERAGE(OFFSET($R$3,0,0,'Données projet'!$E$9+1,1))-AVERAGE(OFFSET($H$3,0,0,'Données projet'!$E$9+1,1))</f>
        <v>478.11504516179713</v>
      </c>
      <c r="T19" s="62">
        <f t="shared" si="34"/>
        <v>249.93713224442419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13.760000000000002</v>
      </c>
      <c r="AI19" s="14">
        <f>IF('Données projet'!$A$62&gt;35,AI18+AH19-AQ18,IF(A19&lt;'Données projet'!$A$62,$AF$205^A19,IF(A19='Données projet'!$A$62,'Données projet'!$B$62,AI18+AH19-AQ18)))</f>
        <v>78.260000000000005</v>
      </c>
      <c r="AJ19" s="14">
        <f>AI19*VLOOKUP('Données projet'!$B$10,Paramètres!$A$1:$I$89,3,0)*VLOOKUP('Données projet'!$B$10,Paramètres!$A$1:$I$89,5,0)</f>
        <v>62.263656000000012</v>
      </c>
      <c r="AK19" s="14">
        <f t="shared" si="35"/>
        <v>17.739352894036266</v>
      </c>
      <c r="AL19" s="22">
        <f t="shared" si="4"/>
        <v>139.33857382377983</v>
      </c>
      <c r="AM19" s="62">
        <f t="shared" si="5"/>
        <v>346.28061974589389</v>
      </c>
      <c r="AN19" s="62">
        <f ca="1">AVERAGE(OFFSET($AM$3,0,0,'Données projet'!$E$10+1,1))-AVERAGE(OFFSET($H$3,0,0,'Données projet'!$E$10+1,1))</f>
        <v>394.49874384716014</v>
      </c>
      <c r="AO19" s="62">
        <f t="shared" si="36"/>
        <v>423.72519584013378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13.760000000000002</v>
      </c>
      <c r="BD19" s="13">
        <f>IF('Données projet'!$A$88&gt;35,BD18+BC19-BL18,IF(A19&lt;'Données projet'!$A$88,$BA$205^A19,IF(A19='Données projet'!$A$88,'Données projet'!$B$88,BD18+BC19-BL18)))</f>
        <v>78.260000000000005</v>
      </c>
      <c r="BE19" s="14">
        <f>BD19*VLOOKUP('Données projet'!$B$11,Paramètres!$A$1:$I$89,3,0)*VLOOKUP('Données projet'!$B$11,Paramètres!$A$1:$I$89,5,0)</f>
        <v>62.263656000000012</v>
      </c>
      <c r="BF19" s="14">
        <f t="shared" si="37"/>
        <v>17.739352894036266</v>
      </c>
      <c r="BG19" s="22">
        <f t="shared" si="7"/>
        <v>139.33857382377983</v>
      </c>
      <c r="BH19" s="62">
        <f t="shared" si="8"/>
        <v>346.28061974589389</v>
      </c>
      <c r="BI19" s="62">
        <f ca="1">AVERAGE(OFFSET($BH$3,0,0,'Données projet'!$E$11+1,1))-AVERAGE(OFFSET($H$3,0,0,'Données projet'!$E$11+1,1))</f>
        <v>394.49874384716014</v>
      </c>
      <c r="BJ19" s="62">
        <f t="shared" si="38"/>
        <v>423.72519584013378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19.236042156311996</v>
      </c>
      <c r="CA19" s="14">
        <f t="shared" si="39"/>
        <v>6.2834290449348904</v>
      </c>
      <c r="CB19" s="22">
        <f t="shared" si="10"/>
        <v>44.446412342171662</v>
      </c>
      <c r="CC19" s="62">
        <f t="shared" si="11"/>
        <v>251.38845826428573</v>
      </c>
      <c r="CD19" s="62">
        <f ca="1">AVERAGE(OFFSET($CC$3,0,0,'Données projet'!$E$12+1,1))-AVERAGE(OFFSET($H$3,0,0,'Données projet'!$E$12+1,1))</f>
        <v>496.33873798282525</v>
      </c>
      <c r="CE19" s="62">
        <f t="shared" si="40"/>
        <v>280.25465074992246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7.4358974358974361</v>
      </c>
      <c r="CT19" s="13">
        <f>IF('Données projet'!$A$140&gt;35,CT18+CS19-DB18,IF(A19&lt;'Données projet'!$A$140,$CQ$205^A19,IF(A19='Données projet'!$A$140,'Données projet'!$B$140,CT18+CS19-DB18)))</f>
        <v>54.871794871794869</v>
      </c>
      <c r="CU19" s="18">
        <f>CT19*VLOOKUP('Données projet'!$B$13,Paramètres!$A$1:$I$89,3,0)*VLOOKUP('Données projet'!$B$13,Paramètres!$A$1:$I$89,5,0)</f>
        <v>52.216000000000001</v>
      </c>
      <c r="CV19" s="14">
        <f t="shared" si="41"/>
        <v>15.184598935068502</v>
      </c>
      <c r="CW19" s="22">
        <f t="shared" si="13"/>
        <v>117.38937647857762</v>
      </c>
      <c r="CX19" s="62">
        <f t="shared" si="14"/>
        <v>324.33142240069168</v>
      </c>
      <c r="CY19" s="62">
        <f ca="1">AVERAGE(OFFSET($CX$3,0,0,'Données projet'!$E$13+1,1))-AVERAGE(OFFSET($H$3,0,0,'Données projet'!$E$13+1,1))</f>
        <v>441.15969139782891</v>
      </c>
      <c r="CZ19" s="62">
        <f t="shared" si="42"/>
        <v>315.06466790224783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49.6</v>
      </c>
      <c r="DP19" s="18">
        <f>DO19*VLOOKUP('Données projet'!$B$14,Paramètres!$A$1:$I$89,3,0)*VLOOKUP('Données projet'!$B$14,Paramètres!$A$1:$I$89,5,0)</f>
        <v>38.688000000000002</v>
      </c>
      <c r="DQ19" s="14">
        <f t="shared" si="43"/>
        <v>11.650229083154354</v>
      </c>
      <c r="DR19" s="22">
        <f t="shared" si="16"/>
        <v>87.672415653160499</v>
      </c>
      <c r="DS19" s="62">
        <f t="shared" si="17"/>
        <v>294.61446157527456</v>
      </c>
      <c r="DT19" s="62">
        <f ca="1">AVERAGE(OFFSET($DS$3,0,0,'Données projet'!$E$14+1,1))-AVERAGE(OFFSET($H$3,0,0,'Données projet'!$E$14+1,1))</f>
        <v>309.21625451786218</v>
      </c>
      <c r="DU19" s="62">
        <f t="shared" si="44"/>
        <v>302.59481222418219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9.6</v>
      </c>
      <c r="EJ19" s="13">
        <f>IF('Données projet'!$A$192&gt;35,EJ18+EI19-ER18,IF(A19&lt;'Données projet'!$A$192,$EG$205^A19,IF(A19='Données projet'!$A$192,'Données projet'!$B$192,EJ18+EI19-ER18)))</f>
        <v>18.600000000000001</v>
      </c>
      <c r="EK19" s="18">
        <f>EJ19*VLOOKUP('Données projet'!$B$15,Paramètres!$A$1:$I$89,3,0)*VLOOKUP('Données projet'!$B$15,Paramètres!$A$1:$I$89,5,0)</f>
        <v>16.248960000000004</v>
      </c>
      <c r="EL19" s="14">
        <f t="shared" si="45"/>
        <v>5.4129939058841199</v>
      </c>
      <c r="EM19" s="22">
        <f t="shared" si="19"/>
        <v>37.727903052748182</v>
      </c>
      <c r="EN19" s="62">
        <f t="shared" si="20"/>
        <v>244.66994897486225</v>
      </c>
      <c r="EO19" s="62">
        <f ca="1">AVERAGE(OFFSET($EN$3,0,0,'Données projet'!$E$15+1,1))-AVERAGE(OFFSET($H$3,0,0,'Données projet'!$E$15+1,1))</f>
        <v>298.56812743477741</v>
      </c>
      <c r="EP19" s="62">
        <f t="shared" si="46"/>
        <v>276.01618888357268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10</v>
      </c>
      <c r="FE19" s="13">
        <f>IF('Données projet'!$A$218&gt;35,FE18+FD19-FM18,IF(A19&lt;'Données projet'!$A$218,$FB$205^A19,IF(A19='Données projet'!$A$218,'Données projet'!$B$218,FE18+FD19-FM18)))</f>
        <v>88.205128205128204</v>
      </c>
      <c r="FF19" s="18">
        <f>FE19*VLOOKUP('Données projet'!$B$16,Paramètres!$A$1:$I$89,3,0)*VLOOKUP('Données projet'!$B$16,Paramètres!$A$1:$I$89,5,0)</f>
        <v>59.167999999999999</v>
      </c>
      <c r="FG19" s="14">
        <f t="shared" si="47"/>
        <v>16.957742660522214</v>
      </c>
      <c r="FH19" s="22">
        <f t="shared" si="22"/>
        <v>132.58566846707615</v>
      </c>
      <c r="FI19" s="62">
        <f t="shared" si="23"/>
        <v>339.52771438919024</v>
      </c>
      <c r="FJ19" s="62">
        <f ca="1">AVERAGE(OFFSET($FI$3,0,0,'Données projet'!$E$16+1,1))-AVERAGE(OFFSET($H$3,0,0,'Données projet'!$E$16+1,1))</f>
        <v>396.0878652679051</v>
      </c>
      <c r="FK19" s="62">
        <f t="shared" si="48"/>
        <v>327.26339199235406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9">
        <f t="shared" si="1"/>
        <v>183.33333333333334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2.8518518518518516</v>
      </c>
      <c r="N20" s="14">
        <f>IF('Données projet'!$A$36&gt;35,N19+M20-V19,IF(A20&lt;'Données projet'!$A$36,$K$205^A20,IF(A20='Données projet'!$A$36,'Données projet'!$B$36,N19+M20-V19)))</f>
        <v>15.40956774959704</v>
      </c>
      <c r="O20" s="14">
        <f>N20*VLOOKUP('Données projet'!$B$9,Paramètres!$A$1:$I$89,3,0)*VLOOKUP('Données projet'!$B$9,Paramètres!$A$1:$I$89,5,0)</f>
        <v>13.221409129154262</v>
      </c>
      <c r="P20" s="14">
        <f t="shared" si="33"/>
        <v>4.5114181232179265</v>
      </c>
      <c r="Q20" s="22">
        <f t="shared" si="2"/>
        <v>30.884674131214894</v>
      </c>
      <c r="R20" s="62">
        <f t="shared" si="0"/>
        <v>240.25079844708762</v>
      </c>
      <c r="S20" s="62">
        <f ca="1">AVERAGE(OFFSET($R$3,0,0,'Données projet'!$E$9+1,1))-AVERAGE(OFFSET($H$3,0,0,'Données projet'!$E$9+1,1))</f>
        <v>478.11504516179713</v>
      </c>
      <c r="T20" s="62">
        <f t="shared" si="34"/>
        <v>249.93713224442419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13.760000000000002</v>
      </c>
      <c r="AI20" s="14">
        <f>IF('Données projet'!$A$62&gt;35,AI19+AH20-AQ19,IF(A20&lt;'Données projet'!$A$62,$AF$205^A20,IF(A20='Données projet'!$A$62,'Données projet'!$B$62,AI19+AH20-AQ19)))</f>
        <v>92.02000000000001</v>
      </c>
      <c r="AJ20" s="14">
        <f>AI20*VLOOKUP('Données projet'!$B$10,Paramètres!$A$1:$I$89,3,0)*VLOOKUP('Données projet'!$B$10,Paramètres!$A$1:$I$89,5,0)</f>
        <v>73.211112000000014</v>
      </c>
      <c r="AK20" s="14">
        <f t="shared" si="35"/>
        <v>20.468796348022103</v>
      </c>
      <c r="AL20" s="22">
        <f t="shared" si="4"/>
        <v>163.15917370613849</v>
      </c>
      <c r="AM20" s="62">
        <f t="shared" si="5"/>
        <v>372.52529802201121</v>
      </c>
      <c r="AN20" s="62">
        <f ca="1">AVERAGE(OFFSET($AM$3,0,0,'Données projet'!$E$10+1,1))-AVERAGE(OFFSET($H$3,0,0,'Données projet'!$E$10+1,1))</f>
        <v>394.49874384716014</v>
      </c>
      <c r="AO20" s="62">
        <f t="shared" si="36"/>
        <v>423.72519584013378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13.760000000000002</v>
      </c>
      <c r="BD20" s="13">
        <f>IF('Données projet'!$A$88&gt;35,BD19+BC20-BL19,IF(A20&lt;'Données projet'!$A$88,$BA$205^A20,IF(A20='Données projet'!$A$88,'Données projet'!$B$88,BD19+BC20-BL19)))</f>
        <v>92.02000000000001</v>
      </c>
      <c r="BE20" s="14">
        <f>BD20*VLOOKUP('Données projet'!$B$11,Paramètres!$A$1:$I$89,3,0)*VLOOKUP('Données projet'!$B$11,Paramètres!$A$1:$I$89,5,0)</f>
        <v>73.211112000000014</v>
      </c>
      <c r="BF20" s="14">
        <f t="shared" si="37"/>
        <v>20.468796348022103</v>
      </c>
      <c r="BG20" s="22">
        <f t="shared" si="7"/>
        <v>163.15917370613849</v>
      </c>
      <c r="BH20" s="62">
        <f t="shared" si="8"/>
        <v>372.52529802201121</v>
      </c>
      <c r="BI20" s="62">
        <f ca="1">AVERAGE(OFFSET($BH$3,0,0,'Données projet'!$E$11+1,1))-AVERAGE(OFFSET($H$3,0,0,'Données projet'!$E$11+1,1))</f>
        <v>394.49874384716014</v>
      </c>
      <c r="BJ20" s="62">
        <f t="shared" si="38"/>
        <v>423.72519584013378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23.188795185384055</v>
      </c>
      <c r="CA20" s="14">
        <f t="shared" si="39"/>
        <v>7.4115982288884323</v>
      </c>
      <c r="CB20" s="22">
        <f t="shared" si="10"/>
        <v>53.29568519652458</v>
      </c>
      <c r="CC20" s="62">
        <f t="shared" si="11"/>
        <v>262.66180951239733</v>
      </c>
      <c r="CD20" s="62">
        <f ca="1">AVERAGE(OFFSET($CC$3,0,0,'Données projet'!$E$12+1,1))-AVERAGE(OFFSET($H$3,0,0,'Données projet'!$E$12+1,1))</f>
        <v>496.33873798282525</v>
      </c>
      <c r="CE20" s="62">
        <f t="shared" si="40"/>
        <v>280.25465074992246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7.4358974358974361</v>
      </c>
      <c r="CT20" s="13">
        <f>IF('Données projet'!$A$140&gt;35,CT19+CS20-DB19,IF(A20&lt;'Données projet'!$A$140,$CQ$205^A20,IF(A20='Données projet'!$A$140,'Données projet'!$B$140,CT19+CS20-DB19)))</f>
        <v>62.307692307692307</v>
      </c>
      <c r="CU20" s="18">
        <f>CT20*VLOOKUP('Données projet'!$B$13,Paramètres!$A$1:$I$89,3,0)*VLOOKUP('Données projet'!$B$13,Paramètres!$A$1:$I$89,5,0)</f>
        <v>59.292000000000002</v>
      </c>
      <c r="CV20" s="14">
        <f t="shared" si="41"/>
        <v>16.98914092257921</v>
      </c>
      <c r="CW20" s="22">
        <f t="shared" si="13"/>
        <v>132.85632044015878</v>
      </c>
      <c r="CX20" s="62">
        <f t="shared" si="14"/>
        <v>342.22244475603151</v>
      </c>
      <c r="CY20" s="62">
        <f ca="1">AVERAGE(OFFSET($CX$3,0,0,'Données projet'!$E$13+1,1))-AVERAGE(OFFSET($H$3,0,0,'Données projet'!$E$13+1,1))</f>
        <v>441.15969139782891</v>
      </c>
      <c r="CZ20" s="62">
        <f t="shared" si="42"/>
        <v>315.06466790224783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59.2</v>
      </c>
      <c r="DP20" s="18">
        <f>DO20*VLOOKUP('Données projet'!$B$14,Paramètres!$A$1:$I$89,3,0)*VLOOKUP('Données projet'!$B$14,Paramètres!$A$1:$I$89,5,0)</f>
        <v>46.176000000000002</v>
      </c>
      <c r="DQ20" s="14">
        <f t="shared" si="43"/>
        <v>13.621668778540489</v>
      </c>
      <c r="DR20" s="22">
        <f t="shared" si="16"/>
        <v>104.14760645595801</v>
      </c>
      <c r="DS20" s="62">
        <f t="shared" si="17"/>
        <v>313.51373077183075</v>
      </c>
      <c r="DT20" s="62">
        <f ca="1">AVERAGE(OFFSET($DS$3,0,0,'Données projet'!$E$14+1,1))-AVERAGE(OFFSET($H$3,0,0,'Données projet'!$E$14+1,1))</f>
        <v>309.21625451786218</v>
      </c>
      <c r="DU20" s="62">
        <f t="shared" si="44"/>
        <v>302.59481222418219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9.6</v>
      </c>
      <c r="EJ20" s="13">
        <f>IF('Données projet'!$A$192&gt;35,EJ19+EI20-ER19,IF(A20&lt;'Données projet'!$A$192,$EG$205^A20,IF(A20='Données projet'!$A$192,'Données projet'!$B$192,EJ19+EI20-ER19)))</f>
        <v>28.200000000000003</v>
      </c>
      <c r="EK20" s="18">
        <f>EJ20*VLOOKUP('Données projet'!$B$15,Paramètres!$A$1:$I$89,3,0)*VLOOKUP('Données projet'!$B$15,Paramètres!$A$1:$I$89,5,0)</f>
        <v>24.635520000000007</v>
      </c>
      <c r="EL20" s="14">
        <f t="shared" si="45"/>
        <v>7.8187263384607988</v>
      </c>
      <c r="EM20" s="22">
        <f t="shared" si="19"/>
        <v>56.524479039485897</v>
      </c>
      <c r="EN20" s="62">
        <f t="shared" si="20"/>
        <v>265.89060335535862</v>
      </c>
      <c r="EO20" s="62">
        <f ca="1">AVERAGE(OFFSET($EN$3,0,0,'Données projet'!$E$15+1,1))-AVERAGE(OFFSET($H$3,0,0,'Données projet'!$E$15+1,1))</f>
        <v>298.56812743477741</v>
      </c>
      <c r="EP20" s="62">
        <f t="shared" si="46"/>
        <v>276.01618888357268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10</v>
      </c>
      <c r="FE20" s="13">
        <f>IF('Données projet'!$A$218&gt;35,FE19+FD20-FM19,IF(A20&lt;'Données projet'!$A$218,$FB$205^A20,IF(A20='Données projet'!$A$218,'Données projet'!$B$218,FE19+FD20-FM19)))</f>
        <v>98.205128205128204</v>
      </c>
      <c r="FF20" s="18">
        <f>FE20*VLOOKUP('Données projet'!$B$16,Paramètres!$A$1:$I$89,3,0)*VLOOKUP('Données projet'!$B$16,Paramètres!$A$1:$I$89,5,0)</f>
        <v>65.876000000000005</v>
      </c>
      <c r="FG20" s="14">
        <f t="shared" si="47"/>
        <v>18.64573198002007</v>
      </c>
      <c r="FH20" s="22">
        <f t="shared" si="22"/>
        <v>147.20868319853497</v>
      </c>
      <c r="FI20" s="62">
        <f t="shared" si="23"/>
        <v>356.57480751440767</v>
      </c>
      <c r="FJ20" s="62">
        <f ca="1">AVERAGE(OFFSET($FI$3,0,0,'Données projet'!$E$16+1,1))-AVERAGE(OFFSET($H$3,0,0,'Données projet'!$E$16+1,1))</f>
        <v>396.0878652679051</v>
      </c>
      <c r="FK20" s="62">
        <f t="shared" si="48"/>
        <v>327.26339199235406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9">
        <f t="shared" si="1"/>
        <v>183.33333333333334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2.8518518518518516</v>
      </c>
      <c r="N21" s="14">
        <f>IF('Données projet'!$A$36&gt;35,N20+M21-V20,IF(A21&lt;'Données projet'!$A$36,$K$205^A21,IF(A21='Données projet'!$A$36,'Données projet'!$B$36,N20+M21-V20)))</f>
        <v>18.099246023352912</v>
      </c>
      <c r="O21" s="14">
        <f>N21*VLOOKUP('Données projet'!$B$9,Paramètres!$A$1:$I$89,3,0)*VLOOKUP('Données projet'!$B$9,Paramètres!$A$1:$I$89,5,0)</f>
        <v>15.5291530880368</v>
      </c>
      <c r="P21" s="14">
        <f t="shared" si="33"/>
        <v>5.2005614884120197</v>
      </c>
      <c r="Q21" s="22">
        <f t="shared" si="2"/>
        <v>36.104252887315027</v>
      </c>
      <c r="R21" s="62">
        <f t="shared" si="0"/>
        <v>247.87360607931814</v>
      </c>
      <c r="S21" s="62">
        <f ca="1">AVERAGE(OFFSET($R$3,0,0,'Données projet'!$E$9+1,1))-AVERAGE(OFFSET($H$3,0,0,'Données projet'!$E$9+1,1))</f>
        <v>478.11504516179713</v>
      </c>
      <c r="T21" s="62">
        <f t="shared" si="34"/>
        <v>249.93713224442419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13.760000000000002</v>
      </c>
      <c r="AI21" s="14">
        <f>IF('Données projet'!$A$62&gt;35,AI20+AH21-AQ20,IF(A21&lt;'Données projet'!$A$62,$AF$205^A21,IF(A21='Données projet'!$A$62,'Données projet'!$B$62,AI20+AH21-AQ20)))</f>
        <v>105.78000000000002</v>
      </c>
      <c r="AJ21" s="14">
        <f>AI21*VLOOKUP('Données projet'!$B$10,Paramètres!$A$1:$I$89,3,0)*VLOOKUP('Données projet'!$B$10,Paramètres!$A$1:$I$89,5,0)</f>
        <v>84.158568000000017</v>
      </c>
      <c r="AK21" s="14">
        <f t="shared" si="35"/>
        <v>23.15095738591862</v>
      </c>
      <c r="AL21" s="22">
        <f t="shared" si="4"/>
        <v>186.89742338047495</v>
      </c>
      <c r="AM21" s="62">
        <f t="shared" si="5"/>
        <v>398.66677657247806</v>
      </c>
      <c r="AN21" s="62">
        <f ca="1">AVERAGE(OFFSET($AM$3,0,0,'Données projet'!$E$10+1,1))-AVERAGE(OFFSET($H$3,0,0,'Données projet'!$E$10+1,1))</f>
        <v>394.49874384716014</v>
      </c>
      <c r="AO21" s="62">
        <f t="shared" si="36"/>
        <v>423.72519584013378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13.760000000000002</v>
      </c>
      <c r="BD21" s="13">
        <f>IF('Données projet'!$A$88&gt;35,BD20+BC21-BL20,IF(A21&lt;'Données projet'!$A$88,$BA$205^A21,IF(A21='Données projet'!$A$88,'Données projet'!$B$88,BD20+BC21-BL20)))</f>
        <v>105.78000000000002</v>
      </c>
      <c r="BE21" s="14">
        <f>BD21*VLOOKUP('Données projet'!$B$11,Paramètres!$A$1:$I$89,3,0)*VLOOKUP('Données projet'!$B$11,Paramètres!$A$1:$I$89,5,0)</f>
        <v>84.158568000000017</v>
      </c>
      <c r="BF21" s="14">
        <f t="shared" si="37"/>
        <v>23.15095738591862</v>
      </c>
      <c r="BG21" s="22">
        <f t="shared" si="7"/>
        <v>186.89742338047495</v>
      </c>
      <c r="BH21" s="62">
        <f t="shared" si="8"/>
        <v>398.66677657247806</v>
      </c>
      <c r="BI21" s="62">
        <f ca="1">AVERAGE(OFFSET($BH$3,0,0,'Données projet'!$E$11+1,1))-AVERAGE(OFFSET($H$3,0,0,'Données projet'!$E$11+1,1))</f>
        <v>394.49874384716014</v>
      </c>
      <c r="BJ21" s="62">
        <f t="shared" si="38"/>
        <v>423.72519584013378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27.953786843477392</v>
      </c>
      <c r="CA21" s="14">
        <f t="shared" si="39"/>
        <v>8.7423265089215931</v>
      </c>
      <c r="CB21" s="22">
        <f t="shared" si="10"/>
        <v>63.912397422094891</v>
      </c>
      <c r="CC21" s="62">
        <f t="shared" si="11"/>
        <v>275.68175061409801</v>
      </c>
      <c r="CD21" s="62">
        <f ca="1">AVERAGE(OFFSET($CC$3,0,0,'Données projet'!$E$12+1,1))-AVERAGE(OFFSET($H$3,0,0,'Données projet'!$E$12+1,1))</f>
        <v>496.33873798282525</v>
      </c>
      <c r="CE21" s="62">
        <f t="shared" si="40"/>
        <v>280.25465074992246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7.4358974358974361</v>
      </c>
      <c r="CT21" s="13">
        <f>IF('Données projet'!$A$140&gt;35,CT20+CS21-DB20,IF(A21&lt;'Données projet'!$A$140,$CQ$205^A21,IF(A21='Données projet'!$A$140,'Données projet'!$B$140,CT20+CS21-DB20)))</f>
        <v>69.743589743589737</v>
      </c>
      <c r="CU21" s="18">
        <f>CT21*VLOOKUP('Données projet'!$B$13,Paramètres!$A$1:$I$89,3,0)*VLOOKUP('Données projet'!$B$13,Paramètres!$A$1:$I$89,5,0)</f>
        <v>66.367999999999995</v>
      </c>
      <c r="CV21" s="14">
        <f t="shared" si="41"/>
        <v>18.768726208561709</v>
      </c>
      <c r="CW21" s="22">
        <f t="shared" si="13"/>
        <v>148.27979814657829</v>
      </c>
      <c r="CX21" s="62">
        <f t="shared" si="14"/>
        <v>360.0491513385814</v>
      </c>
      <c r="CY21" s="62">
        <f ca="1">AVERAGE(OFFSET($CX$3,0,0,'Données projet'!$E$13+1,1))-AVERAGE(OFFSET($H$3,0,0,'Données projet'!$E$13+1,1))</f>
        <v>441.15969139782891</v>
      </c>
      <c r="CZ21" s="62">
        <f t="shared" si="42"/>
        <v>315.06466790224783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68.8</v>
      </c>
      <c r="DP21" s="18">
        <f>DO21*VLOOKUP('Données projet'!$B$14,Paramètres!$A$1:$I$89,3,0)*VLOOKUP('Données projet'!$B$14,Paramètres!$A$1:$I$89,5,0)</f>
        <v>53.664000000000001</v>
      </c>
      <c r="DQ21" s="14">
        <f t="shared" si="43"/>
        <v>15.556073979202782</v>
      </c>
      <c r="DR21" s="22">
        <f t="shared" si="16"/>
        <v>120.55829551377816</v>
      </c>
      <c r="DS21" s="62">
        <f t="shared" si="17"/>
        <v>332.32764870578126</v>
      </c>
      <c r="DT21" s="62">
        <f ca="1">AVERAGE(OFFSET($DS$3,0,0,'Données projet'!$E$14+1,1))-AVERAGE(OFFSET($H$3,0,0,'Données projet'!$E$14+1,1))</f>
        <v>309.21625451786218</v>
      </c>
      <c r="DU21" s="62">
        <f t="shared" si="44"/>
        <v>302.59481222418219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9.6</v>
      </c>
      <c r="EJ21" s="13">
        <f>IF('Données projet'!$A$192&gt;35,EJ20+EI21-ER20,IF(A21&lt;'Données projet'!$A$192,$EG$205^A21,IF(A21='Données projet'!$A$192,'Données projet'!$B$192,EJ20+EI21-ER20)))</f>
        <v>37.800000000000004</v>
      </c>
      <c r="EK21" s="18">
        <f>EJ21*VLOOKUP('Données projet'!$B$15,Paramètres!$A$1:$I$89,3,0)*VLOOKUP('Données projet'!$B$15,Paramètres!$A$1:$I$89,5,0)</f>
        <v>33.022080000000003</v>
      </c>
      <c r="EL21" s="14">
        <f t="shared" si="45"/>
        <v>10.129025278332465</v>
      </c>
      <c r="EM21" s="22">
        <f t="shared" si="19"/>
        <v>75.154841693095705</v>
      </c>
      <c r="EN21" s="62">
        <f t="shared" si="20"/>
        <v>286.92419488509881</v>
      </c>
      <c r="EO21" s="62">
        <f ca="1">AVERAGE(OFFSET($EN$3,0,0,'Données projet'!$E$15+1,1))-AVERAGE(OFFSET($H$3,0,0,'Données projet'!$E$15+1,1))</f>
        <v>298.56812743477741</v>
      </c>
      <c r="EP21" s="62">
        <f t="shared" si="46"/>
        <v>276.01618888357268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10</v>
      </c>
      <c r="FE21" s="13">
        <f>IF('Données projet'!$A$218&gt;35,FE20+FD21-FM20,IF(A21&lt;'Données projet'!$A$218,$FB$205^A21,IF(A21='Données projet'!$A$218,'Données projet'!$B$218,FE20+FD21-FM20)))</f>
        <v>108.2051282051282</v>
      </c>
      <c r="FF21" s="18">
        <f>FE21*VLOOKUP('Données projet'!$B$16,Paramètres!$A$1:$I$89,3,0)*VLOOKUP('Données projet'!$B$16,Paramètres!$A$1:$I$89,5,0)</f>
        <v>72.584000000000003</v>
      </c>
      <c r="FG21" s="14">
        <f t="shared" si="47"/>
        <v>20.313795787810648</v>
      </c>
      <c r="FH21" s="22">
        <f t="shared" si="22"/>
        <v>161.79699433043689</v>
      </c>
      <c r="FI21" s="62">
        <f t="shared" si="23"/>
        <v>373.56634752243997</v>
      </c>
      <c r="FJ21" s="62">
        <f ca="1">AVERAGE(OFFSET($FI$3,0,0,'Données projet'!$E$16+1,1))-AVERAGE(OFFSET($H$3,0,0,'Données projet'!$E$16+1,1))</f>
        <v>396.0878652679051</v>
      </c>
      <c r="FK21" s="62">
        <f t="shared" si="48"/>
        <v>327.26339199235406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9">
        <f t="shared" si="1"/>
        <v>183.33333333333334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2.8518518518518516</v>
      </c>
      <c r="N22" s="14">
        <f>IF('Données projet'!$A$36&gt;35,N21+M22-V21,IF(A22&lt;'Données projet'!$A$36,$K$205^A22,IF(A22='Données projet'!$A$36,'Données projet'!$B$36,N21+M22-V21)))</f>
        <v>21.25839685687631</v>
      </c>
      <c r="O22" s="14">
        <f>N22*VLOOKUP('Données projet'!$B$9,Paramètres!$A$1:$I$89,3,0)*VLOOKUP('Données projet'!$B$9,Paramètres!$A$1:$I$89,5,0)</f>
        <v>18.239704503199878</v>
      </c>
      <c r="P22" s="14">
        <f t="shared" si="33"/>
        <v>5.9949752064796131</v>
      </c>
      <c r="Q22" s="22">
        <f t="shared" si="2"/>
        <v>42.208733827691781</v>
      </c>
      <c r="R22" s="62">
        <f t="shared" si="0"/>
        <v>256.36082807071529</v>
      </c>
      <c r="S22" s="62">
        <f ca="1">AVERAGE(OFFSET($R$3,0,0,'Données projet'!$E$9+1,1))-AVERAGE(OFFSET($H$3,0,0,'Données projet'!$E$9+1,1))</f>
        <v>478.11504516179713</v>
      </c>
      <c r="T22" s="62">
        <f t="shared" si="34"/>
        <v>249.93713224442419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13.760000000000002</v>
      </c>
      <c r="AI22" s="14">
        <f>IF('Données projet'!$A$62&gt;35,AI21+AH22-AQ21,IF(A22&lt;'Données projet'!$A$62,$AF$205^A22,IF(A22='Données projet'!$A$62,'Données projet'!$B$62,AI21+AH22-AQ21)))</f>
        <v>119.54000000000002</v>
      </c>
      <c r="AJ22" s="14">
        <f>AI22*VLOOKUP('Données projet'!$B$10,Paramètres!$A$1:$I$89,3,0)*VLOOKUP('Données projet'!$B$10,Paramètres!$A$1:$I$89,5,0)</f>
        <v>95.106024000000019</v>
      </c>
      <c r="AK22" s="14">
        <f t="shared" si="35"/>
        <v>25.792692267172022</v>
      </c>
      <c r="AL22" s="22">
        <f t="shared" si="4"/>
        <v>210.56526416532461</v>
      </c>
      <c r="AM22" s="62">
        <f t="shared" si="5"/>
        <v>424.7173584083481</v>
      </c>
      <c r="AN22" s="62">
        <f ca="1">AVERAGE(OFFSET($AM$3,0,0,'Données projet'!$E$10+1,1))-AVERAGE(OFFSET($H$3,0,0,'Données projet'!$E$10+1,1))</f>
        <v>394.49874384716014</v>
      </c>
      <c r="AO22" s="62">
        <f t="shared" si="36"/>
        <v>423.72519584013378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13.760000000000002</v>
      </c>
      <c r="BD22" s="13">
        <f>IF('Données projet'!$A$88&gt;35,BD21+BC22-BL21,IF(A22&lt;'Données projet'!$A$88,$BA$205^A22,IF(A22='Données projet'!$A$88,'Données projet'!$B$88,BD21+BC22-BL21)))</f>
        <v>119.54000000000002</v>
      </c>
      <c r="BE22" s="14">
        <f>BD22*VLOOKUP('Données projet'!$B$11,Paramètres!$A$1:$I$89,3,0)*VLOOKUP('Données projet'!$B$11,Paramètres!$A$1:$I$89,5,0)</f>
        <v>95.106024000000019</v>
      </c>
      <c r="BF22" s="14">
        <f t="shared" si="37"/>
        <v>25.792692267172022</v>
      </c>
      <c r="BG22" s="22">
        <f t="shared" si="7"/>
        <v>210.56526416532461</v>
      </c>
      <c r="BH22" s="62">
        <f t="shared" si="8"/>
        <v>424.7173584083481</v>
      </c>
      <c r="BI22" s="62">
        <f ca="1">AVERAGE(OFFSET($BH$3,0,0,'Données projet'!$E$11+1,1))-AVERAGE(OFFSET($H$3,0,0,'Données projet'!$E$11+1,1))</f>
        <v>394.49874384716014</v>
      </c>
      <c r="BJ22" s="62">
        <f t="shared" si="38"/>
        <v>423.72519584013378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33.697921459200977</v>
      </c>
      <c r="CA22" s="14">
        <f t="shared" si="39"/>
        <v>10.31198270984201</v>
      </c>
      <c r="CB22" s="22">
        <f t="shared" si="10"/>
        <v>76.650583094416518</v>
      </c>
      <c r="CC22" s="62">
        <f t="shared" si="11"/>
        <v>290.80267733744006</v>
      </c>
      <c r="CD22" s="62">
        <f ca="1">AVERAGE(OFFSET($CC$3,0,0,'Données projet'!$E$12+1,1))-AVERAGE(OFFSET($H$3,0,0,'Données projet'!$E$12+1,1))</f>
        <v>496.33873798282525</v>
      </c>
      <c r="CE22" s="62">
        <f t="shared" si="40"/>
        <v>280.25465074992246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7.4358974358974361</v>
      </c>
      <c r="CT22" s="13">
        <f>IF('Données projet'!$A$140&gt;35,CT21+CS22-DB21,IF(A22&lt;'Données projet'!$A$140,$CQ$205^A22,IF(A22='Données projet'!$A$140,'Données projet'!$B$140,CT21+CS22-DB21)))</f>
        <v>77.179487179487168</v>
      </c>
      <c r="CU22" s="18">
        <f>CT22*VLOOKUP('Données projet'!$B$13,Paramètres!$A$1:$I$89,3,0)*VLOOKUP('Données projet'!$B$13,Paramètres!$A$1:$I$89,5,0)</f>
        <v>73.443999999999988</v>
      </c>
      <c r="CV22" s="14">
        <f t="shared" si="41"/>
        <v>20.526318854777685</v>
      </c>
      <c r="CW22" s="22">
        <f t="shared" si="13"/>
        <v>163.66497200540442</v>
      </c>
      <c r="CX22" s="62">
        <f t="shared" si="14"/>
        <v>377.81706624842798</v>
      </c>
      <c r="CY22" s="62">
        <f ca="1">AVERAGE(OFFSET($CX$3,0,0,'Données projet'!$E$13+1,1))-AVERAGE(OFFSET($H$3,0,0,'Données projet'!$E$13+1,1))</f>
        <v>441.15969139782891</v>
      </c>
      <c r="CZ22" s="62">
        <f t="shared" si="42"/>
        <v>315.06466790224783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78.399999999999991</v>
      </c>
      <c r="DP22" s="18">
        <f>DO22*VLOOKUP('Données projet'!$B$14,Paramètres!$A$1:$I$89,3,0)*VLOOKUP('Données projet'!$B$14,Paramètres!$A$1:$I$89,5,0)</f>
        <v>61.151999999999994</v>
      </c>
      <c r="DQ22" s="14">
        <f t="shared" si="43"/>
        <v>17.459207591071255</v>
      </c>
      <c r="DR22" s="22">
        <f t="shared" si="16"/>
        <v>136.9145198877824</v>
      </c>
      <c r="DS22" s="62">
        <f t="shared" si="17"/>
        <v>351.06661413080593</v>
      </c>
      <c r="DT22" s="62">
        <f ca="1">AVERAGE(OFFSET($DS$3,0,0,'Données projet'!$E$14+1,1))-AVERAGE(OFFSET($H$3,0,0,'Données projet'!$E$14+1,1))</f>
        <v>309.21625451786218</v>
      </c>
      <c r="DU22" s="62">
        <f t="shared" si="44"/>
        <v>302.59481222418219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9.6</v>
      </c>
      <c r="EJ22" s="13">
        <f>IF('Données projet'!$A$192&gt;35,EJ21+EI22-ER21,IF(A22&lt;'Données projet'!$A$192,$EG$205^A22,IF(A22='Données projet'!$A$192,'Données projet'!$B$192,EJ21+EI22-ER21)))</f>
        <v>47.400000000000006</v>
      </c>
      <c r="EK22" s="18">
        <f>EJ22*VLOOKUP('Données projet'!$B$15,Paramètres!$A$1:$I$89,3,0)*VLOOKUP('Données projet'!$B$15,Paramètres!$A$1:$I$89,5,0)</f>
        <v>41.408640000000005</v>
      </c>
      <c r="EL22" s="14">
        <f t="shared" si="45"/>
        <v>12.371251711099637</v>
      </c>
      <c r="EM22" s="22">
        <f t="shared" si="19"/>
        <v>93.666644730165203</v>
      </c>
      <c r="EN22" s="62">
        <f t="shared" si="20"/>
        <v>307.81873897318872</v>
      </c>
      <c r="EO22" s="62">
        <f ca="1">AVERAGE(OFFSET($EN$3,0,0,'Données projet'!$E$15+1,1))-AVERAGE(OFFSET($H$3,0,0,'Données projet'!$E$15+1,1))</f>
        <v>298.56812743477741</v>
      </c>
      <c r="EP22" s="62">
        <f t="shared" si="46"/>
        <v>276.01618888357268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10</v>
      </c>
      <c r="FE22" s="13">
        <f>IF('Données projet'!$A$218&gt;35,FE21+FD22-FM21,IF(A22&lt;'Données projet'!$A$218,$FB$205^A22,IF(A22='Données projet'!$A$218,'Données projet'!$B$218,FE21+FD22-FM21)))</f>
        <v>118.2051282051282</v>
      </c>
      <c r="FF22" s="18">
        <f>FE22*VLOOKUP('Données projet'!$B$16,Paramètres!$A$1:$I$89,3,0)*VLOOKUP('Données projet'!$B$16,Paramètres!$A$1:$I$89,5,0)</f>
        <v>79.292000000000002</v>
      </c>
      <c r="FG22" s="14">
        <f t="shared" si="47"/>
        <v>21.96398498934548</v>
      </c>
      <c r="FH22" s="22">
        <f t="shared" si="22"/>
        <v>176.35417385644337</v>
      </c>
      <c r="FI22" s="62">
        <f t="shared" si="23"/>
        <v>390.50626809946687</v>
      </c>
      <c r="FJ22" s="62">
        <f ca="1">AVERAGE(OFFSET($FI$3,0,0,'Données projet'!$E$16+1,1))-AVERAGE(OFFSET($H$3,0,0,'Données projet'!$E$16+1,1))</f>
        <v>396.0878652679051</v>
      </c>
      <c r="FK22" s="62">
        <f t="shared" si="48"/>
        <v>327.26339199235406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9">
        <f t="shared" si="1"/>
        <v>183.33333333333334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2.8518518518518516</v>
      </c>
      <c r="N23" s="14">
        <f>IF('Données projet'!$A$36&gt;35,N22+M23-V22,IF(A23&lt;'Données projet'!$A$36,$K$205^A23,IF(A23='Données projet'!$A$36,'Données projet'!$B$36,N22+M23-V22)))</f>
        <v>24.968964803359786</v>
      </c>
      <c r="O23" s="14">
        <f>N23*VLOOKUP('Données projet'!$B$9,Paramètres!$A$1:$I$89,3,0)*VLOOKUP('Données projet'!$B$9,Paramètres!$A$1:$I$89,5,0)</f>
        <v>21.423371801282698</v>
      </c>
      <c r="P23" s="14">
        <f t="shared" si="33"/>
        <v>6.9107398896036081</v>
      </c>
      <c r="Q23" s="22">
        <f t="shared" si="2"/>
        <v>49.348577861626978</v>
      </c>
      <c r="R23" s="62">
        <f t="shared" si="0"/>
        <v>265.8632807485227</v>
      </c>
      <c r="S23" s="62">
        <f ca="1">AVERAGE(OFFSET($R$3,0,0,'Données projet'!$E$9+1,1))-AVERAGE(OFFSET($H$3,0,0,'Données projet'!$E$9+1,1))</f>
        <v>478.11504516179713</v>
      </c>
      <c r="T23" s="62">
        <f t="shared" si="34"/>
        <v>249.93713224442419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133.30000000000001</v>
      </c>
      <c r="AG23" s="13">
        <f>VLOOKUP(A23,'Données projet'!$A$61:$I$81,9,0)</f>
        <v>13.760000000000002</v>
      </c>
      <c r="AH23" s="13">
        <f t="array" ref="AH23">INDEX(AG:AG,MIN(IF(ISNUMBER(AG23:AG219),ROW(AG23:AG219),"")))</f>
        <v>13.760000000000002</v>
      </c>
      <c r="AI23" s="14">
        <f>IF('Données projet'!$A$62&gt;35,AI22+AH23-AQ22,IF(A23&lt;'Données projet'!$A$62,$AF$205^A23,IF(A23='Données projet'!$A$62,'Données projet'!$B$62,AI22+AH23-AQ22)))</f>
        <v>133.30000000000001</v>
      </c>
      <c r="AJ23" s="14">
        <f>AI23*VLOOKUP('Données projet'!$B$10,Paramètres!$A$1:$I$89,3,0)*VLOOKUP('Données projet'!$B$10,Paramètres!$A$1:$I$89,5,0)</f>
        <v>106.05348000000001</v>
      </c>
      <c r="AK23" s="14">
        <f t="shared" si="35"/>
        <v>28.39918570347135</v>
      </c>
      <c r="AL23" s="22">
        <f t="shared" si="4"/>
        <v>234.1717261002126</v>
      </c>
      <c r="AM23" s="62">
        <f t="shared" si="5"/>
        <v>450.68642898710834</v>
      </c>
      <c r="AN23" s="62">
        <f ca="1">AVERAGE(OFFSET($AM$3,0,0,'Données projet'!$E$10+1,1))-AVERAGE(OFFSET($H$3,0,0,'Données projet'!$E$10+1,1))</f>
        <v>394.49874384716014</v>
      </c>
      <c r="AO23" s="62">
        <f t="shared" si="36"/>
        <v>423.72519584013378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66.5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133.30000000000001</v>
      </c>
      <c r="BB23" s="13">
        <f>VLOOKUP(A23,'Données projet'!$A$87:$I$107,9,0)</f>
        <v>13.760000000000002</v>
      </c>
      <c r="BC23" s="13">
        <f t="array" ref="BC23">INDEX(BB:BB,MIN(IF(ISNUMBER(BB23:BB219),ROW(BB23:BB219),"")))</f>
        <v>13.760000000000002</v>
      </c>
      <c r="BD23" s="13">
        <f>IF('Données projet'!$A$88&gt;35,BD22+BC23-BL22,IF(A23&lt;'Données projet'!$A$88,$BA$205^A23,IF(A23='Données projet'!$A$88,'Données projet'!$B$88,BD22+BC23-BL22)))</f>
        <v>133.30000000000001</v>
      </c>
      <c r="BE23" s="14">
        <f>BD23*VLOOKUP('Données projet'!$B$11,Paramètres!$A$1:$I$89,3,0)*VLOOKUP('Données projet'!$B$11,Paramètres!$A$1:$I$89,5,0)</f>
        <v>106.05348000000001</v>
      </c>
      <c r="BF23" s="14">
        <f t="shared" si="37"/>
        <v>28.39918570347135</v>
      </c>
      <c r="BG23" s="22">
        <f t="shared" si="7"/>
        <v>234.1717261002126</v>
      </c>
      <c r="BH23" s="62">
        <f t="shared" si="8"/>
        <v>450.68642898710834</v>
      </c>
      <c r="BI23" s="62">
        <f ca="1">AVERAGE(OFFSET($BH$3,0,0,'Données projet'!$E$11+1,1))-AVERAGE(OFFSET($H$3,0,0,'Données projet'!$E$11+1,1))</f>
        <v>394.49874384716014</v>
      </c>
      <c r="BJ23" s="62">
        <f t="shared" si="38"/>
        <v>423.72519584013378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66.5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40.622399999999999</v>
      </c>
      <c r="CA23" s="14">
        <f t="shared" si="39"/>
        <v>12.163465560290264</v>
      </c>
      <c r="CB23" s="22">
        <f t="shared" si="10"/>
        <v>91.935382517505545</v>
      </c>
      <c r="CC23" s="62">
        <f t="shared" si="11"/>
        <v>308.45008540440125</v>
      </c>
      <c r="CD23" s="62">
        <f ca="1">AVERAGE(OFFSET($CC$3,0,0,'Données projet'!$E$12+1,1))-AVERAGE(OFFSET($H$3,0,0,'Données projet'!$E$12+1,1))</f>
        <v>496.33873798282525</v>
      </c>
      <c r="CE23" s="62">
        <f t="shared" si="40"/>
        <v>280.25465074992246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84.615384615384613</v>
      </c>
      <c r="CR23" s="13">
        <f>VLOOKUP(A23,'Données projet'!$A$139:$I$159,9,0)</f>
        <v>7.4358974358974361</v>
      </c>
      <c r="CS23" s="13">
        <f t="array" ref="CS23">INDEX(CR:CR,MIN(IF(ISNUMBER(CR23:CR219),ROW(CR23:CR219),"")))</f>
        <v>7.4358974358974361</v>
      </c>
      <c r="CT23" s="13">
        <f>IF('Données projet'!$A$140&gt;35,CT22+CS23-DB22,IF(A23&lt;'Données projet'!$A$140,$CQ$205^A23,IF(A23='Données projet'!$A$140,'Données projet'!$B$140,CT22+CS23-DB22)))</f>
        <v>84.615384615384599</v>
      </c>
      <c r="CU23" s="18">
        <f>CT23*VLOOKUP('Données projet'!$B$13,Paramètres!$A$1:$I$89,3,0)*VLOOKUP('Données projet'!$B$13,Paramètres!$A$1:$I$89,5,0)</f>
        <v>80.519999999999982</v>
      </c>
      <c r="CV23" s="14">
        <f t="shared" si="41"/>
        <v>22.264278849845564</v>
      </c>
      <c r="CW23" s="22">
        <f t="shared" si="13"/>
        <v>179.01595233014768</v>
      </c>
      <c r="CX23" s="62">
        <f t="shared" si="14"/>
        <v>395.53065521704343</v>
      </c>
      <c r="CY23" s="62">
        <f ca="1">AVERAGE(OFFSET($CX$3,0,0,'Données projet'!$E$13+1,1))-AVERAGE(OFFSET($H$3,0,0,'Données projet'!$E$13+1,1))</f>
        <v>441.15969139782891</v>
      </c>
      <c r="CZ23" s="62">
        <f t="shared" si="42"/>
        <v>315.06466790224783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88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87.999999999999986</v>
      </c>
      <c r="DP23" s="18">
        <f>DO23*VLOOKUP('Données projet'!$B$14,Paramètres!$A$1:$I$89,3,0)*VLOOKUP('Données projet'!$B$14,Paramètres!$A$1:$I$89,5,0)</f>
        <v>68.639999999999986</v>
      </c>
      <c r="DQ23" s="14">
        <f t="shared" si="43"/>
        <v>19.335336956640202</v>
      </c>
      <c r="DR23" s="22">
        <f t="shared" si="16"/>
        <v>153.22371186614834</v>
      </c>
      <c r="DS23" s="62">
        <f t="shared" si="17"/>
        <v>369.73841475304403</v>
      </c>
      <c r="DT23" s="62">
        <f ca="1">AVERAGE(OFFSET($DS$3,0,0,'Données projet'!$E$14+1,1))-AVERAGE(OFFSET($H$3,0,0,'Données projet'!$E$14+1,1))</f>
        <v>309.21625451786218</v>
      </c>
      <c r="DU23" s="62">
        <f t="shared" si="44"/>
        <v>302.59481222418219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57</v>
      </c>
      <c r="EH23" s="13">
        <f>VLOOKUP(A23,'Données projet'!$A$191:$I$211,9,0)</f>
        <v>9.6</v>
      </c>
      <c r="EI23" s="13">
        <f t="array" ref="EI23">INDEX(EH:EH,MIN(IF(ISNUMBER(EH23:EH219),ROW(EH23:EH219),"")))</f>
        <v>9.6</v>
      </c>
      <c r="EJ23" s="13">
        <f>IF('Données projet'!$A$192&gt;35,EJ22+EI23-ER22,IF(A23&lt;'Données projet'!$A$192,$EG$205^A23,IF(A23='Données projet'!$A$192,'Données projet'!$B$192,EJ22+EI23-ER22)))</f>
        <v>57.000000000000007</v>
      </c>
      <c r="EK23" s="18">
        <f>EJ23*VLOOKUP('Données projet'!$B$15,Paramètres!$A$1:$I$89,3,0)*VLOOKUP('Données projet'!$B$15,Paramètres!$A$1:$I$89,5,0)</f>
        <v>49.795200000000008</v>
      </c>
      <c r="EL23" s="14">
        <f t="shared" si="45"/>
        <v>14.560856542690781</v>
      </c>
      <c r="EM23" s="22">
        <f t="shared" si="19"/>
        <v>112.08679847851981</v>
      </c>
      <c r="EN23" s="62">
        <f t="shared" si="20"/>
        <v>328.60150136541552</v>
      </c>
      <c r="EO23" s="62">
        <f ca="1">AVERAGE(OFFSET($EN$3,0,0,'Données projet'!$E$15+1,1))-AVERAGE(OFFSET($H$3,0,0,'Données projet'!$E$15+1,1))</f>
        <v>298.56812743477741</v>
      </c>
      <c r="EP23" s="62">
        <f t="shared" si="46"/>
        <v>276.01618888357268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128.2051282051282</v>
      </c>
      <c r="FC23" s="13">
        <f>VLOOKUP(A23,'Données projet'!$A$217:$I$237,9,0)</f>
        <v>10</v>
      </c>
      <c r="FD23" s="13">
        <f t="array" ref="FD23">INDEX(FC:FC,MIN(IF(ISNUMBER(FC23:FC219),ROW(FC23:FC219),"")))</f>
        <v>10</v>
      </c>
      <c r="FE23" s="13">
        <f>IF('Données projet'!$A$218&gt;35,FE22+FD23-FM22,IF(A23&lt;'Données projet'!$A$218,$FB$205^A23,IF(A23='Données projet'!$A$218,'Données projet'!$B$218,FE22+FD23-FM22)))</f>
        <v>128.2051282051282</v>
      </c>
      <c r="FF23" s="18">
        <f>FE23*VLOOKUP('Données projet'!$B$16,Paramètres!$A$1:$I$89,3,0)*VLOOKUP('Données projet'!$B$16,Paramètres!$A$1:$I$89,5,0)</f>
        <v>86</v>
      </c>
      <c r="FG23" s="14">
        <f t="shared" si="47"/>
        <v>23.597983677077231</v>
      </c>
      <c r="FH23" s="22">
        <f t="shared" si="22"/>
        <v>190.88315490424284</v>
      </c>
      <c r="FI23" s="62">
        <f t="shared" si="23"/>
        <v>407.39785779113856</v>
      </c>
      <c r="FJ23" s="62">
        <f ca="1">AVERAGE(OFFSET($FI$3,0,0,'Données projet'!$E$16+1,1))-AVERAGE(OFFSET($H$3,0,0,'Données projet'!$E$16+1,1))</f>
        <v>396.0878652679051</v>
      </c>
      <c r="FK23" s="62">
        <f t="shared" si="48"/>
        <v>327.26339199235406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39.102564102564102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9">
        <f t="shared" si="1"/>
        <v>183.33333333333334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2.8518518518518516</v>
      </c>
      <c r="N24" s="14">
        <f>IF('Données projet'!$A$36&gt;35,N23+M24-V23,IF(A24&lt;'Données projet'!$A$36,$K$205^A24,IF(A24='Données projet'!$A$36,'Données projet'!$B$36,N23+M24-V23)))</f>
        <v>29.327197509240069</v>
      </c>
      <c r="O24" s="14">
        <f>N24*VLOOKUP('Données projet'!$B$9,Paramètres!$A$1:$I$89,3,0)*VLOOKUP('Données projet'!$B$9,Paramètres!$A$1:$I$89,5,0)</f>
        <v>25.162735462927984</v>
      </c>
      <c r="P24" s="14">
        <f t="shared" si="33"/>
        <v>7.9663925499040165</v>
      </c>
      <c r="Q24" s="22">
        <f t="shared" si="2"/>
        <v>57.699897955682388</v>
      </c>
      <c r="R24" s="62">
        <f t="shared" si="0"/>
        <v>276.55742633155677</v>
      </c>
      <c r="S24" s="62">
        <f ca="1">AVERAGE(OFFSET($R$3,0,0,'Données projet'!$E$9+1,1))-AVERAGE(OFFSET($H$3,0,0,'Données projet'!$E$9+1,1))</f>
        <v>478.11504516179713</v>
      </c>
      <c r="T24" s="62">
        <f t="shared" si="34"/>
        <v>249.93713224442419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14.739999999999998</v>
      </c>
      <c r="AI24" s="14">
        <f>IF('Données projet'!$A$62&gt;35,AI23+AH24-AQ23,IF(A24&lt;'Données projet'!$A$62,$AF$205^A24,IF(A24='Données projet'!$A$62,'Données projet'!$B$62,AI23+AH24-AQ23)))</f>
        <v>81.54000000000002</v>
      </c>
      <c r="AJ24" s="14">
        <f>AI24*VLOOKUP('Données projet'!$B$10,Paramètres!$A$1:$I$89,3,0)*VLOOKUP('Données projet'!$B$10,Paramètres!$A$1:$I$89,5,0)</f>
        <v>64.873224000000022</v>
      </c>
      <c r="AK24" s="14">
        <f t="shared" si="35"/>
        <v>18.39471758117234</v>
      </c>
      <c r="AL24" s="22">
        <f t="shared" si="4"/>
        <v>145.0249982538752</v>
      </c>
      <c r="AM24" s="62">
        <f t="shared" si="5"/>
        <v>363.88252662974958</v>
      </c>
      <c r="AN24" s="62">
        <f ca="1">AVERAGE(OFFSET($AM$3,0,0,'Données projet'!$E$10+1,1))-AVERAGE(OFFSET($H$3,0,0,'Données projet'!$E$10+1,1))</f>
        <v>394.49874384716014</v>
      </c>
      <c r="AO24" s="62">
        <f t="shared" si="36"/>
        <v>423.72519584013378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14.739999999999998</v>
      </c>
      <c r="BD24" s="13">
        <f>IF('Données projet'!$A$88&gt;35,BD23+BC24-BL23,IF(A24&lt;'Données projet'!$A$88,$BA$205^A24,IF(A24='Données projet'!$A$88,'Données projet'!$B$88,BD23+BC24-BL23)))</f>
        <v>81.54000000000002</v>
      </c>
      <c r="BE24" s="14">
        <f>BD24*VLOOKUP('Données projet'!$B$11,Paramètres!$A$1:$I$89,3,0)*VLOOKUP('Données projet'!$B$11,Paramètres!$A$1:$I$89,5,0)</f>
        <v>64.873224000000022</v>
      </c>
      <c r="BF24" s="14">
        <f t="shared" si="37"/>
        <v>18.39471758117234</v>
      </c>
      <c r="BG24" s="22">
        <f t="shared" si="7"/>
        <v>145.0249982538752</v>
      </c>
      <c r="BH24" s="62">
        <f t="shared" si="8"/>
        <v>363.88252662974958</v>
      </c>
      <c r="BI24" s="62">
        <f ca="1">AVERAGE(OFFSET($BH$3,0,0,'Données projet'!$E$11+1,1))-AVERAGE(OFFSET($H$3,0,0,'Données projet'!$E$11+1,1))</f>
        <v>394.49874384716014</v>
      </c>
      <c r="BJ24" s="62">
        <f t="shared" si="38"/>
        <v>423.72519584013378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46.038720000000005</v>
      </c>
      <c r="CA24" s="14">
        <f t="shared" si="39"/>
        <v>13.585879560828786</v>
      </c>
      <c r="CB24" s="22">
        <f t="shared" si="10"/>
        <v>103.84617756844348</v>
      </c>
      <c r="CC24" s="62">
        <f t="shared" si="11"/>
        <v>322.70370594431785</v>
      </c>
      <c r="CD24" s="62">
        <f ca="1">AVERAGE(OFFSET($CC$3,0,0,'Données projet'!$E$12+1,1))-AVERAGE(OFFSET($H$3,0,0,'Données projet'!$E$12+1,1))</f>
        <v>496.33873798282525</v>
      </c>
      <c r="CE24" s="62">
        <f t="shared" si="40"/>
        <v>280.25465074992246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7.5641025641025639</v>
      </c>
      <c r="CT24" s="13">
        <f>IF('Données projet'!$A$140&gt;35,CT23+CS24-DB23,IF(A24&lt;'Données projet'!$A$140,$CQ$205^A24,IF(A24='Données projet'!$A$140,'Données projet'!$B$140,CT23+CS24-DB23)))</f>
        <v>92.179487179487168</v>
      </c>
      <c r="CU24" s="18">
        <f>CT24*VLOOKUP('Données projet'!$B$13,Paramètres!$A$1:$I$89,3,0)*VLOOKUP('Données projet'!$B$13,Paramètres!$A$1:$I$89,5,0)</f>
        <v>87.717999999999989</v>
      </c>
      <c r="CV24" s="14">
        <f t="shared" si="41"/>
        <v>24.014041608889237</v>
      </c>
      <c r="CW24" s="22">
        <f t="shared" si="13"/>
        <v>194.59997246881539</v>
      </c>
      <c r="CX24" s="62">
        <f t="shared" si="14"/>
        <v>413.45750084468978</v>
      </c>
      <c r="CY24" s="62">
        <f ca="1">AVERAGE(OFFSET($CX$3,0,0,'Données projet'!$E$13+1,1))-AVERAGE(OFFSET($H$3,0,0,'Données projet'!$E$13+1,1))</f>
        <v>441.15969139782891</v>
      </c>
      <c r="CZ24" s="62">
        <f t="shared" si="42"/>
        <v>315.06466790224783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10.6</v>
      </c>
      <c r="DO24" s="13">
        <f>IF('Données projet'!$A$166&gt;35,DO23+DN24-DW23,IF(A24&lt;'Données projet'!$A$166,$DL$205^A24,IF(A24='Données projet'!$A$166,'Données projet'!$B$166,DO23+DN24-DW23)))</f>
        <v>70.59999999999998</v>
      </c>
      <c r="DP24" s="18">
        <f>DO24*VLOOKUP('Données projet'!$B$14,Paramètres!$A$1:$I$89,3,0)*VLOOKUP('Données projet'!$B$14,Paramètres!$A$1:$I$89,5,0)</f>
        <v>55.067999999999984</v>
      </c>
      <c r="DQ24" s="14">
        <f t="shared" si="43"/>
        <v>15.915148294580479</v>
      </c>
      <c r="DR24" s="22">
        <f t="shared" si="16"/>
        <v>123.62898327972762</v>
      </c>
      <c r="DS24" s="62">
        <f t="shared" si="17"/>
        <v>342.48651165560199</v>
      </c>
      <c r="DT24" s="62">
        <f ca="1">AVERAGE(OFFSET($DS$3,0,0,'Données projet'!$E$14+1,1))-AVERAGE(OFFSET($H$3,0,0,'Données projet'!$E$14+1,1))</f>
        <v>309.21625451786218</v>
      </c>
      <c r="DU24" s="62">
        <f t="shared" si="44"/>
        <v>302.59481222418219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</v>
      </c>
      <c r="EJ24" s="13">
        <f>IF('Données projet'!$A$192&gt;35,EJ23+EI24-ER23,IF(A24&lt;'Données projet'!$A$192,$EG$205^A24,IF(A24='Données projet'!$A$192,'Données projet'!$B$192,EJ23+EI24-ER23)))</f>
        <v>67</v>
      </c>
      <c r="EK24" s="18">
        <f>EJ24*VLOOKUP('Données projet'!$B$15,Paramètres!$A$1:$I$89,3,0)*VLOOKUP('Données projet'!$B$15,Paramètres!$A$1:$I$89,5,0)</f>
        <v>58.531200000000005</v>
      </c>
      <c r="EL24" s="14">
        <f t="shared" si="45"/>
        <v>16.796376317470752</v>
      </c>
      <c r="EM24" s="22">
        <f t="shared" si="19"/>
        <v>131.19552875292825</v>
      </c>
      <c r="EN24" s="62">
        <f t="shared" si="20"/>
        <v>350.05305712880261</v>
      </c>
      <c r="EO24" s="62">
        <f ca="1">AVERAGE(OFFSET($EN$3,0,0,'Données projet'!$E$15+1,1))-AVERAGE(OFFSET($H$3,0,0,'Données projet'!$E$15+1,1))</f>
        <v>298.56812743477741</v>
      </c>
      <c r="EP24" s="62">
        <f t="shared" si="46"/>
        <v>276.01618888357268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9.7435897435897427</v>
      </c>
      <c r="FE24" s="13">
        <f>IF('Données projet'!$A$218&gt;35,FE23+FD24-FM23,IF(A24&lt;'Données projet'!$A$218,$FB$205^A24,IF(A24='Données projet'!$A$218,'Données projet'!$B$218,FE23+FD24-FM23)))</f>
        <v>98.846153846153854</v>
      </c>
      <c r="FF24" s="18">
        <f>FE24*VLOOKUP('Données projet'!$B$16,Paramètres!$A$1:$I$89,3,0)*VLOOKUP('Données projet'!$B$16,Paramètres!$A$1:$I$89,5,0)</f>
        <v>66.305999999999997</v>
      </c>
      <c r="FG24" s="14">
        <f t="shared" si="47"/>
        <v>18.753232796006525</v>
      </c>
      <c r="FH24" s="22">
        <f t="shared" si="22"/>
        <v>148.1448304530447</v>
      </c>
      <c r="FI24" s="62">
        <f t="shared" si="23"/>
        <v>367.00235882891911</v>
      </c>
      <c r="FJ24" s="62">
        <f ca="1">AVERAGE(OFFSET($FI$3,0,0,'Données projet'!$E$16+1,1))-AVERAGE(OFFSET($H$3,0,0,'Données projet'!$E$16+1,1))</f>
        <v>396.0878652679051</v>
      </c>
      <c r="FK24" s="62">
        <f t="shared" si="48"/>
        <v>327.26339199235406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9">
        <f t="shared" si="1"/>
        <v>183.33333333333334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2.8518518518518516</v>
      </c>
      <c r="N25" s="14">
        <f>IF('Données projet'!$A$36&gt;35,N24+M25-V24,IF(A25&lt;'Données projet'!$A$36,$K$205^A25,IF(A25='Données projet'!$A$36,'Données projet'!$B$36,N24+M25-V24)))</f>
        <v>34.446142261782732</v>
      </c>
      <c r="O25" s="14">
        <f>N25*VLOOKUP('Données projet'!$B$9,Paramètres!$A$1:$I$89,3,0)*VLOOKUP('Données projet'!$B$9,Paramètres!$A$1:$I$89,5,0)</f>
        <v>29.554790060609587</v>
      </c>
      <c r="P25" s="14">
        <f t="shared" si="33"/>
        <v>9.1833018277304088</v>
      </c>
      <c r="Q25" s="22">
        <f t="shared" si="2"/>
        <v>67.468843372192154</v>
      </c>
      <c r="R25" s="62">
        <f t="shared" si="0"/>
        <v>288.64975727566053</v>
      </c>
      <c r="S25" s="62">
        <f ca="1">AVERAGE(OFFSET($R$3,0,0,'Données projet'!$E$9+1,1))-AVERAGE(OFFSET($H$3,0,0,'Données projet'!$E$9+1,1))</f>
        <v>478.11504516179713</v>
      </c>
      <c r="T25" s="62">
        <f t="shared" si="34"/>
        <v>249.93713224442419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14.739999999999998</v>
      </c>
      <c r="AI25" s="14">
        <f>IF('Données projet'!$A$62&gt;35,AI24+AH25-AQ24,IF(A25&lt;'Données projet'!$A$62,$AF$205^A25,IF(A25='Données projet'!$A$62,'Données projet'!$B$62,AI24+AH25-AQ24)))</f>
        <v>96.280000000000015</v>
      </c>
      <c r="AJ25" s="14">
        <f>AI25*VLOOKUP('Données projet'!$B$10,Paramètres!$A$1:$I$89,3,0)*VLOOKUP('Données projet'!$B$10,Paramètres!$A$1:$I$89,5,0)</f>
        <v>76.600368000000017</v>
      </c>
      <c r="AK25" s="14">
        <f t="shared" si="35"/>
        <v>21.30386735026233</v>
      </c>
      <c r="AL25" s="22">
        <f t="shared" si="4"/>
        <v>170.51654323504027</v>
      </c>
      <c r="AM25" s="62">
        <f t="shared" si="5"/>
        <v>391.69745713850864</v>
      </c>
      <c r="AN25" s="62">
        <f ca="1">AVERAGE(OFFSET($AM$3,0,0,'Données projet'!$E$10+1,1))-AVERAGE(OFFSET($H$3,0,0,'Données projet'!$E$10+1,1))</f>
        <v>394.49874384716014</v>
      </c>
      <c r="AO25" s="62">
        <f t="shared" si="36"/>
        <v>423.72519584013378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14.739999999999998</v>
      </c>
      <c r="BD25" s="13">
        <f>IF('Données projet'!$A$88&gt;35,BD24+BC25-BL24,IF(A25&lt;'Données projet'!$A$88,$BA$205^A25,IF(A25='Données projet'!$A$88,'Données projet'!$B$88,BD24+BC25-BL24)))</f>
        <v>96.280000000000015</v>
      </c>
      <c r="BE25" s="14">
        <f>BD25*VLOOKUP('Données projet'!$B$11,Paramètres!$A$1:$I$89,3,0)*VLOOKUP('Données projet'!$B$11,Paramètres!$A$1:$I$89,5,0)</f>
        <v>76.600368000000017</v>
      </c>
      <c r="BF25" s="14">
        <f t="shared" si="37"/>
        <v>21.30386735026233</v>
      </c>
      <c r="BG25" s="22">
        <f t="shared" si="7"/>
        <v>170.51654323504027</v>
      </c>
      <c r="BH25" s="62">
        <f t="shared" si="8"/>
        <v>391.69745713850864</v>
      </c>
      <c r="BI25" s="62">
        <f ca="1">AVERAGE(OFFSET($BH$3,0,0,'Données projet'!$E$11+1,1))-AVERAGE(OFFSET($H$3,0,0,'Données projet'!$E$11+1,1))</f>
        <v>394.49874384716014</v>
      </c>
      <c r="BJ25" s="62">
        <f t="shared" si="38"/>
        <v>423.72519584013378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51.455040000000004</v>
      </c>
      <c r="CA25" s="14">
        <f t="shared" si="39"/>
        <v>14.988900446655085</v>
      </c>
      <c r="CB25" s="22">
        <f t="shared" si="10"/>
        <v>115.72319627792427</v>
      </c>
      <c r="CC25" s="62">
        <f t="shared" si="11"/>
        <v>336.90411018139264</v>
      </c>
      <c r="CD25" s="62">
        <f ca="1">AVERAGE(OFFSET($CC$3,0,0,'Données projet'!$E$12+1,1))-AVERAGE(OFFSET($H$3,0,0,'Données projet'!$E$12+1,1))</f>
        <v>496.33873798282525</v>
      </c>
      <c r="CE25" s="62">
        <f t="shared" si="40"/>
        <v>280.25465074992246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7.5641025641025639</v>
      </c>
      <c r="CT25" s="13">
        <f>IF('Données projet'!$A$140&gt;35,CT24+CS25-DB24,IF(A25&lt;'Données projet'!$A$140,$CQ$205^A25,IF(A25='Données projet'!$A$140,'Données projet'!$B$140,CT24+CS25-DB24)))</f>
        <v>99.743589743589737</v>
      </c>
      <c r="CU25" s="18">
        <f>CT25*VLOOKUP('Données projet'!$B$13,Paramètres!$A$1:$I$89,3,0)*VLOOKUP('Données projet'!$B$13,Paramètres!$A$1:$I$89,5,0)</f>
        <v>94.915999999999997</v>
      </c>
      <c r="CV25" s="14">
        <f t="shared" si="41"/>
        <v>25.747151184602235</v>
      </c>
      <c r="CW25" s="22">
        <f t="shared" si="13"/>
        <v>210.1549883131822</v>
      </c>
      <c r="CX25" s="62">
        <f t="shared" si="14"/>
        <v>431.3359022166506</v>
      </c>
      <c r="CY25" s="62">
        <f ca="1">AVERAGE(OFFSET($CX$3,0,0,'Données projet'!$E$13+1,1))-AVERAGE(OFFSET($H$3,0,0,'Données projet'!$E$13+1,1))</f>
        <v>441.15969139782891</v>
      </c>
      <c r="CZ25" s="62">
        <f t="shared" si="42"/>
        <v>315.06466790224783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10.6</v>
      </c>
      <c r="DO25" s="13">
        <f>IF('Données projet'!$A$166&gt;35,DO24+DN25-DW24,IF(A25&lt;'Données projet'!$A$166,$DL$205^A25,IF(A25='Données projet'!$A$166,'Données projet'!$B$166,DO24+DN25-DW24)))</f>
        <v>81.199999999999974</v>
      </c>
      <c r="DP25" s="18">
        <f>DO25*VLOOKUP('Données projet'!$B$14,Paramètres!$A$1:$I$89,3,0)*VLOOKUP('Données projet'!$B$14,Paramètres!$A$1:$I$89,5,0)</f>
        <v>63.335999999999984</v>
      </c>
      <c r="DQ25" s="14">
        <f t="shared" si="43"/>
        <v>18.009040022946227</v>
      </c>
      <c r="DR25" s="22">
        <f t="shared" si="16"/>
        <v>141.67594470663133</v>
      </c>
      <c r="DS25" s="62">
        <f t="shared" si="17"/>
        <v>362.85685861009972</v>
      </c>
      <c r="DT25" s="62">
        <f ca="1">AVERAGE(OFFSET($DS$3,0,0,'Données projet'!$E$14+1,1))-AVERAGE(OFFSET($H$3,0,0,'Données projet'!$E$14+1,1))</f>
        <v>309.21625451786218</v>
      </c>
      <c r="DU25" s="62">
        <f t="shared" si="44"/>
        <v>302.59481222418219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</v>
      </c>
      <c r="EJ25" s="13">
        <f>IF('Données projet'!$A$192&gt;35,EJ24+EI25-ER24,IF(A25&lt;'Données projet'!$A$192,$EG$205^A25,IF(A25='Données projet'!$A$192,'Données projet'!$B$192,EJ24+EI25-ER24)))</f>
        <v>77</v>
      </c>
      <c r="EK25" s="18">
        <f>EJ25*VLOOKUP('Données projet'!$B$15,Paramètres!$A$1:$I$89,3,0)*VLOOKUP('Données projet'!$B$15,Paramètres!$A$1:$I$89,5,0)</f>
        <v>67.267200000000003</v>
      </c>
      <c r="EL25" s="14">
        <f t="shared" si="45"/>
        <v>18.993242158132926</v>
      </c>
      <c r="EM25" s="22">
        <f t="shared" si="19"/>
        <v>150.23693675874819</v>
      </c>
      <c r="EN25" s="62">
        <f t="shared" si="20"/>
        <v>371.41785066221655</v>
      </c>
      <c r="EO25" s="62">
        <f ca="1">AVERAGE(OFFSET($EN$3,0,0,'Données projet'!$E$15+1,1))-AVERAGE(OFFSET($H$3,0,0,'Données projet'!$E$15+1,1))</f>
        <v>298.56812743477741</v>
      </c>
      <c r="EP25" s="62">
        <f t="shared" si="46"/>
        <v>276.01618888357268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9.7435897435897427</v>
      </c>
      <c r="FE25" s="13">
        <f>IF('Données projet'!$A$218&gt;35,FE24+FD25-FM24,IF(A25&lt;'Données projet'!$A$218,$FB$205^A25,IF(A25='Données projet'!$A$218,'Données projet'!$B$218,FE24+FD25-FM24)))</f>
        <v>108.58974358974359</v>
      </c>
      <c r="FF25" s="18">
        <f>FE25*VLOOKUP('Données projet'!$B$16,Paramètres!$A$1:$I$89,3,0)*VLOOKUP('Données projet'!$B$16,Paramètres!$A$1:$I$89,5,0)</f>
        <v>72.841999999999999</v>
      </c>
      <c r="FG25" s="14">
        <f t="shared" si="47"/>
        <v>20.377583329250708</v>
      </c>
      <c r="FH25" s="22">
        <f t="shared" si="22"/>
        <v>162.35744096511164</v>
      </c>
      <c r="FI25" s="62">
        <f t="shared" si="23"/>
        <v>383.53835486858003</v>
      </c>
      <c r="FJ25" s="62">
        <f ca="1">AVERAGE(OFFSET($FI$3,0,0,'Données projet'!$E$16+1,1))-AVERAGE(OFFSET($H$3,0,0,'Données projet'!$E$16+1,1))</f>
        <v>396.0878652679051</v>
      </c>
      <c r="FK25" s="62">
        <f t="shared" si="48"/>
        <v>327.26339199235406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9">
        <f t="shared" si="1"/>
        <v>183.33333333333334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2.8518518518518516</v>
      </c>
      <c r="N26" s="14">
        <f>IF('Données projet'!$A$36&gt;35,N25+M26-V25,IF(A26&lt;'Données projet'!$A$36,$K$205^A26,IF(A26='Données projet'!$A$36,'Données projet'!$B$36,N25+M26-V25)))</f>
        <v>40.458578299039118</v>
      </c>
      <c r="O26" s="14">
        <f>N26*VLOOKUP('Données projet'!$B$9,Paramètres!$A$1:$I$89,3,0)*VLOOKUP('Données projet'!$B$9,Paramètres!$A$1:$I$89,5,0)</f>
        <v>34.713460180575566</v>
      </c>
      <c r="P26" s="14">
        <f t="shared" si="33"/>
        <v>10.586100538092712</v>
      </c>
      <c r="Q26" s="22">
        <f t="shared" si="2"/>
        <v>78.896734918347235</v>
      </c>
      <c r="R26" s="62">
        <f t="shared" si="0"/>
        <v>302.38193162789372</v>
      </c>
      <c r="S26" s="62">
        <f ca="1">AVERAGE(OFFSET($R$3,0,0,'Données projet'!$E$9+1,1))-AVERAGE(OFFSET($H$3,0,0,'Données projet'!$E$9+1,1))</f>
        <v>478.11504516179713</v>
      </c>
      <c r="T26" s="62">
        <f t="shared" si="34"/>
        <v>249.93713224442419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14.739999999999998</v>
      </c>
      <c r="AI26" s="14">
        <f>IF('Données projet'!$A$62&gt;35,AI25+AH26-AQ25,IF(A26&lt;'Données projet'!$A$62,$AF$205^A26,IF(A26='Données projet'!$A$62,'Données projet'!$B$62,AI25+AH26-AQ25)))</f>
        <v>111.02000000000001</v>
      </c>
      <c r="AJ26" s="14">
        <f>AI26*VLOOKUP('Données projet'!$B$10,Paramètres!$A$1:$I$89,3,0)*VLOOKUP('Données projet'!$B$10,Paramètres!$A$1:$I$89,5,0)</f>
        <v>88.327512000000013</v>
      </c>
      <c r="AK26" s="14">
        <f t="shared" si="35"/>
        <v>24.161421859810599</v>
      </c>
      <c r="AL26" s="22">
        <f t="shared" si="4"/>
        <v>195.91822647250351</v>
      </c>
      <c r="AM26" s="62">
        <f t="shared" si="5"/>
        <v>419.40342318205001</v>
      </c>
      <c r="AN26" s="62">
        <f ca="1">AVERAGE(OFFSET($AM$3,0,0,'Données projet'!$E$10+1,1))-AVERAGE(OFFSET($H$3,0,0,'Données projet'!$E$10+1,1))</f>
        <v>394.49874384716014</v>
      </c>
      <c r="AO26" s="62">
        <f t="shared" si="36"/>
        <v>423.72519584013378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14.739999999999998</v>
      </c>
      <c r="BD26" s="13">
        <f>IF('Données projet'!$A$88&gt;35,BD25+BC26-BL25,IF(A26&lt;'Données projet'!$A$88,$BA$205^A26,IF(A26='Données projet'!$A$88,'Données projet'!$B$88,BD25+BC26-BL25)))</f>
        <v>111.02000000000001</v>
      </c>
      <c r="BE26" s="14">
        <f>BD26*VLOOKUP('Données projet'!$B$11,Paramètres!$A$1:$I$89,3,0)*VLOOKUP('Données projet'!$B$11,Paramètres!$A$1:$I$89,5,0)</f>
        <v>88.327512000000013</v>
      </c>
      <c r="BF26" s="14">
        <f t="shared" si="37"/>
        <v>24.161421859810599</v>
      </c>
      <c r="BG26" s="22">
        <f t="shared" si="7"/>
        <v>195.91822647250351</v>
      </c>
      <c r="BH26" s="62">
        <f t="shared" si="8"/>
        <v>419.40342318205001</v>
      </c>
      <c r="BI26" s="62">
        <f ca="1">AVERAGE(OFFSET($BH$3,0,0,'Données projet'!$E$11+1,1))-AVERAGE(OFFSET($H$3,0,0,'Données projet'!$E$11+1,1))</f>
        <v>394.49874384716014</v>
      </c>
      <c r="BJ26" s="62">
        <f t="shared" si="38"/>
        <v>423.72519584013378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56.87136000000001</v>
      </c>
      <c r="CA26" s="14">
        <f t="shared" si="39"/>
        <v>16.374802181791551</v>
      </c>
      <c r="CB26" s="22">
        <f t="shared" si="10"/>
        <v>127.57039913328697</v>
      </c>
      <c r="CC26" s="62">
        <f t="shared" si="11"/>
        <v>351.05559584283344</v>
      </c>
      <c r="CD26" s="62">
        <f ca="1">AVERAGE(OFFSET($CC$3,0,0,'Données projet'!$E$12+1,1))-AVERAGE(OFFSET($H$3,0,0,'Données projet'!$E$12+1,1))</f>
        <v>496.33873798282525</v>
      </c>
      <c r="CE26" s="62">
        <f t="shared" si="40"/>
        <v>280.25465074992246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7.5641025641025639</v>
      </c>
      <c r="CT26" s="13">
        <f>IF('Données projet'!$A$140&gt;35,CT25+CS26-DB25,IF(A26&lt;'Données projet'!$A$140,$CQ$205^A26,IF(A26='Données projet'!$A$140,'Données projet'!$B$140,CT25+CS26-DB25)))</f>
        <v>107.30769230769231</v>
      </c>
      <c r="CU26" s="18">
        <f>CT26*VLOOKUP('Données projet'!$B$13,Paramètres!$A$1:$I$89,3,0)*VLOOKUP('Données projet'!$B$13,Paramètres!$A$1:$I$89,5,0)</f>
        <v>102.114</v>
      </c>
      <c r="CV26" s="14">
        <f t="shared" si="41"/>
        <v>27.465014076024996</v>
      </c>
      <c r="CW26" s="22">
        <f t="shared" si="13"/>
        <v>225.68344951574352</v>
      </c>
      <c r="CX26" s="62">
        <f t="shared" si="14"/>
        <v>449.16864622528999</v>
      </c>
      <c r="CY26" s="62">
        <f ca="1">AVERAGE(OFFSET($CX$3,0,0,'Données projet'!$E$13+1,1))-AVERAGE(OFFSET($H$3,0,0,'Données projet'!$E$13+1,1))</f>
        <v>441.15969139782891</v>
      </c>
      <c r="CZ26" s="62">
        <f t="shared" si="42"/>
        <v>315.06466790224783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10.6</v>
      </c>
      <c r="DO26" s="13">
        <f>IF('Données projet'!$A$166&gt;35,DO25+DN26-DW25,IF(A26&lt;'Données projet'!$A$166,$DL$205^A26,IF(A26='Données projet'!$A$166,'Données projet'!$B$166,DO25+DN26-DW25)))</f>
        <v>91.799999999999969</v>
      </c>
      <c r="DP26" s="18">
        <f>DO26*VLOOKUP('Données projet'!$B$14,Paramètres!$A$1:$I$89,3,0)*VLOOKUP('Données projet'!$B$14,Paramètres!$A$1:$I$89,5,0)</f>
        <v>71.603999999999985</v>
      </c>
      <c r="DQ26" s="14">
        <f t="shared" si="43"/>
        <v>20.071260561992585</v>
      </c>
      <c r="DR26" s="22">
        <f t="shared" si="16"/>
        <v>159.66774547880371</v>
      </c>
      <c r="DS26" s="62">
        <f t="shared" si="17"/>
        <v>383.15294218835021</v>
      </c>
      <c r="DT26" s="62">
        <f ca="1">AVERAGE(OFFSET($DS$3,0,0,'Données projet'!$E$14+1,1))-AVERAGE(OFFSET($H$3,0,0,'Données projet'!$E$14+1,1))</f>
        <v>309.21625451786218</v>
      </c>
      <c r="DU26" s="62">
        <f t="shared" si="44"/>
        <v>302.59481222418219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</v>
      </c>
      <c r="EJ26" s="13">
        <f>IF('Données projet'!$A$192&gt;35,EJ25+EI26-ER25,IF(A26&lt;'Données projet'!$A$192,$EG$205^A26,IF(A26='Données projet'!$A$192,'Données projet'!$B$192,EJ25+EI26-ER25)))</f>
        <v>87</v>
      </c>
      <c r="EK26" s="18">
        <f>EJ26*VLOOKUP('Données projet'!$B$15,Paramètres!$A$1:$I$89,3,0)*VLOOKUP('Données projet'!$B$15,Paramètres!$A$1:$I$89,5,0)</f>
        <v>76.003200000000007</v>
      </c>
      <c r="EL26" s="14">
        <f t="shared" si="45"/>
        <v>21.157049992000456</v>
      </c>
      <c r="EM26" s="22">
        <f t="shared" si="19"/>
        <v>169.22076873606747</v>
      </c>
      <c r="EN26" s="62">
        <f t="shared" si="20"/>
        <v>392.70596544561397</v>
      </c>
      <c r="EO26" s="62">
        <f ca="1">AVERAGE(OFFSET($EN$3,0,0,'Données projet'!$E$15+1,1))-AVERAGE(OFFSET($H$3,0,0,'Données projet'!$E$15+1,1))</f>
        <v>298.56812743477741</v>
      </c>
      <c r="EP26" s="62">
        <f t="shared" si="46"/>
        <v>276.01618888357268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9.7435897435897427</v>
      </c>
      <c r="FE26" s="13">
        <f>IF('Données projet'!$A$218&gt;35,FE25+FD26-FM25,IF(A26&lt;'Données projet'!$A$218,$FB$205^A26,IF(A26='Données projet'!$A$218,'Données projet'!$B$218,FE25+FD26-FM25)))</f>
        <v>118.33333333333333</v>
      </c>
      <c r="FF26" s="18">
        <f>FE26*VLOOKUP('Données projet'!$B$16,Paramètres!$A$1:$I$89,3,0)*VLOOKUP('Données projet'!$B$16,Paramètres!$A$1:$I$89,5,0)</f>
        <v>79.378</v>
      </c>
      <c r="FG26" s="14">
        <f t="shared" si="47"/>
        <v>21.985032877161519</v>
      </c>
      <c r="FH26" s="22">
        <f t="shared" si="22"/>
        <v>176.54061559438961</v>
      </c>
      <c r="FI26" s="62">
        <f t="shared" si="23"/>
        <v>400.02581230393611</v>
      </c>
      <c r="FJ26" s="62">
        <f ca="1">AVERAGE(OFFSET($FI$3,0,0,'Données projet'!$E$16+1,1))-AVERAGE(OFFSET($H$3,0,0,'Données projet'!$E$16+1,1))</f>
        <v>396.0878652679051</v>
      </c>
      <c r="FK26" s="62">
        <f t="shared" si="48"/>
        <v>327.26339199235406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9">
        <f t="shared" si="1"/>
        <v>183.33333333333334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2.8518518518518516</v>
      </c>
      <c r="N27" s="14">
        <f>IF('Données projet'!$A$36&gt;35,N26+M27-V26,IF(A27&lt;'Données projet'!$A$36,$K$205^A27,IF(A27='Données projet'!$A$36,'Données projet'!$B$36,N26+M27-V26)))</f>
        <v>47.520460942750645</v>
      </c>
      <c r="O27" s="14">
        <f>N27*VLOOKUP('Données projet'!$B$9,Paramètres!$A$1:$I$89,3,0)*VLOOKUP('Données projet'!$B$9,Paramètres!$A$1:$I$89,5,0)</f>
        <v>40.772555488880059</v>
      </c>
      <c r="P27" s="14">
        <f t="shared" si="33"/>
        <v>12.203184290884069</v>
      </c>
      <c r="Q27" s="22">
        <f t="shared" si="2"/>
        <v>92.266080116422515</v>
      </c>
      <c r="R27" s="62">
        <f t="shared" si="0"/>
        <v>318.0367883000423</v>
      </c>
      <c r="S27" s="62">
        <f ca="1">AVERAGE(OFFSET($R$3,0,0,'Données projet'!$E$9+1,1))-AVERAGE(OFFSET($H$3,0,0,'Données projet'!$E$9+1,1))</f>
        <v>478.11504516179713</v>
      </c>
      <c r="T27" s="62">
        <f t="shared" si="34"/>
        <v>249.93713224442419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14.739999999999998</v>
      </c>
      <c r="AI27" s="14">
        <f>IF('Données projet'!$A$62&gt;35,AI26+AH27-AQ26,IF(A27&lt;'Données projet'!$A$62,$AF$205^A27,IF(A27='Données projet'!$A$62,'Données projet'!$B$62,AI26+AH27-AQ26)))</f>
        <v>125.76</v>
      </c>
      <c r="AJ27" s="14">
        <f>AI27*VLOOKUP('Données projet'!$B$10,Paramètres!$A$1:$I$89,3,0)*VLOOKUP('Données projet'!$B$10,Paramètres!$A$1:$I$89,5,0)</f>
        <v>100.05465600000001</v>
      </c>
      <c r="AK27" s="14">
        <f t="shared" si="35"/>
        <v>26.97501817255089</v>
      </c>
      <c r="AL27" s="22">
        <f t="shared" si="4"/>
        <v>221.24334918385946</v>
      </c>
      <c r="AM27" s="62">
        <f t="shared" si="5"/>
        <v>447.01405736747927</v>
      </c>
      <c r="AN27" s="62">
        <f ca="1">AVERAGE(OFFSET($AM$3,0,0,'Données projet'!$E$10+1,1))-AVERAGE(OFFSET($H$3,0,0,'Données projet'!$E$10+1,1))</f>
        <v>394.49874384716014</v>
      </c>
      <c r="AO27" s="62">
        <f t="shared" si="36"/>
        <v>423.72519584013378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14.739999999999998</v>
      </c>
      <c r="BD27" s="13">
        <f>IF('Données projet'!$A$88&gt;35,BD26+BC27-BL26,IF(A27&lt;'Données projet'!$A$88,$BA$205^A27,IF(A27='Données projet'!$A$88,'Données projet'!$B$88,BD26+BC27-BL26)))</f>
        <v>125.76</v>
      </c>
      <c r="BE27" s="14">
        <f>BD27*VLOOKUP('Données projet'!$B$11,Paramètres!$A$1:$I$89,3,0)*VLOOKUP('Données projet'!$B$11,Paramètres!$A$1:$I$89,5,0)</f>
        <v>100.05465600000001</v>
      </c>
      <c r="BF27" s="14">
        <f t="shared" si="37"/>
        <v>26.97501817255089</v>
      </c>
      <c r="BG27" s="22">
        <f t="shared" si="7"/>
        <v>221.24334918385946</v>
      </c>
      <c r="BH27" s="62">
        <f t="shared" si="8"/>
        <v>447.01405736747927</v>
      </c>
      <c r="BI27" s="62">
        <f ca="1">AVERAGE(OFFSET($BH$3,0,0,'Données projet'!$E$11+1,1))-AVERAGE(OFFSET($H$3,0,0,'Données projet'!$E$11+1,1))</f>
        <v>394.49874384716014</v>
      </c>
      <c r="BJ27" s="62">
        <f t="shared" si="38"/>
        <v>423.72519584013378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62.287680000000009</v>
      </c>
      <c r="CA27" s="14">
        <f t="shared" si="39"/>
        <v>17.745400652396182</v>
      </c>
      <c r="CB27" s="22">
        <f t="shared" si="10"/>
        <v>139.39094880292336</v>
      </c>
      <c r="CC27" s="62">
        <f t="shared" si="11"/>
        <v>365.16165698654316</v>
      </c>
      <c r="CD27" s="62">
        <f ca="1">AVERAGE(OFFSET($CC$3,0,0,'Données projet'!$E$12+1,1))-AVERAGE(OFFSET($H$3,0,0,'Données projet'!$E$12+1,1))</f>
        <v>496.33873798282525</v>
      </c>
      <c r="CE27" s="62">
        <f t="shared" si="40"/>
        <v>280.25465074992246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7.5641025641025639</v>
      </c>
      <c r="CT27" s="13">
        <f>IF('Données projet'!$A$140&gt;35,CT26+CS27-DB26,IF(A27&lt;'Données projet'!$A$140,$CQ$205^A27,IF(A27='Données projet'!$A$140,'Données projet'!$B$140,CT26+CS27-DB26)))</f>
        <v>114.87179487179488</v>
      </c>
      <c r="CU27" s="18">
        <f>CT27*VLOOKUP('Données projet'!$B$13,Paramètres!$A$1:$I$89,3,0)*VLOOKUP('Données projet'!$B$13,Paramètres!$A$1:$I$89,5,0)</f>
        <v>109.31200000000001</v>
      </c>
      <c r="CV27" s="14">
        <f t="shared" si="41"/>
        <v>29.168827262472544</v>
      </c>
      <c r="CW27" s="22">
        <f t="shared" si="13"/>
        <v>241.18744081547302</v>
      </c>
      <c r="CX27" s="62">
        <f t="shared" si="14"/>
        <v>466.95814899909283</v>
      </c>
      <c r="CY27" s="62">
        <f ca="1">AVERAGE(OFFSET($CX$3,0,0,'Données projet'!$E$13+1,1))-AVERAGE(OFFSET($H$3,0,0,'Données projet'!$E$13+1,1))</f>
        <v>441.15969139782891</v>
      </c>
      <c r="CZ27" s="62">
        <f t="shared" si="42"/>
        <v>315.06466790224783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10.6</v>
      </c>
      <c r="DO27" s="13">
        <f>IF('Données projet'!$A$166&gt;35,DO26+DN27-DW26,IF(A27&lt;'Données projet'!$A$166,$DL$205^A27,IF(A27='Données projet'!$A$166,'Données projet'!$B$166,DO26+DN27-DW26)))</f>
        <v>102.39999999999996</v>
      </c>
      <c r="DP27" s="18">
        <f>DO27*VLOOKUP('Données projet'!$B$14,Paramètres!$A$1:$I$89,3,0)*VLOOKUP('Données projet'!$B$14,Paramètres!$A$1:$I$89,5,0)</f>
        <v>79.871999999999971</v>
      </c>
      <c r="DQ27" s="14">
        <f t="shared" si="43"/>
        <v>22.105884547145401</v>
      </c>
      <c r="DR27" s="22">
        <f t="shared" si="16"/>
        <v>177.61148225294485</v>
      </c>
      <c r="DS27" s="62">
        <f t="shared" si="17"/>
        <v>403.38219043656466</v>
      </c>
      <c r="DT27" s="62">
        <f ca="1">AVERAGE(OFFSET($DS$3,0,0,'Données projet'!$E$14+1,1))-AVERAGE(OFFSET($H$3,0,0,'Données projet'!$E$14+1,1))</f>
        <v>309.21625451786218</v>
      </c>
      <c r="DU27" s="62">
        <f t="shared" si="44"/>
        <v>302.59481222418219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</v>
      </c>
      <c r="EJ27" s="13">
        <f>IF('Données projet'!$A$192&gt;35,EJ26+EI27-ER26,IF(A27&lt;'Données projet'!$A$192,$EG$205^A27,IF(A27='Données projet'!$A$192,'Données projet'!$B$192,EJ26+EI27-ER26)))</f>
        <v>97</v>
      </c>
      <c r="EK27" s="18">
        <f>EJ27*VLOOKUP('Données projet'!$B$15,Paramètres!$A$1:$I$89,3,0)*VLOOKUP('Données projet'!$B$15,Paramètres!$A$1:$I$89,5,0)</f>
        <v>84.739200000000011</v>
      </c>
      <c r="EL27" s="14">
        <f t="shared" si="45"/>
        <v>23.292033444816514</v>
      </c>
      <c r="EM27" s="22">
        <f t="shared" si="19"/>
        <v>188.15439824972211</v>
      </c>
      <c r="EN27" s="62">
        <f t="shared" si="20"/>
        <v>413.92510643334191</v>
      </c>
      <c r="EO27" s="62">
        <f ca="1">AVERAGE(OFFSET($EN$3,0,0,'Données projet'!$E$15+1,1))-AVERAGE(OFFSET($H$3,0,0,'Données projet'!$E$15+1,1))</f>
        <v>298.56812743477741</v>
      </c>
      <c r="EP27" s="62">
        <f t="shared" si="46"/>
        <v>276.01618888357268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9.7435897435897427</v>
      </c>
      <c r="FE27" s="13">
        <f>IF('Données projet'!$A$218&gt;35,FE26+FD27-FM26,IF(A27&lt;'Données projet'!$A$218,$FB$205^A27,IF(A27='Données projet'!$A$218,'Données projet'!$B$218,FE26+FD27-FM26)))</f>
        <v>128.07692307692307</v>
      </c>
      <c r="FF27" s="18">
        <f>FE27*VLOOKUP('Données projet'!$B$16,Paramètres!$A$1:$I$89,3,0)*VLOOKUP('Données projet'!$B$16,Paramètres!$A$1:$I$89,5,0)</f>
        <v>85.914000000000001</v>
      </c>
      <c r="FG27" s="14">
        <f t="shared" si="47"/>
        <v>23.577131284709758</v>
      </c>
      <c r="FH27" s="22">
        <f t="shared" si="22"/>
        <v>190.69705365420279</v>
      </c>
      <c r="FI27" s="62">
        <f t="shared" si="23"/>
        <v>416.46776183782259</v>
      </c>
      <c r="FJ27" s="62">
        <f ca="1">AVERAGE(OFFSET($FI$3,0,0,'Données projet'!$E$16+1,1))-AVERAGE(OFFSET($H$3,0,0,'Données projet'!$E$16+1,1))</f>
        <v>396.0878652679051</v>
      </c>
      <c r="FK27" s="62">
        <f t="shared" si="48"/>
        <v>327.26339199235406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9">
        <f t="shared" si="1"/>
        <v>183.33333333333334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2.8518518518518516</v>
      </c>
      <c r="N28" s="14">
        <f>IF('Données projet'!$A$36&gt;35,N27+M28-V27,IF(A28&lt;'Données projet'!$A$36,$K$205^A28,IF(A28='Données projet'!$A$36,'Données projet'!$B$36,N27+M28-V27)))</f>
        <v>55.81496689084404</v>
      </c>
      <c r="O28" s="14">
        <f>N28*VLOOKUP('Données projet'!$B$9,Paramètres!$A$1:$I$89,3,0)*VLOOKUP('Données projet'!$B$9,Paramètres!$A$1:$I$89,5,0)</f>
        <v>47.889241592344192</v>
      </c>
      <c r="P28" s="14">
        <f t="shared" si="33"/>
        <v>14.067286278022651</v>
      </c>
      <c r="Q28" s="22">
        <f t="shared" si="2"/>
        <v>107.90761937422224</v>
      </c>
      <c r="R28" s="62">
        <f t="shared" si="0"/>
        <v>335.94539334055435</v>
      </c>
      <c r="S28" s="62">
        <f ca="1">AVERAGE(OFFSET($R$3,0,0,'Données projet'!$E$9+1,1))-AVERAGE(OFFSET($H$3,0,0,'Données projet'!$E$9+1,1))</f>
        <v>478.11504516179713</v>
      </c>
      <c r="T28" s="62">
        <f t="shared" si="34"/>
        <v>249.93713224442419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140.5</v>
      </c>
      <c r="AG28" s="13">
        <f>VLOOKUP(A28,'Données projet'!$A$61:$I$81,9,0)</f>
        <v>14.739999999999998</v>
      </c>
      <c r="AH28" s="13">
        <f t="array" ref="AH28">INDEX(AG:AG,MIN(IF(ISNUMBER(AG28:AG224),ROW(AG28:AG224),"")))</f>
        <v>14.739999999999998</v>
      </c>
      <c r="AI28" s="14">
        <f>IF('Données projet'!$A$62&gt;35,AI27+AH28-AQ27,IF(A28&lt;'Données projet'!$A$62,$AF$205^A28,IF(A28='Données projet'!$A$62,'Données projet'!$B$62,AI27+AH28-AQ27)))</f>
        <v>140.5</v>
      </c>
      <c r="AJ28" s="14">
        <f>AI28*VLOOKUP('Données projet'!$B$10,Paramètres!$A$1:$I$89,3,0)*VLOOKUP('Données projet'!$B$10,Paramètres!$A$1:$I$89,5,0)</f>
        <v>111.7818</v>
      </c>
      <c r="AK28" s="14">
        <f t="shared" si="35"/>
        <v>29.750397150027219</v>
      </c>
      <c r="AL28" s="22">
        <f t="shared" si="4"/>
        <v>246.5019100362974</v>
      </c>
      <c r="AM28" s="62">
        <f t="shared" si="5"/>
        <v>474.53968400262954</v>
      </c>
      <c r="AN28" s="62">
        <f ca="1">AVERAGE(OFFSET($AM$3,0,0,'Données projet'!$E$10+1,1))-AVERAGE(OFFSET($H$3,0,0,'Données projet'!$E$10+1,1))</f>
        <v>394.49874384716014</v>
      </c>
      <c r="AO28" s="62">
        <f t="shared" si="36"/>
        <v>423.72519584013378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140.5</v>
      </c>
      <c r="BB28" s="13">
        <f>VLOOKUP(A28,'Données projet'!$A$87:$I$107,9,0)</f>
        <v>14.739999999999998</v>
      </c>
      <c r="BC28" s="13">
        <f t="array" ref="BC28">INDEX(BB:BB,MIN(IF(ISNUMBER(BB28:BB224),ROW(BB28:BB224),"")))</f>
        <v>14.739999999999998</v>
      </c>
      <c r="BD28" s="13">
        <f>IF('Données projet'!$A$88&gt;35,BD27+BC28-BL27,IF(A28&lt;'Données projet'!$A$88,$BA$205^A28,IF(A28='Données projet'!$A$88,'Données projet'!$B$88,BD27+BC28-BL27)))</f>
        <v>140.5</v>
      </c>
      <c r="BE28" s="14">
        <f>BD28*VLOOKUP('Données projet'!$B$11,Paramètres!$A$1:$I$89,3,0)*VLOOKUP('Données projet'!$B$11,Paramètres!$A$1:$I$89,5,0)</f>
        <v>111.7818</v>
      </c>
      <c r="BF28" s="14">
        <f t="shared" si="37"/>
        <v>29.750397150027219</v>
      </c>
      <c r="BG28" s="22">
        <f t="shared" si="7"/>
        <v>246.5019100362974</v>
      </c>
      <c r="BH28" s="62">
        <f t="shared" si="8"/>
        <v>474.53968400262954</v>
      </c>
      <c r="BI28" s="62">
        <f ca="1">AVERAGE(OFFSET($BH$3,0,0,'Données projet'!$E$11+1,1))-AVERAGE(OFFSET($H$3,0,0,'Données projet'!$E$11+1,1))</f>
        <v>394.49874384716014</v>
      </c>
      <c r="BJ28" s="62">
        <f t="shared" si="38"/>
        <v>423.72519584013378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67.703999999999994</v>
      </c>
      <c r="CA28" s="14">
        <f t="shared" si="39"/>
        <v>19.102177882771514</v>
      </c>
      <c r="CB28" s="22">
        <f t="shared" si="10"/>
        <v>151.18742647916039</v>
      </c>
      <c r="CC28" s="62">
        <f t="shared" si="11"/>
        <v>379.22520044549253</v>
      </c>
      <c r="CD28" s="62">
        <f ca="1">AVERAGE(OFFSET($CC$3,0,0,'Données projet'!$E$12+1,1))-AVERAGE(OFFSET($H$3,0,0,'Données projet'!$E$12+1,1))</f>
        <v>496.33873798282525</v>
      </c>
      <c r="CE28" s="62">
        <f t="shared" si="40"/>
        <v>280.25465074992246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122.43589743589743</v>
      </c>
      <c r="CR28" s="13">
        <f>VLOOKUP(A28,'Données projet'!$A$139:$I$159,9,0)</f>
        <v>7.5641025641025639</v>
      </c>
      <c r="CS28" s="13">
        <f t="array" ref="CS28">INDEX(CR:CR,MIN(IF(ISNUMBER(CR28:CR224),ROW(CR28:CR224),"")))</f>
        <v>7.5641025641025639</v>
      </c>
      <c r="CT28" s="13">
        <f>IF('Données projet'!$A$140&gt;35,CT27+CS28-DB27,IF(A28&lt;'Données projet'!$A$140,$CQ$205^A28,IF(A28='Données projet'!$A$140,'Données projet'!$B$140,CT27+CS28-DB27)))</f>
        <v>122.43589743589745</v>
      </c>
      <c r="CU28" s="18">
        <f>CT28*VLOOKUP('Données projet'!$B$13,Paramètres!$A$1:$I$89,3,0)*VLOOKUP('Données projet'!$B$13,Paramètres!$A$1:$I$89,5,0)</f>
        <v>116.51000000000002</v>
      </c>
      <c r="CV28" s="14">
        <f t="shared" si="41"/>
        <v>30.859621169021747</v>
      </c>
      <c r="CW28" s="22">
        <f t="shared" si="13"/>
        <v>256.66875686937959</v>
      </c>
      <c r="CX28" s="62">
        <f t="shared" si="14"/>
        <v>484.7065308357117</v>
      </c>
      <c r="CY28" s="62">
        <f ca="1">AVERAGE(OFFSET($CX$3,0,0,'Données projet'!$E$13+1,1))-AVERAGE(OFFSET($H$3,0,0,'Données projet'!$E$13+1,1))</f>
        <v>441.15969139782891</v>
      </c>
      <c r="CZ28" s="62">
        <f t="shared" si="42"/>
        <v>315.06466790224783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35.897435897435898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113</v>
      </c>
      <c r="DM28" s="13">
        <f>VLOOKUP(A28,'Données projet'!$A$165:$I$185,9,0)</f>
        <v>10.6</v>
      </c>
      <c r="DN28" s="13">
        <f t="array" ref="DN28">INDEX(DM:DM,MIN(IF(ISNUMBER(DM28:DM224),ROW(DM28:DM224),"")))</f>
        <v>10.6</v>
      </c>
      <c r="DO28" s="13">
        <f>IF('Données projet'!$A$166&gt;35,DO27+DN28-DW27,IF(A28&lt;'Données projet'!$A$166,$DL$205^A28,IF(A28='Données projet'!$A$166,'Données projet'!$B$166,DO27+DN28-DW27)))</f>
        <v>112.99999999999996</v>
      </c>
      <c r="DP28" s="18">
        <f>DO28*VLOOKUP('Données projet'!$B$14,Paramètres!$A$1:$I$89,3,0)*VLOOKUP('Données projet'!$B$14,Paramètres!$A$1:$I$89,5,0)</f>
        <v>88.139999999999972</v>
      </c>
      <c r="DQ28" s="14">
        <f t="shared" si="43"/>
        <v>24.116094026318823</v>
      </c>
      <c r="DR28" s="22">
        <f t="shared" si="16"/>
        <v>195.51269709583855</v>
      </c>
      <c r="DS28" s="62">
        <f t="shared" si="17"/>
        <v>423.55047106217069</v>
      </c>
      <c r="DT28" s="62">
        <f ca="1">AVERAGE(OFFSET($DS$3,0,0,'Données projet'!$E$14+1,1))-AVERAGE(OFFSET($H$3,0,0,'Données projet'!$E$14+1,1))</f>
        <v>309.21625451786218</v>
      </c>
      <c r="DU28" s="62">
        <f t="shared" si="44"/>
        <v>302.59481222418219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27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107</v>
      </c>
      <c r="EH28" s="13">
        <f>VLOOKUP(A28,'Données projet'!$A$191:$I$211,9,0)</f>
        <v>10</v>
      </c>
      <c r="EI28" s="13">
        <f t="array" ref="EI28">INDEX(EH:EH,MIN(IF(ISNUMBER(EH28:EH224),ROW(EH28:EH224),"")))</f>
        <v>10</v>
      </c>
      <c r="EJ28" s="13">
        <f>IF('Données projet'!$A$192&gt;35,EJ27+EI28-ER27,IF(A28&lt;'Données projet'!$A$192,$EG$205^A28,IF(A28='Données projet'!$A$192,'Données projet'!$B$192,EJ27+EI28-ER27)))</f>
        <v>107</v>
      </c>
      <c r="EK28" s="18">
        <f>EJ28*VLOOKUP('Données projet'!$B$15,Paramètres!$A$1:$I$89,3,0)*VLOOKUP('Données projet'!$B$15,Paramètres!$A$1:$I$89,5,0)</f>
        <v>93.475200000000015</v>
      </c>
      <c r="EL28" s="14">
        <f t="shared" si="45"/>
        <v>25.401502539965662</v>
      </c>
      <c r="EM28" s="22">
        <f t="shared" si="19"/>
        <v>207.04359025710687</v>
      </c>
      <c r="EN28" s="62">
        <f t="shared" si="20"/>
        <v>435.08136422343898</v>
      </c>
      <c r="EO28" s="62">
        <f ca="1">AVERAGE(OFFSET($EN$3,0,0,'Données projet'!$E$15+1,1))-AVERAGE(OFFSET($H$3,0,0,'Données projet'!$E$15+1,1))</f>
        <v>298.56812743477741</v>
      </c>
      <c r="EP28" s="62">
        <f t="shared" si="46"/>
        <v>276.01618888357268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42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137.82051282051282</v>
      </c>
      <c r="FC28" s="13">
        <f>VLOOKUP(A28,'Données projet'!$A$217:$I$237,9,0)</f>
        <v>9.7435897435897427</v>
      </c>
      <c r="FD28" s="13">
        <f t="array" ref="FD28">INDEX(FC:FC,MIN(IF(ISNUMBER(FC28:FC224),ROW(FC28:FC224),"")))</f>
        <v>9.7435897435897427</v>
      </c>
      <c r="FE28" s="13">
        <f>IF('Données projet'!$A$218&gt;35,FE27+FD28-FM27,IF(A28&lt;'Données projet'!$A$218,$FB$205^A28,IF(A28='Données projet'!$A$218,'Données projet'!$B$218,FE27+FD28-FM27)))</f>
        <v>137.82051282051282</v>
      </c>
      <c r="FF28" s="18">
        <f>FE28*VLOOKUP('Données projet'!$B$16,Paramètres!$A$1:$I$89,3,0)*VLOOKUP('Données projet'!$B$16,Paramètres!$A$1:$I$89,5,0)</f>
        <v>92.45</v>
      </c>
      <c r="FG28" s="14">
        <f t="shared" si="47"/>
        <v>25.155179194747834</v>
      </c>
      <c r="FH28" s="22">
        <f t="shared" si="22"/>
        <v>204.82902043085244</v>
      </c>
      <c r="FI28" s="62">
        <f t="shared" si="23"/>
        <v>432.86679439718455</v>
      </c>
      <c r="FJ28" s="62">
        <f ca="1">AVERAGE(OFFSET($FI$3,0,0,'Données projet'!$E$16+1,1))-AVERAGE(OFFSET($H$3,0,0,'Données projet'!$E$16+1,1))</f>
        <v>396.0878652679051</v>
      </c>
      <c r="FK28" s="62">
        <f t="shared" si="48"/>
        <v>327.26339199235406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9">
        <f t="shared" si="1"/>
        <v>183.33333333333334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2.8518518518518516</v>
      </c>
      <c r="N29" s="14">
        <f>IF('Données projet'!$A$36&gt;35,N28+M29-V28,IF(A29&lt;'Données projet'!$A$36,$K$205^A29,IF(A29='Données projet'!$A$36,'Données projet'!$B$36,N28+M29-V28)))</f>
        <v>65.557245599514019</v>
      </c>
      <c r="O29" s="14">
        <f>N29*VLOOKUP('Données projet'!$B$9,Paramètres!$A$1:$I$89,3,0)*VLOOKUP('Données projet'!$B$9,Paramètres!$A$1:$I$89,5,0)</f>
        <v>56.248116724383038</v>
      </c>
      <c r="P29" s="14">
        <f t="shared" si="33"/>
        <v>16.216139862418505</v>
      </c>
      <c r="Q29" s="22">
        <f t="shared" si="2"/>
        <v>126.20858022201269</v>
      </c>
      <c r="R29" s="62">
        <f t="shared" si="0"/>
        <v>356.49529427120285</v>
      </c>
      <c r="S29" s="62">
        <f ca="1">AVERAGE(OFFSET($R$3,0,0,'Données projet'!$E$9+1,1))-AVERAGE(OFFSET($H$3,0,0,'Données projet'!$E$9+1,1))</f>
        <v>478.11504516179713</v>
      </c>
      <c r="T29" s="62">
        <f t="shared" si="34"/>
        <v>249.93713224442419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14.260000000000002</v>
      </c>
      <c r="AI29" s="14">
        <f>IF('Données projet'!$A$62&gt;35,AI28+AH29-AQ28,IF(A29&lt;'Données projet'!$A$62,$AF$205^A29,IF(A29='Données projet'!$A$62,'Données projet'!$B$62,AI28+AH29-AQ28)))</f>
        <v>154.76</v>
      </c>
      <c r="AJ29" s="14">
        <f>AI29*VLOOKUP('Données projet'!$B$10,Paramètres!$A$1:$I$89,3,0)*VLOOKUP('Données projet'!$B$10,Paramètres!$A$1:$I$89,5,0)</f>
        <v>123.127056</v>
      </c>
      <c r="AK29" s="14">
        <f t="shared" si="35"/>
        <v>32.403238210173519</v>
      </c>
      <c r="AL29" s="22">
        <f t="shared" si="4"/>
        <v>270.88192908271884</v>
      </c>
      <c r="AM29" s="62">
        <f t="shared" si="5"/>
        <v>501.16864313190899</v>
      </c>
      <c r="AN29" s="62">
        <f ca="1">AVERAGE(OFFSET($AM$3,0,0,'Données projet'!$E$10+1,1))-AVERAGE(OFFSET($H$3,0,0,'Données projet'!$E$10+1,1))</f>
        <v>394.49874384716014</v>
      </c>
      <c r="AO29" s="62">
        <f t="shared" si="36"/>
        <v>423.72519584013378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14.260000000000002</v>
      </c>
      <c r="BD29" s="13">
        <f>IF('Données projet'!$A$88&gt;35,BD28+BC29-BL28,IF(A29&lt;'Données projet'!$A$88,$BA$205^A29,IF(A29='Données projet'!$A$88,'Données projet'!$B$88,BD28+BC29-BL28)))</f>
        <v>154.76</v>
      </c>
      <c r="BE29" s="14">
        <f>BD29*VLOOKUP('Données projet'!$B$11,Paramètres!$A$1:$I$89,3,0)*VLOOKUP('Données projet'!$B$11,Paramètres!$A$1:$I$89,5,0)</f>
        <v>123.127056</v>
      </c>
      <c r="BF29" s="14">
        <f t="shared" si="37"/>
        <v>32.403238210173519</v>
      </c>
      <c r="BG29" s="22">
        <f t="shared" si="7"/>
        <v>270.88192908271884</v>
      </c>
      <c r="BH29" s="62">
        <f t="shared" si="8"/>
        <v>501.16864313190899</v>
      </c>
      <c r="BI29" s="62">
        <f ca="1">AVERAGE(OFFSET($BH$3,0,0,'Données projet'!$E$11+1,1))-AVERAGE(OFFSET($H$3,0,0,'Données projet'!$E$11+1,1))</f>
        <v>394.49874384716014</v>
      </c>
      <c r="BJ29" s="62">
        <f t="shared" si="38"/>
        <v>423.72519584013378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74.474400000000003</v>
      </c>
      <c r="CA29" s="14">
        <f t="shared" si="39"/>
        <v>20.780570274034375</v>
      </c>
      <c r="CB29" s="22">
        <f t="shared" si="10"/>
        <v>165.90240656060988</v>
      </c>
      <c r="CC29" s="62">
        <f t="shared" si="11"/>
        <v>396.18912060980006</v>
      </c>
      <c r="CD29" s="62">
        <f ca="1">AVERAGE(OFFSET($CC$3,0,0,'Données projet'!$E$12+1,1))-AVERAGE(OFFSET($H$3,0,0,'Données projet'!$E$12+1,1))</f>
        <v>496.33873798282525</v>
      </c>
      <c r="CE29" s="62">
        <f t="shared" si="40"/>
        <v>280.25465074992246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7.4358974358974361</v>
      </c>
      <c r="CT29" s="13">
        <f>IF('Données projet'!$A$140&gt;35,CT28+CS29-DB28,IF(A29&lt;'Données projet'!$A$140,$CQ$205^A29,IF(A29='Données projet'!$A$140,'Données projet'!$B$140,CT28+CS29-DB28)))</f>
        <v>93.974358974358992</v>
      </c>
      <c r="CU29" s="18">
        <f>CT29*VLOOKUP('Données projet'!$B$13,Paramètres!$A$1:$I$89,3,0)*VLOOKUP('Données projet'!$B$13,Paramètres!$A$1:$I$89,5,0)</f>
        <v>89.426000000000016</v>
      </c>
      <c r="CV29" s="14">
        <f t="shared" si="41"/>
        <v>24.426738508211891</v>
      </c>
      <c r="CW29" s="22">
        <f t="shared" si="13"/>
        <v>198.29351956846904</v>
      </c>
      <c r="CX29" s="62">
        <f t="shared" si="14"/>
        <v>428.58023361765925</v>
      </c>
      <c r="CY29" s="62">
        <f ca="1">AVERAGE(OFFSET($CX$3,0,0,'Données projet'!$E$13+1,1))-AVERAGE(OFFSET($H$3,0,0,'Données projet'!$E$13+1,1))</f>
        <v>441.15969139782891</v>
      </c>
      <c r="CZ29" s="62">
        <f t="shared" si="42"/>
        <v>315.06466790224783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11.5</v>
      </c>
      <c r="DO29" s="13">
        <f>IF('Données projet'!$A$166&gt;35,DO28+DN29-DW28,IF(A29&lt;'Données projet'!$A$166,$DL$205^A29,IF(A29='Données projet'!$A$166,'Données projet'!$B$166,DO28+DN29-DW28)))</f>
        <v>97.499999999999957</v>
      </c>
      <c r="DP29" s="18">
        <f>DO29*VLOOKUP('Données projet'!$B$14,Paramètres!$A$1:$I$89,3,0)*VLOOKUP('Données projet'!$B$14,Paramètres!$A$1:$I$89,5,0)</f>
        <v>76.049999999999969</v>
      </c>
      <c r="DQ29" s="14">
        <f t="shared" si="43"/>
        <v>21.168560890749262</v>
      </c>
      <c r="DR29" s="22">
        <f t="shared" si="16"/>
        <v>169.32232688472158</v>
      </c>
      <c r="DS29" s="62">
        <f t="shared" si="17"/>
        <v>399.60904093391173</v>
      </c>
      <c r="DT29" s="62">
        <f ca="1">AVERAGE(OFFSET($DS$3,0,0,'Données projet'!$E$14+1,1))-AVERAGE(OFFSET($H$3,0,0,'Données projet'!$E$14+1,1))</f>
        <v>309.21625451786218</v>
      </c>
      <c r="DU29" s="62">
        <f t="shared" si="44"/>
        <v>302.59481222418219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9.8000000000000007</v>
      </c>
      <c r="EJ29" s="13">
        <f>IF('Données projet'!$A$192&gt;35,EJ28+EI29-ER28,IF(A29&lt;'Données projet'!$A$192,$EG$205^A29,IF(A29='Données projet'!$A$192,'Données projet'!$B$192,EJ28+EI29-ER28)))</f>
        <v>74.8</v>
      </c>
      <c r="EK29" s="18">
        <f>EJ29*VLOOKUP('Données projet'!$B$15,Paramètres!$A$1:$I$89,3,0)*VLOOKUP('Données projet'!$B$15,Paramètres!$A$1:$I$89,5,0)</f>
        <v>65.345280000000017</v>
      </c>
      <c r="EL29" s="14">
        <f t="shared" si="45"/>
        <v>18.512938248561991</v>
      </c>
      <c r="EM29" s="22">
        <f t="shared" si="19"/>
        <v>146.05306344957884</v>
      </c>
      <c r="EN29" s="62">
        <f t="shared" si="20"/>
        <v>376.33977749876902</v>
      </c>
      <c r="EO29" s="62">
        <f ca="1">AVERAGE(OFFSET($EN$3,0,0,'Données projet'!$E$15+1,1))-AVERAGE(OFFSET($H$3,0,0,'Données projet'!$E$15+1,1))</f>
        <v>298.56812743477741</v>
      </c>
      <c r="EP29" s="62">
        <f t="shared" si="46"/>
        <v>276.01618888357268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9.2307692307692317</v>
      </c>
      <c r="FE29" s="13">
        <f>IF('Données projet'!$A$218&gt;35,FE28+FD29-FM28,IF(A29&lt;'Données projet'!$A$218,$FB$205^A29,IF(A29='Données projet'!$A$218,'Données projet'!$B$218,FE28+FD29-FM28)))</f>
        <v>147.05128205128204</v>
      </c>
      <c r="FF29" s="18">
        <f>FE29*VLOOKUP('Données projet'!$B$16,Paramètres!$A$1:$I$89,3,0)*VLOOKUP('Données projet'!$B$16,Paramètres!$A$1:$I$89,5,0)</f>
        <v>98.641999999999996</v>
      </c>
      <c r="FG29" s="14">
        <f t="shared" si="47"/>
        <v>26.638215773406319</v>
      </c>
      <c r="FH29" s="22">
        <f t="shared" si="22"/>
        <v>218.19637580534933</v>
      </c>
      <c r="FI29" s="62">
        <f t="shared" si="23"/>
        <v>448.48308985453951</v>
      </c>
      <c r="FJ29" s="62">
        <f ca="1">AVERAGE(OFFSET($FI$3,0,0,'Données projet'!$E$16+1,1))-AVERAGE(OFFSET($H$3,0,0,'Données projet'!$E$16+1,1))</f>
        <v>396.0878652679051</v>
      </c>
      <c r="FK29" s="62">
        <f t="shared" si="48"/>
        <v>327.26339199235406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9">
        <f t="shared" si="1"/>
        <v>183.33333333333334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77</v>
      </c>
      <c r="L30" s="13">
        <f>VLOOKUP(A30,'Données projet'!$A$35:$I$55,9,0)</f>
        <v>2.8518518518518516</v>
      </c>
      <c r="M30" s="13">
        <f t="array" ref="M30">INDEX(L:L,MIN(IF(ISNUMBER(L30:L226),ROW(L30:L226),"")))</f>
        <v>2.8518518518518516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66.066000000000003</v>
      </c>
      <c r="P30" s="14">
        <f t="shared" si="33"/>
        <v>18.69324238096624</v>
      </c>
      <c r="Q30" s="22">
        <f t="shared" si="2"/>
        <v>147.62234714684953</v>
      </c>
      <c r="R30" s="62">
        <f t="shared" si="0"/>
        <v>380.14019001941301</v>
      </c>
      <c r="S30" s="62">
        <f ca="1">AVERAGE(OFFSET($R$3,0,0,'Données projet'!$E$9+1,1))-AVERAGE(OFFSET($H$3,0,0,'Données projet'!$E$9+1,1))</f>
        <v>478.11504516179713</v>
      </c>
      <c r="T30" s="62">
        <f t="shared" si="34"/>
        <v>249.93713224442419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12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14.260000000000002</v>
      </c>
      <c r="AI30" s="14">
        <f>IF('Données projet'!$A$62&gt;35,AI29+AH30-AQ29,IF(A30&lt;'Données projet'!$A$62,$AF$205^A30,IF(A30='Données projet'!$A$62,'Données projet'!$B$62,AI29+AH30-AQ29)))</f>
        <v>169.01999999999998</v>
      </c>
      <c r="AJ30" s="14">
        <f>AI30*VLOOKUP('Données projet'!$B$10,Paramètres!$A$1:$I$89,3,0)*VLOOKUP('Données projet'!$B$10,Paramètres!$A$1:$I$89,5,0)</f>
        <v>134.47231199999999</v>
      </c>
      <c r="AK30" s="14">
        <f t="shared" si="35"/>
        <v>35.027736208949172</v>
      </c>
      <c r="AL30" s="22">
        <f t="shared" si="4"/>
        <v>295.21258396391971</v>
      </c>
      <c r="AM30" s="62">
        <f t="shared" si="5"/>
        <v>527.73042683648328</v>
      </c>
      <c r="AN30" s="62">
        <f ca="1">AVERAGE(OFFSET($AM$3,0,0,'Données projet'!$E$10+1,1))-AVERAGE(OFFSET($H$3,0,0,'Données projet'!$E$10+1,1))</f>
        <v>394.49874384716014</v>
      </c>
      <c r="AO30" s="62">
        <f t="shared" si="36"/>
        <v>423.72519584013378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14.260000000000002</v>
      </c>
      <c r="BD30" s="13">
        <f>IF('Données projet'!$A$88&gt;35,BD29+BC30-BL29,IF(A30&lt;'Données projet'!$A$88,$BA$205^A30,IF(A30='Données projet'!$A$88,'Données projet'!$B$88,BD29+BC30-BL29)))</f>
        <v>169.01999999999998</v>
      </c>
      <c r="BE30" s="14">
        <f>BD30*VLOOKUP('Données projet'!$B$11,Paramètres!$A$1:$I$89,3,0)*VLOOKUP('Données projet'!$B$11,Paramètres!$A$1:$I$89,5,0)</f>
        <v>134.47231199999999</v>
      </c>
      <c r="BF30" s="14">
        <f t="shared" si="37"/>
        <v>35.027736208949172</v>
      </c>
      <c r="BG30" s="22">
        <f t="shared" si="7"/>
        <v>295.21258396391971</v>
      </c>
      <c r="BH30" s="62">
        <f t="shared" si="8"/>
        <v>527.73042683648328</v>
      </c>
      <c r="BI30" s="62">
        <f ca="1">AVERAGE(OFFSET($BH$3,0,0,'Données projet'!$E$11+1,1))-AVERAGE(OFFSET($H$3,0,0,'Données projet'!$E$11+1,1))</f>
        <v>394.49874384716014</v>
      </c>
      <c r="BJ30" s="62">
        <f t="shared" si="38"/>
        <v>423.72519584013378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81.244799999999998</v>
      </c>
      <c r="CA30" s="14">
        <f t="shared" si="39"/>
        <v>22.441270156928962</v>
      </c>
      <c r="CB30" s="22">
        <f t="shared" si="10"/>
        <v>180.58657218998462</v>
      </c>
      <c r="CC30" s="62">
        <f t="shared" si="11"/>
        <v>413.10441506254813</v>
      </c>
      <c r="CD30" s="62">
        <f ca="1">AVERAGE(OFFSET($CC$3,0,0,'Données projet'!$E$12+1,1))-AVERAGE(OFFSET($H$3,0,0,'Données projet'!$E$12+1,1))</f>
        <v>496.33873798282525</v>
      </c>
      <c r="CE30" s="62">
        <f t="shared" si="40"/>
        <v>280.25465074992246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7.4358974358974361</v>
      </c>
      <c r="CT30" s="13">
        <f>IF('Données projet'!$A$140&gt;35,CT29+CS30-DB29,IF(A30&lt;'Données projet'!$A$140,$CQ$205^A30,IF(A30='Données projet'!$A$140,'Données projet'!$B$140,CT29+CS30-DB29)))</f>
        <v>101.41025641025642</v>
      </c>
      <c r="CU30" s="18">
        <f>CT30*VLOOKUP('Données projet'!$B$13,Paramètres!$A$1:$I$89,3,0)*VLOOKUP('Données projet'!$B$13,Paramètres!$A$1:$I$89,5,0)</f>
        <v>96.50200000000001</v>
      </c>
      <c r="CV30" s="14">
        <f t="shared" si="41"/>
        <v>26.126928217693919</v>
      </c>
      <c r="CW30" s="22">
        <f t="shared" si="13"/>
        <v>213.57871664581691</v>
      </c>
      <c r="CX30" s="62">
        <f t="shared" si="14"/>
        <v>446.09655951838045</v>
      </c>
      <c r="CY30" s="62">
        <f ca="1">AVERAGE(OFFSET($CX$3,0,0,'Données projet'!$E$13+1,1))-AVERAGE(OFFSET($H$3,0,0,'Données projet'!$E$13+1,1))</f>
        <v>441.15969139782891</v>
      </c>
      <c r="CZ30" s="62">
        <f t="shared" si="42"/>
        <v>315.06466790224783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11.5</v>
      </c>
      <c r="DO30" s="13">
        <f>IF('Données projet'!$A$166&gt;35,DO29+DN30-DW29,IF(A30&lt;'Données projet'!$A$166,$DL$205^A30,IF(A30='Données projet'!$A$166,'Données projet'!$B$166,DO29+DN30-DW29)))</f>
        <v>108.99999999999996</v>
      </c>
      <c r="DP30" s="18">
        <f>DO30*VLOOKUP('Données projet'!$B$14,Paramètres!$A$1:$I$89,3,0)*VLOOKUP('Données projet'!$B$14,Paramètres!$A$1:$I$89,5,0)</f>
        <v>85.019999999999968</v>
      </c>
      <c r="DQ30" s="14">
        <f t="shared" si="43"/>
        <v>23.360218970693097</v>
      </c>
      <c r="DR30" s="22">
        <f t="shared" si="16"/>
        <v>188.76221470729038</v>
      </c>
      <c r="DS30" s="62">
        <f t="shared" si="17"/>
        <v>421.28005757985386</v>
      </c>
      <c r="DT30" s="62">
        <f ca="1">AVERAGE(OFFSET($DS$3,0,0,'Données projet'!$E$14+1,1))-AVERAGE(OFFSET($H$3,0,0,'Données projet'!$E$14+1,1))</f>
        <v>309.21625451786218</v>
      </c>
      <c r="DU30" s="62">
        <f t="shared" si="44"/>
        <v>302.59481222418219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9.8000000000000007</v>
      </c>
      <c r="EJ30" s="13">
        <f>IF('Données projet'!$A$192&gt;35,EJ29+EI30-ER29,IF(A30&lt;'Données projet'!$A$192,$EG$205^A30,IF(A30='Données projet'!$A$192,'Données projet'!$B$192,EJ29+EI30-ER29)))</f>
        <v>84.6</v>
      </c>
      <c r="EK30" s="18">
        <f>EJ30*VLOOKUP('Données projet'!$B$15,Paramètres!$A$1:$I$89,3,0)*VLOOKUP('Données projet'!$B$15,Paramètres!$A$1:$I$89,5,0)</f>
        <v>73.906560000000013</v>
      </c>
      <c r="EL30" s="14">
        <f t="shared" si="45"/>
        <v>20.640506648584481</v>
      </c>
      <c r="EM30" s="22">
        <f t="shared" si="19"/>
        <v>164.6694744129513</v>
      </c>
      <c r="EN30" s="62">
        <f t="shared" si="20"/>
        <v>397.18731728551484</v>
      </c>
      <c r="EO30" s="62">
        <f ca="1">AVERAGE(OFFSET($EN$3,0,0,'Données projet'!$E$15+1,1))-AVERAGE(OFFSET($H$3,0,0,'Données projet'!$E$15+1,1))</f>
        <v>298.56812743477741</v>
      </c>
      <c r="EP30" s="62">
        <f t="shared" si="46"/>
        <v>276.01618888357268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9.2307692307692317</v>
      </c>
      <c r="FE30" s="13">
        <f>IF('Données projet'!$A$218&gt;35,FE29+FD30-FM29,IF(A30&lt;'Données projet'!$A$218,$FB$205^A30,IF(A30='Données projet'!$A$218,'Données projet'!$B$218,FE29+FD30-FM29)))</f>
        <v>156.28205128205127</v>
      </c>
      <c r="FF30" s="18">
        <f>FE30*VLOOKUP('Données projet'!$B$16,Paramètres!$A$1:$I$89,3,0)*VLOOKUP('Données projet'!$B$16,Paramètres!$A$1:$I$89,5,0)</f>
        <v>104.834</v>
      </c>
      <c r="FG30" s="14">
        <f t="shared" si="47"/>
        <v>28.110448233045847</v>
      </c>
      <c r="FH30" s="22">
        <f t="shared" si="22"/>
        <v>231.54491400588816</v>
      </c>
      <c r="FI30" s="62">
        <f t="shared" si="23"/>
        <v>464.06275687845164</v>
      </c>
      <c r="FJ30" s="62">
        <f ca="1">AVERAGE(OFFSET($FI$3,0,0,'Données projet'!$E$16+1,1))-AVERAGE(OFFSET($H$3,0,0,'Données projet'!$E$16+1,1))</f>
        <v>396.0878652679051</v>
      </c>
      <c r="FK30" s="62">
        <f t="shared" si="48"/>
        <v>327.26339199235406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9">
        <f t="shared" si="1"/>
        <v>183.33333333333334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12.333333333333334</v>
      </c>
      <c r="N31" s="14">
        <f>IF('Données projet'!$A$36&gt;35,N30+M31-V30,IF(A31&lt;'Données projet'!$A$36,$K$205^A31,IF(A31='Données projet'!$A$36,'Données projet'!$B$36,N30+M31-V30)))</f>
        <v>77.333333333333329</v>
      </c>
      <c r="O31" s="14">
        <f>N31*VLOOKUP('Données projet'!$B$9,Paramètres!$A$1:$I$89,3,0)*VLOOKUP('Données projet'!$B$9,Paramètres!$A$1:$I$89,5,0)</f>
        <v>66.352000000000004</v>
      </c>
      <c r="P31" s="14">
        <f t="shared" si="33"/>
        <v>18.764728069895565</v>
      </c>
      <c r="Q31" s="22">
        <f t="shared" si="2"/>
        <v>148.24496805506811</v>
      </c>
      <c r="R31" s="62">
        <f t="shared" si="0"/>
        <v>382.97643747705217</v>
      </c>
      <c r="S31" s="62">
        <f ca="1">AVERAGE(OFFSET($R$3,0,0,'Données projet'!$E$9+1,1))-AVERAGE(OFFSET($H$3,0,0,'Données projet'!$E$9+1,1))</f>
        <v>478.11504516179713</v>
      </c>
      <c r="T31" s="62">
        <f t="shared" si="34"/>
        <v>249.93713224442419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14.260000000000002</v>
      </c>
      <c r="AI31" s="14">
        <f>IF('Données projet'!$A$62&gt;35,AI30+AH31-AQ30,IF(A31&lt;'Données projet'!$A$62,$AF$205^A31,IF(A31='Données projet'!$A$62,'Données projet'!$B$62,AI30+AH31-AQ30)))</f>
        <v>183.27999999999997</v>
      </c>
      <c r="AJ31" s="14">
        <f>AI31*VLOOKUP('Données projet'!$B$10,Paramètres!$A$1:$I$89,3,0)*VLOOKUP('Données projet'!$B$10,Paramètres!$A$1:$I$89,5,0)</f>
        <v>145.81756799999999</v>
      </c>
      <c r="AK31" s="14">
        <f t="shared" si="35"/>
        <v>37.626554284689291</v>
      </c>
      <c r="AL31" s="22">
        <f t="shared" si="4"/>
        <v>319.49851297916712</v>
      </c>
      <c r="AM31" s="62">
        <f t="shared" si="5"/>
        <v>554.22998240115123</v>
      </c>
      <c r="AN31" s="62">
        <f ca="1">AVERAGE(OFFSET($AM$3,0,0,'Données projet'!$E$10+1,1))-AVERAGE(OFFSET($H$3,0,0,'Données projet'!$E$10+1,1))</f>
        <v>394.49874384716014</v>
      </c>
      <c r="AO31" s="62">
        <f t="shared" si="36"/>
        <v>423.72519584013378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14.260000000000002</v>
      </c>
      <c r="BD31" s="13">
        <f>IF('Données projet'!$A$88&gt;35,BD30+BC31-BL30,IF(A31&lt;'Données projet'!$A$88,$BA$205^A31,IF(A31='Données projet'!$A$88,'Données projet'!$B$88,BD30+BC31-BL30)))</f>
        <v>183.27999999999997</v>
      </c>
      <c r="BE31" s="14">
        <f>BD31*VLOOKUP('Données projet'!$B$11,Paramètres!$A$1:$I$89,3,0)*VLOOKUP('Données projet'!$B$11,Paramètres!$A$1:$I$89,5,0)</f>
        <v>145.81756799999999</v>
      </c>
      <c r="BF31" s="14">
        <f t="shared" si="37"/>
        <v>37.626554284689291</v>
      </c>
      <c r="BG31" s="22">
        <f t="shared" si="7"/>
        <v>319.49851297916712</v>
      </c>
      <c r="BH31" s="62">
        <f t="shared" si="8"/>
        <v>554.22998240115123</v>
      </c>
      <c r="BI31" s="62">
        <f ca="1">AVERAGE(OFFSET($BH$3,0,0,'Données projet'!$E$11+1,1))-AVERAGE(OFFSET($H$3,0,0,'Données projet'!$E$11+1,1))</f>
        <v>394.49874384716014</v>
      </c>
      <c r="BJ31" s="62">
        <f t="shared" si="38"/>
        <v>423.72519584013378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88.015200000000007</v>
      </c>
      <c r="CA31" s="14">
        <f t="shared" si="39"/>
        <v>24.085919530575829</v>
      </c>
      <c r="CB31" s="22">
        <f t="shared" si="10"/>
        <v>195.24278318241954</v>
      </c>
      <c r="CC31" s="62">
        <f t="shared" si="11"/>
        <v>429.97425260440366</v>
      </c>
      <c r="CD31" s="62">
        <f ca="1">AVERAGE(OFFSET($CC$3,0,0,'Données projet'!$E$12+1,1))-AVERAGE(OFFSET($H$3,0,0,'Données projet'!$E$12+1,1))</f>
        <v>496.33873798282525</v>
      </c>
      <c r="CE31" s="62">
        <f t="shared" si="40"/>
        <v>280.25465074992246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7.4358974358974361</v>
      </c>
      <c r="CT31" s="13">
        <f>IF('Données projet'!$A$140&gt;35,CT30+CS31-DB30,IF(A31&lt;'Données projet'!$A$140,$CQ$205^A31,IF(A31='Données projet'!$A$140,'Données projet'!$B$140,CT30+CS31-DB30)))</f>
        <v>108.84615384615385</v>
      </c>
      <c r="CU31" s="18">
        <f>CT31*VLOOKUP('Données projet'!$B$13,Paramètres!$A$1:$I$89,3,0)*VLOOKUP('Données projet'!$B$13,Paramètres!$A$1:$I$89,5,0)</f>
        <v>103.57800000000002</v>
      </c>
      <c r="CV31" s="14">
        <f t="shared" si="41"/>
        <v>27.812654852530578</v>
      </c>
      <c r="CW31" s="22">
        <f t="shared" si="13"/>
        <v>228.83872386815744</v>
      </c>
      <c r="CX31" s="62">
        <f t="shared" si="14"/>
        <v>463.57019329014156</v>
      </c>
      <c r="CY31" s="62">
        <f ca="1">AVERAGE(OFFSET($CX$3,0,0,'Données projet'!$E$13+1,1))-AVERAGE(OFFSET($H$3,0,0,'Données projet'!$E$13+1,1))</f>
        <v>441.15969139782891</v>
      </c>
      <c r="CZ31" s="62">
        <f t="shared" si="42"/>
        <v>315.06466790224783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11.5</v>
      </c>
      <c r="DO31" s="13">
        <f>IF('Données projet'!$A$166&gt;35,DO30+DN31-DW30,IF(A31&lt;'Données projet'!$A$166,$DL$205^A31,IF(A31='Données projet'!$A$166,'Données projet'!$B$166,DO30+DN31-DW30)))</f>
        <v>120.49999999999996</v>
      </c>
      <c r="DP31" s="18">
        <f>DO31*VLOOKUP('Données projet'!$B$14,Paramètres!$A$1:$I$89,3,0)*VLOOKUP('Données projet'!$B$14,Paramètres!$A$1:$I$89,5,0)</f>
        <v>93.989999999999966</v>
      </c>
      <c r="DQ31" s="14">
        <f t="shared" si="43"/>
        <v>25.525074036970054</v>
      </c>
      <c r="DR31" s="22">
        <f t="shared" si="16"/>
        <v>208.15542061438944</v>
      </c>
      <c r="DS31" s="62">
        <f t="shared" si="17"/>
        <v>442.88689003637353</v>
      </c>
      <c r="DT31" s="62">
        <f ca="1">AVERAGE(OFFSET($DS$3,0,0,'Données projet'!$E$14+1,1))-AVERAGE(OFFSET($H$3,0,0,'Données projet'!$E$14+1,1))</f>
        <v>309.21625451786218</v>
      </c>
      <c r="DU31" s="62">
        <f t="shared" si="44"/>
        <v>302.59481222418219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9.8000000000000007</v>
      </c>
      <c r="EJ31" s="13">
        <f>IF('Données projet'!$A$192&gt;35,EJ30+EI31-ER30,IF(A31&lt;'Données projet'!$A$192,$EG$205^A31,IF(A31='Données projet'!$A$192,'Données projet'!$B$192,EJ30+EI31-ER30)))</f>
        <v>94.399999999999991</v>
      </c>
      <c r="EK31" s="18">
        <f>EJ31*VLOOKUP('Données projet'!$B$15,Paramètres!$A$1:$I$89,3,0)*VLOOKUP('Données projet'!$B$15,Paramètres!$A$1:$I$89,5,0)</f>
        <v>82.467839999999995</v>
      </c>
      <c r="EL31" s="14">
        <f t="shared" si="45"/>
        <v>22.739512759227473</v>
      </c>
      <c r="EM31" s="22">
        <f t="shared" si="19"/>
        <v>183.23613938898782</v>
      </c>
      <c r="EN31" s="62">
        <f t="shared" si="20"/>
        <v>417.96760881097191</v>
      </c>
      <c r="EO31" s="62">
        <f ca="1">AVERAGE(OFFSET($EN$3,0,0,'Données projet'!$E$15+1,1))-AVERAGE(OFFSET($H$3,0,0,'Données projet'!$E$15+1,1))</f>
        <v>298.56812743477741</v>
      </c>
      <c r="EP31" s="62">
        <f t="shared" si="46"/>
        <v>276.01618888357268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9.2307692307692317</v>
      </c>
      <c r="FE31" s="13">
        <f>IF('Données projet'!$A$218&gt;35,FE30+FD31-FM30,IF(A31&lt;'Données projet'!$A$218,$FB$205^A31,IF(A31='Données projet'!$A$218,'Données projet'!$B$218,FE30+FD31-FM30)))</f>
        <v>165.5128205128205</v>
      </c>
      <c r="FF31" s="18">
        <f>FE31*VLOOKUP('Données projet'!$B$16,Paramètres!$A$1:$I$89,3,0)*VLOOKUP('Données projet'!$B$16,Paramètres!$A$1:$I$89,5,0)</f>
        <v>111.026</v>
      </c>
      <c r="FG31" s="14">
        <f t="shared" si="47"/>
        <v>29.572587403880362</v>
      </c>
      <c r="FH31" s="22">
        <f t="shared" si="22"/>
        <v>244.87587306175826</v>
      </c>
      <c r="FI31" s="62">
        <f t="shared" si="23"/>
        <v>479.60734248374234</v>
      </c>
      <c r="FJ31" s="62">
        <f ca="1">AVERAGE(OFFSET($FI$3,0,0,'Données projet'!$E$16+1,1))-AVERAGE(OFFSET($H$3,0,0,'Données projet'!$E$16+1,1))</f>
        <v>396.0878652679051</v>
      </c>
      <c r="FK31" s="62">
        <f t="shared" si="48"/>
        <v>327.26339199235406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9">
        <f t="shared" si="1"/>
        <v>183.33333333333334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12.333333333333334</v>
      </c>
      <c r="N32" s="14">
        <f>IF('Données projet'!$A$36&gt;35,N31+M32-V31,IF(A32&lt;'Données projet'!$A$36,$K$205^A32,IF(A32='Données projet'!$A$36,'Données projet'!$B$36,N31+M32-V31)))</f>
        <v>89.666666666666657</v>
      </c>
      <c r="O32" s="14">
        <f>N32*VLOOKUP('Données projet'!$B$9,Paramètres!$A$1:$I$89,3,0)*VLOOKUP('Données projet'!$B$9,Paramètres!$A$1:$I$89,5,0)</f>
        <v>76.933999999999997</v>
      </c>
      <c r="P32" s="14">
        <f t="shared" si="33"/>
        <v>21.385834734197029</v>
      </c>
      <c r="Q32" s="22">
        <f t="shared" si="2"/>
        <v>171.24037882872651</v>
      </c>
      <c r="R32" s="62">
        <f t="shared" si="0"/>
        <v>408.16827615150237</v>
      </c>
      <c r="S32" s="62">
        <f ca="1">AVERAGE(OFFSET($R$3,0,0,'Données projet'!$E$9+1,1))-AVERAGE(OFFSET($H$3,0,0,'Données projet'!$E$9+1,1))</f>
        <v>478.11504516179713</v>
      </c>
      <c r="T32" s="62">
        <f t="shared" si="34"/>
        <v>249.93713224442419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14.260000000000002</v>
      </c>
      <c r="AI32" s="14">
        <f>IF('Données projet'!$A$62&gt;35,AI31+AH32-AQ31,IF(A32&lt;'Données projet'!$A$62,$AF$205^A32,IF(A32='Données projet'!$A$62,'Données projet'!$B$62,AI31+AH32-AQ31)))</f>
        <v>197.53999999999996</v>
      </c>
      <c r="AJ32" s="14">
        <f>AI32*VLOOKUP('Données projet'!$B$10,Paramètres!$A$1:$I$89,3,0)*VLOOKUP('Données projet'!$B$10,Paramètres!$A$1:$I$89,5,0)</f>
        <v>157.162824</v>
      </c>
      <c r="AK32" s="14">
        <f t="shared" si="35"/>
        <v>40.201917615639708</v>
      </c>
      <c r="AL32" s="22">
        <f t="shared" si="4"/>
        <v>343.7435916472391</v>
      </c>
      <c r="AM32" s="62">
        <f t="shared" si="5"/>
        <v>580.67148897001493</v>
      </c>
      <c r="AN32" s="62">
        <f ca="1">AVERAGE(OFFSET($AM$3,0,0,'Données projet'!$E$10+1,1))-AVERAGE(OFFSET($H$3,0,0,'Données projet'!$E$10+1,1))</f>
        <v>394.49874384716014</v>
      </c>
      <c r="AO32" s="62">
        <f t="shared" si="36"/>
        <v>423.72519584013378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14.260000000000002</v>
      </c>
      <c r="BD32" s="13">
        <f>IF('Données projet'!$A$88&gt;35,BD31+BC32-BL31,IF(A32&lt;'Données projet'!$A$88,$BA$205^A32,IF(A32='Données projet'!$A$88,'Données projet'!$B$88,BD31+BC32-BL31)))</f>
        <v>197.53999999999996</v>
      </c>
      <c r="BE32" s="14">
        <f>BD32*VLOOKUP('Données projet'!$B$11,Paramètres!$A$1:$I$89,3,0)*VLOOKUP('Données projet'!$B$11,Paramètres!$A$1:$I$89,5,0)</f>
        <v>157.162824</v>
      </c>
      <c r="BF32" s="14">
        <f t="shared" si="37"/>
        <v>40.201917615639708</v>
      </c>
      <c r="BG32" s="22">
        <f t="shared" si="7"/>
        <v>343.7435916472391</v>
      </c>
      <c r="BH32" s="62">
        <f t="shared" si="8"/>
        <v>580.67148897001493</v>
      </c>
      <c r="BI32" s="62">
        <f ca="1">AVERAGE(OFFSET($BH$3,0,0,'Données projet'!$E$11+1,1))-AVERAGE(OFFSET($H$3,0,0,'Données projet'!$E$11+1,1))</f>
        <v>394.49874384716014</v>
      </c>
      <c r="BJ32" s="62">
        <f t="shared" si="38"/>
        <v>423.72519584013378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94.785600000000002</v>
      </c>
      <c r="CA32" s="14">
        <f t="shared" si="39"/>
        <v>25.715893428674526</v>
      </c>
      <c r="CB32" s="22">
        <f t="shared" si="10"/>
        <v>209.87343438827483</v>
      </c>
      <c r="CC32" s="62">
        <f t="shared" si="11"/>
        <v>446.80133171105069</v>
      </c>
      <c r="CD32" s="62">
        <f ca="1">AVERAGE(OFFSET($CC$3,0,0,'Données projet'!$E$12+1,1))-AVERAGE(OFFSET($H$3,0,0,'Données projet'!$E$12+1,1))</f>
        <v>496.33873798282525</v>
      </c>
      <c r="CE32" s="62">
        <f t="shared" si="40"/>
        <v>280.25465074992246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7.4358974358974361</v>
      </c>
      <c r="CT32" s="13">
        <f>IF('Données projet'!$A$140&gt;35,CT31+CS32-DB31,IF(A32&lt;'Données projet'!$A$140,$CQ$205^A32,IF(A32='Données projet'!$A$140,'Données projet'!$B$140,CT31+CS32-DB31)))</f>
        <v>116.28205128205128</v>
      </c>
      <c r="CU32" s="18">
        <f>CT32*VLOOKUP('Données projet'!$B$13,Paramètres!$A$1:$I$89,3,0)*VLOOKUP('Données projet'!$B$13,Paramètres!$A$1:$I$89,5,0)</f>
        <v>110.654</v>
      </c>
      <c r="CV32" s="14">
        <f t="shared" si="41"/>
        <v>29.48501887296996</v>
      </c>
      <c r="CW32" s="22">
        <f t="shared" si="13"/>
        <v>244.0754578704227</v>
      </c>
      <c r="CX32" s="62">
        <f t="shared" si="14"/>
        <v>481.00335519319856</v>
      </c>
      <c r="CY32" s="62">
        <f ca="1">AVERAGE(OFFSET($CX$3,0,0,'Données projet'!$E$13+1,1))-AVERAGE(OFFSET($H$3,0,0,'Données projet'!$E$13+1,1))</f>
        <v>441.15969139782891</v>
      </c>
      <c r="CZ32" s="62">
        <f t="shared" si="42"/>
        <v>315.06466790224783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11.5</v>
      </c>
      <c r="DO32" s="13">
        <f>IF('Données projet'!$A$166&gt;35,DO31+DN32-DW31,IF(A32&lt;'Données projet'!$A$166,$DL$205^A32,IF(A32='Données projet'!$A$166,'Données projet'!$B$166,DO31+DN32-DW31)))</f>
        <v>131.99999999999994</v>
      </c>
      <c r="DP32" s="18">
        <f>DO32*VLOOKUP('Données projet'!$B$14,Paramètres!$A$1:$I$89,3,0)*VLOOKUP('Données projet'!$B$14,Paramètres!$A$1:$I$89,5,0)</f>
        <v>102.95999999999997</v>
      </c>
      <c r="DQ32" s="14">
        <f t="shared" si="43"/>
        <v>27.665975080374633</v>
      </c>
      <c r="DR32" s="22">
        <f t="shared" si="16"/>
        <v>227.50690659831903</v>
      </c>
      <c r="DS32" s="62">
        <f t="shared" si="17"/>
        <v>464.43480392109484</v>
      </c>
      <c r="DT32" s="62">
        <f ca="1">AVERAGE(OFFSET($DS$3,0,0,'Données projet'!$E$14+1,1))-AVERAGE(OFFSET($H$3,0,0,'Données projet'!$E$14+1,1))</f>
        <v>309.21625451786218</v>
      </c>
      <c r="DU32" s="62">
        <f t="shared" si="44"/>
        <v>302.59481222418219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9.8000000000000007</v>
      </c>
      <c r="EJ32" s="13">
        <f>IF('Données projet'!$A$192&gt;35,EJ31+EI32-ER31,IF(A32&lt;'Données projet'!$A$192,$EG$205^A32,IF(A32='Données projet'!$A$192,'Données projet'!$B$192,EJ31+EI32-ER31)))</f>
        <v>104.19999999999999</v>
      </c>
      <c r="EK32" s="18">
        <f>EJ32*VLOOKUP('Données projet'!$B$15,Paramètres!$A$1:$I$89,3,0)*VLOOKUP('Données projet'!$B$15,Paramètres!$A$1:$I$89,5,0)</f>
        <v>91.029119999999992</v>
      </c>
      <c r="EL32" s="14">
        <f t="shared" si="45"/>
        <v>24.813259479575809</v>
      </c>
      <c r="EM32" s="22">
        <f t="shared" si="19"/>
        <v>201.75881092692782</v>
      </c>
      <c r="EN32" s="62">
        <f t="shared" si="20"/>
        <v>438.68670824970366</v>
      </c>
      <c r="EO32" s="62">
        <f ca="1">AVERAGE(OFFSET($EN$3,0,0,'Données projet'!$E$15+1,1))-AVERAGE(OFFSET($H$3,0,0,'Données projet'!$E$15+1,1))</f>
        <v>298.56812743477741</v>
      </c>
      <c r="EP32" s="62">
        <f t="shared" si="46"/>
        <v>276.01618888357268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9.2307692307692317</v>
      </c>
      <c r="FE32" s="13">
        <f>IF('Données projet'!$A$218&gt;35,FE31+FD32-FM31,IF(A32&lt;'Données projet'!$A$218,$FB$205^A32,IF(A32='Données projet'!$A$218,'Données projet'!$B$218,FE31+FD32-FM31)))</f>
        <v>174.74358974358972</v>
      </c>
      <c r="FF32" s="18">
        <f>FE32*VLOOKUP('Données projet'!$B$16,Paramètres!$A$1:$I$89,3,0)*VLOOKUP('Données projet'!$B$16,Paramètres!$A$1:$I$89,5,0)</f>
        <v>117.21799999999998</v>
      </c>
      <c r="FG32" s="14">
        <f t="shared" si="47"/>
        <v>31.025260351021213</v>
      </c>
      <c r="FH32" s="22">
        <f t="shared" si="22"/>
        <v>258.19034511136186</v>
      </c>
      <c r="FI32" s="62">
        <f t="shared" si="23"/>
        <v>495.1182424341377</v>
      </c>
      <c r="FJ32" s="62">
        <f ca="1">AVERAGE(OFFSET($FI$3,0,0,'Données projet'!$E$16+1,1))-AVERAGE(OFFSET($H$3,0,0,'Données projet'!$E$16+1,1))</f>
        <v>396.0878652679051</v>
      </c>
      <c r="FK32" s="62">
        <f t="shared" si="48"/>
        <v>327.26339199235406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9">
        <f t="shared" si="1"/>
        <v>183.33333333333334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102</v>
      </c>
      <c r="L33" s="13">
        <f>VLOOKUP(A33,'Données projet'!$A$35:$I$55,9,0)</f>
        <v>12.333333333333334</v>
      </c>
      <c r="M33" s="13">
        <f t="array" ref="M33">INDEX(L:L,MIN(IF(ISNUMBER(L33:L229),ROW(L33:L229),"")))</f>
        <v>12.333333333333334</v>
      </c>
      <c r="N33" s="14">
        <f>IF('Données projet'!$A$36&gt;35,N32+M33-V32,IF(A33&lt;'Données projet'!$A$36,$K$205^A33,IF(A33='Données projet'!$A$36,'Données projet'!$B$36,N32+M33-V32)))</f>
        <v>101.99999999999999</v>
      </c>
      <c r="O33" s="14">
        <f>N33*VLOOKUP('Données projet'!$B$9,Paramètres!$A$1:$I$89,3,0)*VLOOKUP('Données projet'!$B$9,Paramètres!$A$1:$I$89,5,0)</f>
        <v>87.515999999999991</v>
      </c>
      <c r="P33" s="14">
        <f t="shared" si="33"/>
        <v>23.965171662037644</v>
      </c>
      <c r="Q33" s="22">
        <f t="shared" si="2"/>
        <v>194.16304064471555</v>
      </c>
      <c r="R33" s="62">
        <f t="shared" si="0"/>
        <v>433.27046557775753</v>
      </c>
      <c r="S33" s="62">
        <f ca="1">AVERAGE(OFFSET($R$3,0,0,'Données projet'!$E$9+1,1))-AVERAGE(OFFSET($H$3,0,0,'Données projet'!$E$9+1,1))</f>
        <v>478.11504516179713</v>
      </c>
      <c r="T33" s="62">
        <f t="shared" si="34"/>
        <v>249.93713224442419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211.8</v>
      </c>
      <c r="AG33" s="13">
        <f>VLOOKUP(A33,'Données projet'!$A$61:$I$81,9,0)</f>
        <v>14.260000000000002</v>
      </c>
      <c r="AH33" s="13">
        <f t="array" ref="AH33">INDEX(AG:AG,MIN(IF(ISNUMBER(AG33:AG229),ROW(AG33:AG229),"")))</f>
        <v>14.260000000000002</v>
      </c>
      <c r="AI33" s="14">
        <f>IF('Données projet'!$A$62&gt;35,AI32+AH33-AQ32,IF(A33&lt;'Données projet'!$A$62,$AF$205^A33,IF(A33='Données projet'!$A$62,'Données projet'!$B$62,AI32+AH33-AQ32)))</f>
        <v>211.79999999999995</v>
      </c>
      <c r="AJ33" s="14">
        <f>AI33*VLOOKUP('Données projet'!$B$10,Paramètres!$A$1:$I$89,3,0)*VLOOKUP('Données projet'!$B$10,Paramètres!$A$1:$I$89,5,0)</f>
        <v>168.50807999999995</v>
      </c>
      <c r="AK33" s="14">
        <f t="shared" si="35"/>
        <v>42.755711908378117</v>
      </c>
      <c r="AL33" s="22">
        <f t="shared" si="4"/>
        <v>367.95110424042514</v>
      </c>
      <c r="AM33" s="62">
        <f t="shared" si="5"/>
        <v>607.05852917346715</v>
      </c>
      <c r="AN33" s="62">
        <f ca="1">AVERAGE(OFFSET($AM$3,0,0,'Données projet'!$E$10+1,1))-AVERAGE(OFFSET($H$3,0,0,'Données projet'!$E$10+1,1))</f>
        <v>394.49874384716014</v>
      </c>
      <c r="AO33" s="62">
        <f t="shared" si="36"/>
        <v>423.72519584013378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211.8</v>
      </c>
      <c r="BB33" s="13">
        <f>VLOOKUP(A33,'Données projet'!$A$87:$I$107,9,0)</f>
        <v>14.260000000000002</v>
      </c>
      <c r="BC33" s="13">
        <f t="array" ref="BC33">INDEX(BB:BB,MIN(IF(ISNUMBER(BB33:BB229),ROW(BB33:BB229),"")))</f>
        <v>14.260000000000002</v>
      </c>
      <c r="BD33" s="13">
        <f>IF('Données projet'!$A$88&gt;35,BD32+BC33-BL32,IF(A33&lt;'Données projet'!$A$88,$BA$205^A33,IF(A33='Données projet'!$A$88,'Données projet'!$B$88,BD32+BC33-BL32)))</f>
        <v>211.79999999999995</v>
      </c>
      <c r="BE33" s="14">
        <f>BD33*VLOOKUP('Données projet'!$B$11,Paramètres!$A$1:$I$89,3,0)*VLOOKUP('Données projet'!$B$11,Paramètres!$A$1:$I$89,5,0)</f>
        <v>168.50807999999995</v>
      </c>
      <c r="BF33" s="14">
        <f t="shared" si="37"/>
        <v>42.755711908378117</v>
      </c>
      <c r="BG33" s="22">
        <f t="shared" si="7"/>
        <v>367.95110424042514</v>
      </c>
      <c r="BH33" s="62">
        <f t="shared" si="8"/>
        <v>607.05852917346715</v>
      </c>
      <c r="BI33" s="62">
        <f ca="1">AVERAGE(OFFSET($BH$3,0,0,'Données projet'!$E$11+1,1))-AVERAGE(OFFSET($H$3,0,0,'Données projet'!$E$11+1,1))</f>
        <v>394.49874384716014</v>
      </c>
      <c r="BJ33" s="62">
        <f t="shared" si="38"/>
        <v>423.72519584013378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101.556</v>
      </c>
      <c r="CA33" s="14">
        <f t="shared" si="39"/>
        <v>27.332359320696909</v>
      </c>
      <c r="CB33" s="22">
        <f t="shared" si="10"/>
        <v>224.48055915021379</v>
      </c>
      <c r="CC33" s="62">
        <f t="shared" si="11"/>
        <v>463.58798408325578</v>
      </c>
      <c r="CD33" s="62">
        <f ca="1">AVERAGE(OFFSET($CC$3,0,0,'Données projet'!$E$12+1,1))-AVERAGE(OFFSET($H$3,0,0,'Données projet'!$E$12+1,1))</f>
        <v>496.33873798282525</v>
      </c>
      <c r="CE33" s="62">
        <f t="shared" si="40"/>
        <v>280.25465074992246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123.71794871794872</v>
      </c>
      <c r="CR33" s="13">
        <f>VLOOKUP(A33,'Données projet'!$A$139:$I$159,9,0)</f>
        <v>7.4358974358974361</v>
      </c>
      <c r="CS33" s="13">
        <f t="array" ref="CS33">INDEX(CR:CR,MIN(IF(ISNUMBER(CR33:CR229),ROW(CR33:CR229),"")))</f>
        <v>7.4358974358974361</v>
      </c>
      <c r="CT33" s="13">
        <f>IF('Données projet'!$A$140&gt;35,CT32+CS33-DB32,IF(A33&lt;'Données projet'!$A$140,$CQ$205^A33,IF(A33='Données projet'!$A$140,'Données projet'!$B$140,CT32+CS33-DB32)))</f>
        <v>123.71794871794872</v>
      </c>
      <c r="CU33" s="18">
        <f>CT33*VLOOKUP('Données projet'!$B$13,Paramètres!$A$1:$I$89,3,0)*VLOOKUP('Données projet'!$B$13,Paramètres!$A$1:$I$89,5,0)</f>
        <v>117.73</v>
      </c>
      <c r="CV33" s="14">
        <f t="shared" si="41"/>
        <v>31.144972039735432</v>
      </c>
      <c r="CW33" s="22">
        <f t="shared" si="13"/>
        <v>259.29057630253919</v>
      </c>
      <c r="CX33" s="62">
        <f t="shared" si="14"/>
        <v>498.39800123558121</v>
      </c>
      <c r="CY33" s="62">
        <f ca="1">AVERAGE(OFFSET($CX$3,0,0,'Données projet'!$E$13+1,1))-AVERAGE(OFFSET($H$3,0,0,'Données projet'!$E$13+1,1))</f>
        <v>441.15969139782891</v>
      </c>
      <c r="CZ33" s="62">
        <f t="shared" si="42"/>
        <v>315.06466790224783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11.5</v>
      </c>
      <c r="DO33" s="13">
        <f>IF('Données projet'!$A$166&gt;35,DO32+DN33-DW32,IF(A33&lt;'Données projet'!$A$166,$DL$205^A33,IF(A33='Données projet'!$A$166,'Données projet'!$B$166,DO32+DN33-DW32)))</f>
        <v>143.49999999999994</v>
      </c>
      <c r="DP33" s="18">
        <f>DO33*VLOOKUP('Données projet'!$B$14,Paramètres!$A$1:$I$89,3,0)*VLOOKUP('Données projet'!$B$14,Paramètres!$A$1:$I$89,5,0)</f>
        <v>111.92999999999996</v>
      </c>
      <c r="DQ33" s="14">
        <f t="shared" si="43"/>
        <v>29.785246291563833</v>
      </c>
      <c r="DR33" s="22">
        <f t="shared" si="16"/>
        <v>246.82072062447358</v>
      </c>
      <c r="DS33" s="62">
        <f t="shared" si="17"/>
        <v>485.92814555751556</v>
      </c>
      <c r="DT33" s="62">
        <f ca="1">AVERAGE(OFFSET($DS$3,0,0,'Données projet'!$E$14+1,1))-AVERAGE(OFFSET($H$3,0,0,'Données projet'!$E$14+1,1))</f>
        <v>309.21625451786218</v>
      </c>
      <c r="DU33" s="62">
        <f t="shared" si="44"/>
        <v>302.59481222418219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114</v>
      </c>
      <c r="EH33" s="13">
        <f>VLOOKUP(A33,'Données projet'!$A$191:$I$211,9,0)</f>
        <v>9.8000000000000007</v>
      </c>
      <c r="EI33" s="13">
        <f t="array" ref="EI33">INDEX(EH:EH,MIN(IF(ISNUMBER(EH33:EH229),ROW(EH33:EH229),"")))</f>
        <v>9.8000000000000007</v>
      </c>
      <c r="EJ33" s="13">
        <f>IF('Données projet'!$A$192&gt;35,EJ32+EI33-ER32,IF(A33&lt;'Données projet'!$A$192,$EG$205^A33,IF(A33='Données projet'!$A$192,'Données projet'!$B$192,EJ32+EI33-ER32)))</f>
        <v>113.99999999999999</v>
      </c>
      <c r="EK33" s="18">
        <f>EJ33*VLOOKUP('Données projet'!$B$15,Paramètres!$A$1:$I$89,3,0)*VLOOKUP('Données projet'!$B$15,Paramètres!$A$1:$I$89,5,0)</f>
        <v>99.590400000000002</v>
      </c>
      <c r="EL33" s="14">
        <f t="shared" si="45"/>
        <v>26.864392698869324</v>
      </c>
      <c r="EM33" s="22">
        <f t="shared" si="19"/>
        <v>220.24209728386407</v>
      </c>
      <c r="EN33" s="62">
        <f t="shared" si="20"/>
        <v>459.34952221690605</v>
      </c>
      <c r="EO33" s="62">
        <f ca="1">AVERAGE(OFFSET($EN$3,0,0,'Données projet'!$E$15+1,1))-AVERAGE(OFFSET($H$3,0,0,'Données projet'!$E$15+1,1))</f>
        <v>298.56812743477741</v>
      </c>
      <c r="EP33" s="62">
        <f t="shared" si="46"/>
        <v>276.01618888357268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183.97435897435898</v>
      </c>
      <c r="FC33" s="13">
        <f>VLOOKUP(A33,'Données projet'!$A$217:$I$237,9,0)</f>
        <v>9.2307692307692317</v>
      </c>
      <c r="FD33" s="13">
        <f t="array" ref="FD33">INDEX(FC:FC,MIN(IF(ISNUMBER(FC33:FC229),ROW(FC33:FC229),"")))</f>
        <v>9.2307692307692317</v>
      </c>
      <c r="FE33" s="13">
        <f>IF('Données projet'!$A$218&gt;35,FE32+FD33-FM32,IF(A33&lt;'Données projet'!$A$218,$FB$205^A33,IF(A33='Données projet'!$A$218,'Données projet'!$B$218,FE32+FD33-FM32)))</f>
        <v>183.97435897435895</v>
      </c>
      <c r="FF33" s="18">
        <f>FE33*VLOOKUP('Données projet'!$B$16,Paramètres!$A$1:$I$89,3,0)*VLOOKUP('Données projet'!$B$16,Paramètres!$A$1:$I$89,5,0)</f>
        <v>123.41</v>
      </c>
      <c r="FG33" s="14">
        <f t="shared" si="47"/>
        <v>32.469024148887371</v>
      </c>
      <c r="FH33" s="22">
        <f t="shared" si="22"/>
        <v>271.48930039264548</v>
      </c>
      <c r="FI33" s="62">
        <f t="shared" si="23"/>
        <v>510.59672532568743</v>
      </c>
      <c r="FJ33" s="62">
        <f ca="1">AVERAGE(OFFSET($FI$3,0,0,'Données projet'!$E$16+1,1))-AVERAGE(OFFSET($H$3,0,0,'Données projet'!$E$16+1,1))</f>
        <v>396.0878652679051</v>
      </c>
      <c r="FK33" s="62">
        <f t="shared" si="48"/>
        <v>327.26339199235406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39.102564102564102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9">
        <f t="shared" si="1"/>
        <v>183.33333333333334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14.166666666666666</v>
      </c>
      <c r="N34" s="14">
        <f>IF('Données projet'!$A$36&gt;35,N33+M34-V33,IF(A34&lt;'Données projet'!$A$36,$K$205^A34,IF(A34='Données projet'!$A$36,'Données projet'!$B$36,N33+M34-V33)))</f>
        <v>103.16666666666666</v>
      </c>
      <c r="O34" s="14">
        <f>N34*VLOOKUP('Données projet'!$B$9,Paramètres!$A$1:$I$89,3,0)*VLOOKUP('Données projet'!$B$9,Paramètres!$A$1:$I$89,5,0)</f>
        <v>88.51700000000001</v>
      </c>
      <c r="P34" s="14">
        <f t="shared" si="33"/>
        <v>24.207215980626653</v>
      </c>
      <c r="Q34" s="22">
        <f t="shared" si="2"/>
        <v>196.32800949959145</v>
      </c>
      <c r="R34" s="62">
        <f t="shared" si="0"/>
        <v>436.376132712409</v>
      </c>
      <c r="S34" s="62">
        <f ca="1">AVERAGE(OFFSET($R$3,0,0,'Données projet'!$E$9+1,1))-AVERAGE(OFFSET($H$3,0,0,'Données projet'!$E$9+1,1))</f>
        <v>478.11504516179713</v>
      </c>
      <c r="T34" s="62">
        <f t="shared" si="34"/>
        <v>249.93713224442419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12.919999999999998</v>
      </c>
      <c r="AI34" s="14">
        <f>IF('Données projet'!$A$62&gt;35,AI33+AH34-AQ33,IF(A34&lt;'Données projet'!$A$62,$AF$205^A34,IF(A34='Données projet'!$A$62,'Données projet'!$B$62,AI33+AH34-AQ33)))</f>
        <v>154.71999999999994</v>
      </c>
      <c r="AJ34" s="14">
        <f>AI34*VLOOKUP('Données projet'!$B$10,Paramètres!$A$1:$I$89,3,0)*VLOOKUP('Données projet'!$B$10,Paramètres!$A$1:$I$89,5,0)</f>
        <v>123.09523199999997</v>
      </c>
      <c r="AK34" s="14">
        <f t="shared" si="35"/>
        <v>32.395837865893974</v>
      </c>
      <c r="AL34" s="22">
        <f t="shared" si="4"/>
        <v>270.81361334976526</v>
      </c>
      <c r="AM34" s="62">
        <f t="shared" si="5"/>
        <v>510.86173656258279</v>
      </c>
      <c r="AN34" s="62">
        <f ca="1">AVERAGE(OFFSET($AM$3,0,0,'Données projet'!$E$10+1,1))-AVERAGE(OFFSET($H$3,0,0,'Données projet'!$E$10+1,1))</f>
        <v>394.49874384716014</v>
      </c>
      <c r="AO34" s="62">
        <f t="shared" si="36"/>
        <v>423.72519584013378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12.919999999999998</v>
      </c>
      <c r="BD34" s="13">
        <f>IF('Données projet'!$A$88&gt;35,BD33+BC34-BL33,IF(A34&lt;'Données projet'!$A$88,$BA$205^A34,IF(A34='Données projet'!$A$88,'Données projet'!$B$88,BD33+BC34-BL33)))</f>
        <v>154.71999999999994</v>
      </c>
      <c r="BE34" s="14">
        <f>BD34*VLOOKUP('Données projet'!$B$11,Paramètres!$A$1:$I$89,3,0)*VLOOKUP('Données projet'!$B$11,Paramètres!$A$1:$I$89,5,0)</f>
        <v>123.09523199999997</v>
      </c>
      <c r="BF34" s="14">
        <f t="shared" si="37"/>
        <v>32.395837865893974</v>
      </c>
      <c r="BG34" s="22">
        <f t="shared" si="7"/>
        <v>270.81361334976526</v>
      </c>
      <c r="BH34" s="62">
        <f t="shared" si="8"/>
        <v>510.86173656258279</v>
      </c>
      <c r="BI34" s="62">
        <f ca="1">AVERAGE(OFFSET($BH$3,0,0,'Données projet'!$E$11+1,1))-AVERAGE(OFFSET($H$3,0,0,'Données projet'!$E$11+1,1))</f>
        <v>394.49874384716014</v>
      </c>
      <c r="BJ34" s="62">
        <f t="shared" si="38"/>
        <v>423.72519584013378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81.244799999999998</v>
      </c>
      <c r="CA34" s="14">
        <f t="shared" si="39"/>
        <v>22.441270156928962</v>
      </c>
      <c r="CB34" s="22">
        <f t="shared" si="10"/>
        <v>180.58657218998462</v>
      </c>
      <c r="CC34" s="62">
        <f t="shared" si="11"/>
        <v>420.63469540280221</v>
      </c>
      <c r="CD34" s="62">
        <f ca="1">AVERAGE(OFFSET($CC$3,0,0,'Données projet'!$E$12+1,1))-AVERAGE(OFFSET($H$3,0,0,'Données projet'!$E$12+1,1))</f>
        <v>496.33873798282525</v>
      </c>
      <c r="CE34" s="62">
        <f t="shared" si="40"/>
        <v>280.25465074992246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7.1794871794871797</v>
      </c>
      <c r="CT34" s="13">
        <f>IF('Données projet'!$A$140&gt;35,CT33+CS34-DB33,IF(A34&lt;'Données projet'!$A$140,$CQ$205^A34,IF(A34='Données projet'!$A$140,'Données projet'!$B$140,CT33+CS34-DB33)))</f>
        <v>130.89743589743588</v>
      </c>
      <c r="CU34" s="18">
        <f>CT34*VLOOKUP('Données projet'!$B$13,Paramètres!$A$1:$I$89,3,0)*VLOOKUP('Données projet'!$B$13,Paramètres!$A$1:$I$89,5,0)</f>
        <v>124.56199999999998</v>
      </c>
      <c r="CV34" s="14">
        <f t="shared" si="41"/>
        <v>32.736689328514629</v>
      </c>
      <c r="CW34" s="22">
        <f t="shared" si="13"/>
        <v>273.96188391382958</v>
      </c>
      <c r="CX34" s="62">
        <f t="shared" si="14"/>
        <v>514.01000712664711</v>
      </c>
      <c r="CY34" s="62">
        <f ca="1">AVERAGE(OFFSET($CX$3,0,0,'Données projet'!$E$13+1,1))-AVERAGE(OFFSET($H$3,0,0,'Données projet'!$E$13+1,1))</f>
        <v>441.15969139782891</v>
      </c>
      <c r="CZ34" s="62">
        <f t="shared" si="42"/>
        <v>315.06466790224783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>
        <f>VLOOKUP(A34,'Données projet'!$A$165:$I$185,2,0)</f>
        <v>155</v>
      </c>
      <c r="DM34" s="13">
        <f>VLOOKUP(A34,'Données projet'!$A$165:$I$185,9,0)</f>
        <v>11.5</v>
      </c>
      <c r="DN34" s="13">
        <f t="array" ref="DN34">INDEX(DM:DM,MIN(IF(ISNUMBER(DM34:DM230),ROW(DM34:DM230),"")))</f>
        <v>11.5</v>
      </c>
      <c r="DO34" s="13">
        <f>IF('Données projet'!$A$166&gt;35,DO33+DN34-DW33,IF(A34&lt;'Données projet'!$A$166,$DL$205^A34,IF(A34='Données projet'!$A$166,'Données projet'!$B$166,DO33+DN34-DW33)))</f>
        <v>154.99999999999994</v>
      </c>
      <c r="DP34" s="18">
        <f>DO34*VLOOKUP('Données projet'!$B$14,Paramètres!$A$1:$I$89,3,0)*VLOOKUP('Données projet'!$B$14,Paramètres!$A$1:$I$89,5,0)</f>
        <v>120.89999999999996</v>
      </c>
      <c r="DQ34" s="14">
        <f t="shared" si="43"/>
        <v>31.884818143351602</v>
      </c>
      <c r="DR34" s="22">
        <f t="shared" si="16"/>
        <v>266.10022493300397</v>
      </c>
      <c r="DS34" s="62">
        <f t="shared" si="17"/>
        <v>506.1483481458215</v>
      </c>
      <c r="DT34" s="62">
        <f ca="1">AVERAGE(OFFSET($DS$3,0,0,'Données projet'!$E$14+1,1))-AVERAGE(OFFSET($H$3,0,0,'Données projet'!$E$14+1,1))</f>
        <v>309.21625451786218</v>
      </c>
      <c r="DU34" s="62">
        <f t="shared" si="44"/>
        <v>302.59481222418219</v>
      </c>
      <c r="DV34" s="16">
        <f>IF(ISNA(VLOOKUP(A34,'Données projet'!$A$165:$I$185,3,0)),0,VLOOKUP(A34,'Données projet'!$A$165:$I$185,3,0))</f>
        <v>3</v>
      </c>
      <c r="DW34" s="16">
        <f>IF(ISNA(VLOOKUP(A34,'Données projet'!$A$165:$I$185,4,0)),0,VLOOKUP(A34,'Données projet'!$A$165:$I$185,4,0))</f>
        <v>36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8.6</v>
      </c>
      <c r="EJ34" s="13">
        <f>IF('Données projet'!$A$192&gt;35,EJ33+EI34-ER33,IF(A34&lt;'Données projet'!$A$192,$EG$205^A34,IF(A34='Données projet'!$A$192,'Données projet'!$B$192,EJ33+EI34-ER33)))</f>
        <v>122.59999999999998</v>
      </c>
      <c r="EK34" s="18">
        <f>EJ34*VLOOKUP('Données projet'!$B$15,Paramètres!$A$1:$I$89,3,0)*VLOOKUP('Données projet'!$B$15,Paramètres!$A$1:$I$89,5,0)</f>
        <v>107.10336</v>
      </c>
      <c r="EL34" s="14">
        <f t="shared" si="45"/>
        <v>28.647457255358184</v>
      </c>
      <c r="EM34" s="22">
        <f t="shared" si="19"/>
        <v>236.43267338641553</v>
      </c>
      <c r="EN34" s="62">
        <f t="shared" si="20"/>
        <v>476.48079659923309</v>
      </c>
      <c r="EO34" s="62">
        <f ca="1">AVERAGE(OFFSET($EN$3,0,0,'Données projet'!$E$15+1,1))-AVERAGE(OFFSET($H$3,0,0,'Données projet'!$E$15+1,1))</f>
        <v>298.56812743477741</v>
      </c>
      <c r="EP34" s="62">
        <f t="shared" si="46"/>
        <v>276.01618888357268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8.717948717948719</v>
      </c>
      <c r="FE34" s="13">
        <f>IF('Données projet'!$A$218&gt;35,FE33+FD34-FM33,IF(A34&lt;'Données projet'!$A$218,$FB$205^A34,IF(A34='Données projet'!$A$218,'Données projet'!$B$218,FE33+FD34-FM33)))</f>
        <v>153.58974358974359</v>
      </c>
      <c r="FF34" s="18">
        <f>FE34*VLOOKUP('Données projet'!$B$16,Paramètres!$A$1:$I$89,3,0)*VLOOKUP('Données projet'!$B$16,Paramètres!$A$1:$I$89,5,0)</f>
        <v>103.02800000000001</v>
      </c>
      <c r="FG34" s="14">
        <f t="shared" si="47"/>
        <v>27.682119609309797</v>
      </c>
      <c r="FH34" s="22">
        <f t="shared" si="22"/>
        <v>227.65345831954789</v>
      </c>
      <c r="FI34" s="62">
        <f t="shared" si="23"/>
        <v>467.70158153236548</v>
      </c>
      <c r="FJ34" s="62">
        <f ca="1">AVERAGE(OFFSET($FI$3,0,0,'Données projet'!$E$16+1,1))-AVERAGE(OFFSET($H$3,0,0,'Données projet'!$E$16+1,1))</f>
        <v>396.0878652679051</v>
      </c>
      <c r="FK34" s="62">
        <f t="shared" si="48"/>
        <v>327.26339199235406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9">
        <f t="shared" si="1"/>
        <v>183.33333333333334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14.166666666666666</v>
      </c>
      <c r="N35" s="14">
        <f>IF('Données projet'!$A$36&gt;35,N34+M35-V34,IF(A35&lt;'Données projet'!$A$36,$K$205^A35,IF(A35='Données projet'!$A$36,'Données projet'!$B$36,N34+M35-V34)))</f>
        <v>117.33333333333333</v>
      </c>
      <c r="O35" s="14">
        <f>N35*VLOOKUP('Données projet'!$B$9,Paramètres!$A$1:$I$89,3,0)*VLOOKUP('Données projet'!$B$9,Paramètres!$A$1:$I$89,5,0)</f>
        <v>100.672</v>
      </c>
      <c r="P35" s="14">
        <f t="shared" si="33"/>
        <v>27.122029824032914</v>
      </c>
      <c r="Q35" s="22">
        <f t="shared" ref="Q35:Q66" si="53">(O35+P35)*0.475*44/12</f>
        <v>222.57460194352402</v>
      </c>
      <c r="R35" s="62">
        <f t="shared" si="0"/>
        <v>463.54710442404934</v>
      </c>
      <c r="S35" s="62">
        <f ca="1">AVERAGE(OFFSET($R$3,0,0,'Données projet'!$E$9+1,1))-AVERAGE(OFFSET($H$3,0,0,'Données projet'!$E$9+1,1))</f>
        <v>478.11504516179713</v>
      </c>
      <c r="T35" s="62">
        <f t="shared" si="34"/>
        <v>249.93713224442419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12.919999999999998</v>
      </c>
      <c r="AI35" s="14">
        <f>IF('Données projet'!$A$62&gt;35,AI34+AH35-AQ34,IF(A35&lt;'Données projet'!$A$62,$AF$205^A35,IF(A35='Données projet'!$A$62,'Données projet'!$B$62,AI34+AH35-AQ34)))</f>
        <v>167.63999999999993</v>
      </c>
      <c r="AJ35" s="14">
        <f>AI35*VLOOKUP('Données projet'!$B$10,Paramètres!$A$1:$I$89,3,0)*VLOOKUP('Données projet'!$B$10,Paramètres!$A$1:$I$89,5,0)</f>
        <v>133.37438399999996</v>
      </c>
      <c r="AK35" s="14">
        <f t="shared" si="35"/>
        <v>34.774913711031935</v>
      </c>
      <c r="AL35" s="22">
        <f t="shared" si="4"/>
        <v>292.86002684671388</v>
      </c>
      <c r="AM35" s="62">
        <f t="shared" si="5"/>
        <v>533.83252932723917</v>
      </c>
      <c r="AN35" s="62">
        <f ca="1">AVERAGE(OFFSET($AM$3,0,0,'Données projet'!$E$10+1,1))-AVERAGE(OFFSET($H$3,0,0,'Données projet'!$E$10+1,1))</f>
        <v>394.49874384716014</v>
      </c>
      <c r="AO35" s="62">
        <f t="shared" si="36"/>
        <v>423.72519584013378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12.919999999999998</v>
      </c>
      <c r="BD35" s="13">
        <f>IF('Données projet'!$A$88&gt;35,BD34+BC35-BL34,IF(A35&lt;'Données projet'!$A$88,$BA$205^A35,IF(A35='Données projet'!$A$88,'Données projet'!$B$88,BD34+BC35-BL34)))</f>
        <v>167.63999999999993</v>
      </c>
      <c r="BE35" s="14">
        <f>BD35*VLOOKUP('Données projet'!$B$11,Paramètres!$A$1:$I$89,3,0)*VLOOKUP('Données projet'!$B$11,Paramètres!$A$1:$I$89,5,0)</f>
        <v>133.37438399999996</v>
      </c>
      <c r="BF35" s="14">
        <f t="shared" si="37"/>
        <v>34.774913711031935</v>
      </c>
      <c r="BG35" s="22">
        <f t="shared" si="7"/>
        <v>292.86002684671388</v>
      </c>
      <c r="BH35" s="62">
        <f t="shared" si="8"/>
        <v>533.83252932723917</v>
      </c>
      <c r="BI35" s="62">
        <f ca="1">AVERAGE(OFFSET($BH$3,0,0,'Données projet'!$E$11+1,1))-AVERAGE(OFFSET($H$3,0,0,'Données projet'!$E$11+1,1))</f>
        <v>394.49874384716014</v>
      </c>
      <c r="BJ35" s="62">
        <f t="shared" si="38"/>
        <v>423.72519584013378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88.982399999999998</v>
      </c>
      <c r="CA35" s="14">
        <f t="shared" si="39"/>
        <v>24.31964219550628</v>
      </c>
      <c r="CB35" s="22">
        <f t="shared" si="10"/>
        <v>197.3343901571734</v>
      </c>
      <c r="CC35" s="62">
        <f t="shared" si="11"/>
        <v>438.30689263769875</v>
      </c>
      <c r="CD35" s="62">
        <f ca="1">AVERAGE(OFFSET($CC$3,0,0,'Données projet'!$E$12+1,1))-AVERAGE(OFFSET($H$3,0,0,'Données projet'!$E$12+1,1))</f>
        <v>496.33873798282525</v>
      </c>
      <c r="CE35" s="62">
        <f t="shared" si="40"/>
        <v>280.25465074992246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7.1794871794871797</v>
      </c>
      <c r="CT35" s="13">
        <f>IF('Données projet'!$A$140&gt;35,CT34+CS35-DB34,IF(A35&lt;'Données projet'!$A$140,$CQ$205^A35,IF(A35='Données projet'!$A$140,'Données projet'!$B$140,CT34+CS35-DB34)))</f>
        <v>138.07692307692307</v>
      </c>
      <c r="CU35" s="18">
        <f>CT35*VLOOKUP('Données projet'!$B$13,Paramètres!$A$1:$I$89,3,0)*VLOOKUP('Données projet'!$B$13,Paramètres!$A$1:$I$89,5,0)</f>
        <v>131.39400000000001</v>
      </c>
      <c r="CV35" s="14">
        <f t="shared" si="41"/>
        <v>34.318271576212204</v>
      </c>
      <c r="CW35" s="22">
        <f t="shared" si="13"/>
        <v>288.61553966190291</v>
      </c>
      <c r="CX35" s="62">
        <f t="shared" si="14"/>
        <v>529.58804214242821</v>
      </c>
      <c r="CY35" s="62">
        <f ca="1">AVERAGE(OFFSET($CX$3,0,0,'Données projet'!$E$13+1,1))-AVERAGE(OFFSET($H$3,0,0,'Données projet'!$E$13+1,1))</f>
        <v>441.15969139782891</v>
      </c>
      <c r="CZ35" s="62">
        <f t="shared" si="42"/>
        <v>315.06466790224783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11.5</v>
      </c>
      <c r="DO35" s="13">
        <f>IF('Données projet'!$A$166&gt;35,DO34+DN35-DW34,IF(A35&lt;'Données projet'!$A$166,$DL$205^A35,IF(A35='Données projet'!$A$166,'Données projet'!$B$166,DO34+DN35-DW34)))</f>
        <v>130.49999999999994</v>
      </c>
      <c r="DP35" s="18">
        <f>DO35*VLOOKUP('Données projet'!$B$14,Paramètres!$A$1:$I$89,3,0)*VLOOKUP('Données projet'!$B$14,Paramètres!$A$1:$I$89,5,0)</f>
        <v>101.78999999999996</v>
      </c>
      <c r="DQ35" s="14">
        <f t="shared" si="43"/>
        <v>27.38799903683508</v>
      </c>
      <c r="DR35" s="22">
        <f t="shared" si="16"/>
        <v>224.98501498915437</v>
      </c>
      <c r="DS35" s="62">
        <f t="shared" si="17"/>
        <v>465.95751746967971</v>
      </c>
      <c r="DT35" s="62">
        <f ca="1">AVERAGE(OFFSET($DS$3,0,0,'Données projet'!$E$14+1,1))-AVERAGE(OFFSET($H$3,0,0,'Données projet'!$E$14+1,1))</f>
        <v>309.21625451786218</v>
      </c>
      <c r="DU35" s="62">
        <f t="shared" si="44"/>
        <v>302.59481222418219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8.6</v>
      </c>
      <c r="EJ35" s="13">
        <f>IF('Données projet'!$A$192&gt;35,EJ34+EI35-ER34,IF(A35&lt;'Données projet'!$A$192,$EG$205^A35,IF(A35='Données projet'!$A$192,'Données projet'!$B$192,EJ34+EI35-ER34)))</f>
        <v>131.19999999999999</v>
      </c>
      <c r="EK35" s="18">
        <f>EJ35*VLOOKUP('Données projet'!$B$15,Paramètres!$A$1:$I$89,3,0)*VLOOKUP('Données projet'!$B$15,Paramètres!$A$1:$I$89,5,0)</f>
        <v>114.61632</v>
      </c>
      <c r="EL35" s="14">
        <f t="shared" si="45"/>
        <v>30.416009647934409</v>
      </c>
      <c r="EM35" s="22">
        <f t="shared" si="19"/>
        <v>252.59797413681909</v>
      </c>
      <c r="EN35" s="62">
        <f t="shared" si="20"/>
        <v>493.57047661734441</v>
      </c>
      <c r="EO35" s="62">
        <f ca="1">AVERAGE(OFFSET($EN$3,0,0,'Données projet'!$E$15+1,1))-AVERAGE(OFFSET($H$3,0,0,'Données projet'!$E$15+1,1))</f>
        <v>298.56812743477741</v>
      </c>
      <c r="EP35" s="62">
        <f t="shared" si="46"/>
        <v>276.01618888357268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8.717948717948719</v>
      </c>
      <c r="FE35" s="13">
        <f>IF('Données projet'!$A$218&gt;35,FE34+FD35-FM34,IF(A35&lt;'Données projet'!$A$218,$FB$205^A35,IF(A35='Données projet'!$A$218,'Données projet'!$B$218,FE34+FD35-FM34)))</f>
        <v>162.30769230769232</v>
      </c>
      <c r="FF35" s="18">
        <f>FE35*VLOOKUP('Données projet'!$B$16,Paramètres!$A$1:$I$89,3,0)*VLOOKUP('Données projet'!$B$16,Paramètres!$A$1:$I$89,5,0)</f>
        <v>108.87600000000002</v>
      </c>
      <c r="FG35" s="14">
        <f t="shared" si="47"/>
        <v>29.066003313709242</v>
      </c>
      <c r="FH35" s="22">
        <f t="shared" si="22"/>
        <v>240.24898910471029</v>
      </c>
      <c r="FI35" s="62">
        <f t="shared" si="23"/>
        <v>481.22149158523564</v>
      </c>
      <c r="FJ35" s="62">
        <f ca="1">AVERAGE(OFFSET($FI$3,0,0,'Données projet'!$E$16+1,1))-AVERAGE(OFFSET($H$3,0,0,'Données projet'!$E$16+1,1))</f>
        <v>396.0878652679051</v>
      </c>
      <c r="FK35" s="62">
        <f t="shared" si="48"/>
        <v>327.26339199235406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9">
        <f t="shared" si="1"/>
        <v>183.33333333333334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14.166666666666666</v>
      </c>
      <c r="N36" s="14">
        <f>IF('Données projet'!$A$36&gt;35,N35+M36-V35,IF(A36&lt;'Données projet'!$A$36,$K$205^A36,IF(A36='Données projet'!$A$36,'Données projet'!$B$36,N35+M36-V35)))</f>
        <v>131.5</v>
      </c>
      <c r="O36" s="14">
        <f>N36*VLOOKUP('Données projet'!$B$9,Paramètres!$A$1:$I$89,3,0)*VLOOKUP('Données projet'!$B$9,Paramètres!$A$1:$I$89,5,0)</f>
        <v>112.82700000000001</v>
      </c>
      <c r="P36" s="14">
        <f t="shared" si="33"/>
        <v>29.996060965411449</v>
      </c>
      <c r="Q36" s="22">
        <f t="shared" si="53"/>
        <v>248.75016451475827</v>
      </c>
      <c r="R36" s="62">
        <f t="shared" si="0"/>
        <v>490.631010349299</v>
      </c>
      <c r="S36" s="62">
        <f ca="1">AVERAGE(OFFSET($R$3,0,0,'Données projet'!$E$9+1,1))-AVERAGE(OFFSET($H$3,0,0,'Données projet'!$E$9+1,1))</f>
        <v>478.11504516179713</v>
      </c>
      <c r="T36" s="62">
        <f t="shared" si="34"/>
        <v>249.93713224442419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12.919999999999998</v>
      </c>
      <c r="AI36" s="14">
        <f>IF('Données projet'!$A$62&gt;35,AI35+AH36-AQ35,IF(A36&lt;'Données projet'!$A$62,$AF$205^A36,IF(A36='Données projet'!$A$62,'Données projet'!$B$62,AI35+AH36-AQ35)))</f>
        <v>180.55999999999992</v>
      </c>
      <c r="AJ36" s="14">
        <f>AI36*VLOOKUP('Données projet'!$B$10,Paramètres!$A$1:$I$89,3,0)*VLOOKUP('Données projet'!$B$10,Paramètres!$A$1:$I$89,5,0)</f>
        <v>143.65353599999995</v>
      </c>
      <c r="AK36" s="14">
        <f t="shared" si="35"/>
        <v>37.132720247116019</v>
      </c>
      <c r="AL36" s="22">
        <f t="shared" si="4"/>
        <v>314.86939629706029</v>
      </c>
      <c r="AM36" s="62">
        <f t="shared" si="5"/>
        <v>556.750242131601</v>
      </c>
      <c r="AN36" s="62">
        <f ca="1">AVERAGE(OFFSET($AM$3,0,0,'Données projet'!$E$10+1,1))-AVERAGE(OFFSET($H$3,0,0,'Données projet'!$E$10+1,1))</f>
        <v>394.49874384716014</v>
      </c>
      <c r="AO36" s="62">
        <f t="shared" si="36"/>
        <v>423.72519584013378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12.919999999999998</v>
      </c>
      <c r="BD36" s="13">
        <f>IF('Données projet'!$A$88&gt;35,BD35+BC36-BL35,IF(A36&lt;'Données projet'!$A$88,$BA$205^A36,IF(A36='Données projet'!$A$88,'Données projet'!$B$88,BD35+BC36-BL35)))</f>
        <v>180.55999999999992</v>
      </c>
      <c r="BE36" s="14">
        <f>BD36*VLOOKUP('Données projet'!$B$11,Paramètres!$A$1:$I$89,3,0)*VLOOKUP('Données projet'!$B$11,Paramètres!$A$1:$I$89,5,0)</f>
        <v>143.65353599999995</v>
      </c>
      <c r="BF36" s="14">
        <f t="shared" si="37"/>
        <v>37.132720247116019</v>
      </c>
      <c r="BG36" s="22">
        <f t="shared" si="7"/>
        <v>314.86939629706029</v>
      </c>
      <c r="BH36" s="62">
        <f t="shared" si="8"/>
        <v>556.750242131601</v>
      </c>
      <c r="BI36" s="62">
        <f ca="1">AVERAGE(OFFSET($BH$3,0,0,'Données projet'!$E$11+1,1))-AVERAGE(OFFSET($H$3,0,0,'Données projet'!$E$11+1,1))</f>
        <v>394.49874384716014</v>
      </c>
      <c r="BJ36" s="62">
        <f t="shared" si="38"/>
        <v>423.72519584013378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96.72</v>
      </c>
      <c r="CA36" s="14">
        <f t="shared" si="39"/>
        <v>26.179072558792139</v>
      </c>
      <c r="CB36" s="22">
        <f t="shared" si="10"/>
        <v>214.04921803989632</v>
      </c>
      <c r="CC36" s="62">
        <f t="shared" si="11"/>
        <v>455.93006387443705</v>
      </c>
      <c r="CD36" s="62">
        <f ca="1">AVERAGE(OFFSET($CC$3,0,0,'Données projet'!$E$12+1,1))-AVERAGE(OFFSET($H$3,0,0,'Données projet'!$E$12+1,1))</f>
        <v>496.33873798282525</v>
      </c>
      <c r="CE36" s="62">
        <f t="shared" si="40"/>
        <v>280.25465074992246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7.1794871794871797</v>
      </c>
      <c r="CT36" s="13">
        <f>IF('Données projet'!$A$140&gt;35,CT35+CS36-DB35,IF(A36&lt;'Données projet'!$A$140,$CQ$205^A36,IF(A36='Données projet'!$A$140,'Données projet'!$B$140,CT35+CS36-DB35)))</f>
        <v>145.25641025641025</v>
      </c>
      <c r="CU36" s="18">
        <f>CT36*VLOOKUP('Données projet'!$B$13,Paramètres!$A$1:$I$89,3,0)*VLOOKUP('Données projet'!$B$13,Paramètres!$A$1:$I$89,5,0)</f>
        <v>138.22599999999997</v>
      </c>
      <c r="CV36" s="14">
        <f t="shared" si="41"/>
        <v>35.890305873918834</v>
      </c>
      <c r="CW36" s="22">
        <f t="shared" si="13"/>
        <v>303.25256606374194</v>
      </c>
      <c r="CX36" s="62">
        <f t="shared" si="14"/>
        <v>545.1334118982827</v>
      </c>
      <c r="CY36" s="62">
        <f ca="1">AVERAGE(OFFSET($CX$3,0,0,'Données projet'!$E$13+1,1))-AVERAGE(OFFSET($H$3,0,0,'Données projet'!$E$13+1,1))</f>
        <v>441.15969139782891</v>
      </c>
      <c r="CZ36" s="62">
        <f t="shared" si="42"/>
        <v>315.06466790224783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11.5</v>
      </c>
      <c r="DO36" s="13">
        <f>IF('Données projet'!$A$166&gt;35,DO35+DN36-DW35,IF(A36&lt;'Données projet'!$A$166,$DL$205^A36,IF(A36='Données projet'!$A$166,'Données projet'!$B$166,DO35+DN36-DW35)))</f>
        <v>141.99999999999994</v>
      </c>
      <c r="DP36" s="18">
        <f>DO36*VLOOKUP('Données projet'!$B$14,Paramètres!$A$1:$I$89,3,0)*VLOOKUP('Données projet'!$B$14,Paramètres!$A$1:$I$89,5,0)</f>
        <v>110.75999999999996</v>
      </c>
      <c r="DQ36" s="14">
        <f t="shared" si="43"/>
        <v>29.509974682362923</v>
      </c>
      <c r="DR36" s="22">
        <f t="shared" si="16"/>
        <v>244.30353923844871</v>
      </c>
      <c r="DS36" s="62">
        <f t="shared" si="17"/>
        <v>486.18438507298947</v>
      </c>
      <c r="DT36" s="62">
        <f ca="1">AVERAGE(OFFSET($DS$3,0,0,'Données projet'!$E$14+1,1))-AVERAGE(OFFSET($H$3,0,0,'Données projet'!$E$14+1,1))</f>
        <v>309.21625451786218</v>
      </c>
      <c r="DU36" s="62">
        <f t="shared" si="44"/>
        <v>302.59481222418219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8.6</v>
      </c>
      <c r="EJ36" s="13">
        <f>IF('Données projet'!$A$192&gt;35,EJ35+EI36-ER35,IF(A36&lt;'Données projet'!$A$192,$EG$205^A36,IF(A36='Données projet'!$A$192,'Données projet'!$B$192,EJ35+EI36-ER35)))</f>
        <v>139.79999999999998</v>
      </c>
      <c r="EK36" s="18">
        <f>EJ36*VLOOKUP('Données projet'!$B$15,Paramètres!$A$1:$I$89,3,0)*VLOOKUP('Données projet'!$B$15,Paramètres!$A$1:$I$89,5,0)</f>
        <v>122.12927999999999</v>
      </c>
      <c r="EL36" s="14">
        <f t="shared" si="45"/>
        <v>32.171109382958193</v>
      </c>
      <c r="EM36" s="22">
        <f t="shared" si="19"/>
        <v>268.73984484198553</v>
      </c>
      <c r="EN36" s="62">
        <f t="shared" si="20"/>
        <v>510.62069067652624</v>
      </c>
      <c r="EO36" s="62">
        <f ca="1">AVERAGE(OFFSET($EN$3,0,0,'Données projet'!$E$15+1,1))-AVERAGE(OFFSET($H$3,0,0,'Données projet'!$E$15+1,1))</f>
        <v>298.56812743477741</v>
      </c>
      <c r="EP36" s="62">
        <f t="shared" si="46"/>
        <v>276.01618888357268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8.717948717948719</v>
      </c>
      <c r="FE36" s="13">
        <f>IF('Données projet'!$A$218&gt;35,FE35+FD36-FM35,IF(A36&lt;'Données projet'!$A$218,$FB$205^A36,IF(A36='Données projet'!$A$218,'Données projet'!$B$218,FE35+FD36-FM35)))</f>
        <v>171.02564102564105</v>
      </c>
      <c r="FF36" s="18">
        <f>FE36*VLOOKUP('Données projet'!$B$16,Paramètres!$A$1:$I$89,3,0)*VLOOKUP('Données projet'!$B$16,Paramètres!$A$1:$I$89,5,0)</f>
        <v>114.72400000000003</v>
      </c>
      <c r="FG36" s="14">
        <f t="shared" si="47"/>
        <v>30.441257404392591</v>
      </c>
      <c r="FH36" s="22">
        <f t="shared" si="22"/>
        <v>252.82948997931717</v>
      </c>
      <c r="FI36" s="62">
        <f t="shared" si="23"/>
        <v>494.71033581385791</v>
      </c>
      <c r="FJ36" s="62">
        <f ca="1">AVERAGE(OFFSET($FI$3,0,0,'Données projet'!$E$16+1,1))-AVERAGE(OFFSET($H$3,0,0,'Données projet'!$E$16+1,1))</f>
        <v>396.0878652679051</v>
      </c>
      <c r="FK36" s="62">
        <f t="shared" si="48"/>
        <v>327.26339199235406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9">
        <f t="shared" si="1"/>
        <v>183.33333333333334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14.166666666666666</v>
      </c>
      <c r="N37" s="14">
        <f>IF('Données projet'!$A$36&gt;35,N36+M37-V36,IF(A37&lt;'Données projet'!$A$36,$K$205^A37,IF(A37='Données projet'!$A$36,'Données projet'!$B$36,N36+M37-V36)))</f>
        <v>145.66666666666666</v>
      </c>
      <c r="O37" s="14">
        <f>N37*VLOOKUP('Données projet'!$B$9,Paramètres!$A$1:$I$89,3,0)*VLOOKUP('Données projet'!$B$9,Paramètres!$A$1:$I$89,5,0)</f>
        <v>124.98200000000001</v>
      </c>
      <c r="P37" s="14">
        <f t="shared" si="33"/>
        <v>32.834203796212122</v>
      </c>
      <c r="Q37" s="22">
        <f t="shared" si="53"/>
        <v>274.86322161173609</v>
      </c>
      <c r="R37" s="62">
        <f t="shared" si="0"/>
        <v>517.63665307385168</v>
      </c>
      <c r="S37" s="62">
        <f ca="1">AVERAGE(OFFSET($R$3,0,0,'Données projet'!$E$9+1,1))-AVERAGE(OFFSET($H$3,0,0,'Données projet'!$E$9+1,1))</f>
        <v>478.11504516179713</v>
      </c>
      <c r="T37" s="62">
        <f t="shared" si="34"/>
        <v>249.93713224442419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12.919999999999998</v>
      </c>
      <c r="AI37" s="14">
        <f>IF('Données projet'!$A$62&gt;35,AI36+AH37-AQ36,IF(A37&lt;'Données projet'!$A$62,$AF$205^A37,IF(A37='Données projet'!$A$62,'Données projet'!$B$62,AI36+AH37-AQ36)))</f>
        <v>193.4799999999999</v>
      </c>
      <c r="AJ37" s="14">
        <f>AI37*VLOOKUP('Données projet'!$B$10,Paramètres!$A$1:$I$89,3,0)*VLOOKUP('Données projet'!$B$10,Paramètres!$A$1:$I$89,5,0)</f>
        <v>153.93268799999993</v>
      </c>
      <c r="AK37" s="14">
        <f t="shared" si="35"/>
        <v>39.470952496040077</v>
      </c>
      <c r="AL37" s="22">
        <f t="shared" si="4"/>
        <v>336.84467386393629</v>
      </c>
      <c r="AM37" s="62">
        <f t="shared" si="5"/>
        <v>579.61810532605182</v>
      </c>
      <c r="AN37" s="62">
        <f ca="1">AVERAGE(OFFSET($AM$3,0,0,'Données projet'!$E$10+1,1))-AVERAGE(OFFSET($H$3,0,0,'Données projet'!$E$10+1,1))</f>
        <v>394.49874384716014</v>
      </c>
      <c r="AO37" s="62">
        <f t="shared" si="36"/>
        <v>423.72519584013378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12.919999999999998</v>
      </c>
      <c r="BD37" s="13">
        <f>IF('Données projet'!$A$88&gt;35,BD36+BC37-BL36,IF(A37&lt;'Données projet'!$A$88,$BA$205^A37,IF(A37='Données projet'!$A$88,'Données projet'!$B$88,BD36+BC37-BL36)))</f>
        <v>193.4799999999999</v>
      </c>
      <c r="BE37" s="14">
        <f>BD37*VLOOKUP('Données projet'!$B$11,Paramètres!$A$1:$I$89,3,0)*VLOOKUP('Données projet'!$B$11,Paramètres!$A$1:$I$89,5,0)</f>
        <v>153.93268799999993</v>
      </c>
      <c r="BF37" s="14">
        <f t="shared" si="37"/>
        <v>39.470952496040077</v>
      </c>
      <c r="BG37" s="22">
        <f t="shared" si="7"/>
        <v>336.84467386393629</v>
      </c>
      <c r="BH37" s="62">
        <f t="shared" si="8"/>
        <v>579.61810532605182</v>
      </c>
      <c r="BI37" s="62">
        <f ca="1">AVERAGE(OFFSET($BH$3,0,0,'Données projet'!$E$11+1,1))-AVERAGE(OFFSET($H$3,0,0,'Données projet'!$E$11+1,1))</f>
        <v>394.49874384716014</v>
      </c>
      <c r="BJ37" s="62">
        <f t="shared" si="38"/>
        <v>423.72519584013378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104.4576</v>
      </c>
      <c r="CA37" s="14">
        <f t="shared" si="39"/>
        <v>28.021248860498272</v>
      </c>
      <c r="CB37" s="22">
        <f t="shared" si="10"/>
        <v>230.73399509870114</v>
      </c>
      <c r="CC37" s="62">
        <f t="shared" si="11"/>
        <v>473.50742656081673</v>
      </c>
      <c r="CD37" s="62">
        <f ca="1">AVERAGE(OFFSET($CC$3,0,0,'Données projet'!$E$12+1,1))-AVERAGE(OFFSET($H$3,0,0,'Données projet'!$E$12+1,1))</f>
        <v>496.33873798282525</v>
      </c>
      <c r="CE37" s="62">
        <f t="shared" si="40"/>
        <v>280.25465074992246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7.1794871794871797</v>
      </c>
      <c r="CT37" s="13">
        <f>IF('Données projet'!$A$140&gt;35,CT36+CS37-DB36,IF(A37&lt;'Données projet'!$A$140,$CQ$205^A37,IF(A37='Données projet'!$A$140,'Données projet'!$B$140,CT36+CS37-DB36)))</f>
        <v>152.43589743589743</v>
      </c>
      <c r="CU37" s="18">
        <f>CT37*VLOOKUP('Données projet'!$B$13,Paramètres!$A$1:$I$89,3,0)*VLOOKUP('Données projet'!$B$13,Paramètres!$A$1:$I$89,5,0)</f>
        <v>145.05799999999999</v>
      </c>
      <c r="CV37" s="14">
        <f t="shared" si="41"/>
        <v>37.453317998658314</v>
      </c>
      <c r="CW37" s="22">
        <f t="shared" si="13"/>
        <v>317.87387884766321</v>
      </c>
      <c r="CX37" s="62">
        <f t="shared" si="14"/>
        <v>560.64731030977873</v>
      </c>
      <c r="CY37" s="62">
        <f ca="1">AVERAGE(OFFSET($CX$3,0,0,'Données projet'!$E$13+1,1))-AVERAGE(OFFSET($H$3,0,0,'Données projet'!$E$13+1,1))</f>
        <v>441.15969139782891</v>
      </c>
      <c r="CZ37" s="62">
        <f t="shared" si="42"/>
        <v>315.06466790224783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11.5</v>
      </c>
      <c r="DO37" s="13">
        <f>IF('Données projet'!$A$166&gt;35,DO36+DN37-DW36,IF(A37&lt;'Données projet'!$A$166,$DL$205^A37,IF(A37='Données projet'!$A$166,'Données projet'!$B$166,DO36+DN37-DW36)))</f>
        <v>153.49999999999994</v>
      </c>
      <c r="DP37" s="18">
        <f>DO37*VLOOKUP('Données projet'!$B$14,Paramètres!$A$1:$I$89,3,0)*VLOOKUP('Données projet'!$B$14,Paramètres!$A$1:$I$89,5,0)</f>
        <v>119.72999999999996</v>
      </c>
      <c r="DQ37" s="14">
        <f t="shared" si="43"/>
        <v>31.612017974790529</v>
      </c>
      <c r="DR37" s="22">
        <f t="shared" si="16"/>
        <v>263.58734797276003</v>
      </c>
      <c r="DS37" s="62">
        <f t="shared" si="17"/>
        <v>506.36077943487561</v>
      </c>
      <c r="DT37" s="62">
        <f ca="1">AVERAGE(OFFSET($DS$3,0,0,'Données projet'!$E$14+1,1))-AVERAGE(OFFSET($H$3,0,0,'Données projet'!$E$14+1,1))</f>
        <v>309.21625451786218</v>
      </c>
      <c r="DU37" s="62">
        <f t="shared" si="44"/>
        <v>302.59481222418219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8.6</v>
      </c>
      <c r="EJ37" s="13">
        <f>IF('Données projet'!$A$192&gt;35,EJ36+EI37-ER36,IF(A37&lt;'Données projet'!$A$192,$EG$205^A37,IF(A37='Données projet'!$A$192,'Données projet'!$B$192,EJ36+EI37-ER36)))</f>
        <v>148.39999999999998</v>
      </c>
      <c r="EK37" s="18">
        <f>EJ37*VLOOKUP('Données projet'!$B$15,Paramètres!$A$1:$I$89,3,0)*VLOOKUP('Données projet'!$B$15,Paramètres!$A$1:$I$89,5,0)</f>
        <v>129.64224000000002</v>
      </c>
      <c r="EL37" s="14">
        <f t="shared" si="45"/>
        <v>33.91367824625322</v>
      </c>
      <c r="EM37" s="22">
        <f t="shared" si="19"/>
        <v>284.85989094555777</v>
      </c>
      <c r="EN37" s="62">
        <f t="shared" si="20"/>
        <v>527.6333224076734</v>
      </c>
      <c r="EO37" s="62">
        <f ca="1">AVERAGE(OFFSET($EN$3,0,0,'Données projet'!$E$15+1,1))-AVERAGE(OFFSET($H$3,0,0,'Données projet'!$E$15+1,1))</f>
        <v>298.56812743477741</v>
      </c>
      <c r="EP37" s="62">
        <f t="shared" si="46"/>
        <v>276.01618888357268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8.717948717948719</v>
      </c>
      <c r="FE37" s="13">
        <f>IF('Données projet'!$A$218&gt;35,FE36+FD37-FM36,IF(A37&lt;'Données projet'!$A$218,$FB$205^A37,IF(A37='Données projet'!$A$218,'Données projet'!$B$218,FE36+FD37-FM36)))</f>
        <v>179.74358974358978</v>
      </c>
      <c r="FF37" s="18">
        <f>FE37*VLOOKUP('Données projet'!$B$16,Paramètres!$A$1:$I$89,3,0)*VLOOKUP('Données projet'!$B$16,Paramètres!$A$1:$I$89,5,0)</f>
        <v>120.57200000000003</v>
      </c>
      <c r="FG37" s="14">
        <f t="shared" si="47"/>
        <v>31.808371955809051</v>
      </c>
      <c r="FH37" s="22">
        <f t="shared" si="22"/>
        <v>265.3958144897008</v>
      </c>
      <c r="FI37" s="62">
        <f t="shared" si="23"/>
        <v>508.16924595181638</v>
      </c>
      <c r="FJ37" s="62">
        <f ca="1">AVERAGE(OFFSET($FI$3,0,0,'Données projet'!$E$16+1,1))-AVERAGE(OFFSET($H$3,0,0,'Données projet'!$E$16+1,1))</f>
        <v>396.0878652679051</v>
      </c>
      <c r="FK37" s="62">
        <f t="shared" si="48"/>
        <v>327.26339199235406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9">
        <f t="shared" si="1"/>
        <v>183.33333333333334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14.166666666666666</v>
      </c>
      <c r="N38" s="14">
        <f>IF('Données projet'!$A$36&gt;35,N37+M38-V37,IF(A38&lt;'Données projet'!$A$36,$K$205^A38,IF(A38='Données projet'!$A$36,'Données projet'!$B$36,N37+M38-V37)))</f>
        <v>159.83333333333331</v>
      </c>
      <c r="O38" s="14">
        <f>N38*VLOOKUP('Données projet'!$B$9,Paramètres!$A$1:$I$89,3,0)*VLOOKUP('Données projet'!$B$9,Paramètres!$A$1:$I$89,5,0)</f>
        <v>137.137</v>
      </c>
      <c r="P38" s="14">
        <f t="shared" si="33"/>
        <v>35.64034577929781</v>
      </c>
      <c r="Q38" s="22">
        <f t="shared" si="53"/>
        <v>300.92054389894366</v>
      </c>
      <c r="R38" s="62">
        <f t="shared" si="0"/>
        <v>544.57107662351814</v>
      </c>
      <c r="S38" s="62">
        <f ca="1">AVERAGE(OFFSET($R$3,0,0,'Données projet'!$E$9+1,1))-AVERAGE(OFFSET($H$3,0,0,'Données projet'!$E$9+1,1))</f>
        <v>478.11504516179713</v>
      </c>
      <c r="T38" s="62">
        <f t="shared" si="34"/>
        <v>249.93713224442419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206.4</v>
      </c>
      <c r="AG38" s="13">
        <f>VLOOKUP(A38,'Données projet'!$A$61:$I$81,9,0)</f>
        <v>12.919999999999998</v>
      </c>
      <c r="AH38" s="13">
        <f t="array" ref="AH38">INDEX(AG:AG,MIN(IF(ISNUMBER(AG38:AG234),ROW(AG38:AG234),"")))</f>
        <v>12.919999999999998</v>
      </c>
      <c r="AI38" s="14">
        <f>IF('Données projet'!$A$62&gt;35,AI37+AH38-AQ37,IF(A38&lt;'Données projet'!$A$62,$AF$205^A38,IF(A38='Données projet'!$A$62,'Données projet'!$B$62,AI37+AH38-AQ37)))</f>
        <v>206.39999999999989</v>
      </c>
      <c r="AJ38" s="14">
        <f>AI38*VLOOKUP('Données projet'!$B$10,Paramètres!$A$1:$I$89,3,0)*VLOOKUP('Données projet'!$B$10,Paramètres!$A$1:$I$89,5,0)</f>
        <v>164.21183999999994</v>
      </c>
      <c r="AK38" s="14">
        <f t="shared" si="35"/>
        <v>41.79106629541738</v>
      </c>
      <c r="AL38" s="22">
        <f t="shared" si="4"/>
        <v>358.78839513118515</v>
      </c>
      <c r="AM38" s="62">
        <f t="shared" si="5"/>
        <v>602.43892785575963</v>
      </c>
      <c r="AN38" s="62">
        <f ca="1">AVERAGE(OFFSET($AM$3,0,0,'Données projet'!$E$10+1,1))-AVERAGE(OFFSET($H$3,0,0,'Données projet'!$E$10+1,1))</f>
        <v>394.49874384716014</v>
      </c>
      <c r="AO38" s="62">
        <f t="shared" si="36"/>
        <v>423.72519584013378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206.4</v>
      </c>
      <c r="BB38" s="13">
        <f>VLOOKUP(A38,'Données projet'!$A$87:$I$107,9,0)</f>
        <v>12.919999999999998</v>
      </c>
      <c r="BC38" s="13">
        <f t="array" ref="BC38">INDEX(BB:BB,MIN(IF(ISNUMBER(BB38:BB234),ROW(BB38:BB234),"")))</f>
        <v>12.919999999999998</v>
      </c>
      <c r="BD38" s="13">
        <f>IF('Données projet'!$A$88&gt;35,BD37+BC38-BL37,IF(A38&lt;'Données projet'!$A$88,$BA$205^A38,IF(A38='Données projet'!$A$88,'Données projet'!$B$88,BD37+BC38-BL37)))</f>
        <v>206.39999999999989</v>
      </c>
      <c r="BE38" s="14">
        <f>BD38*VLOOKUP('Données projet'!$B$11,Paramètres!$A$1:$I$89,3,0)*VLOOKUP('Données projet'!$B$11,Paramètres!$A$1:$I$89,5,0)</f>
        <v>164.21183999999994</v>
      </c>
      <c r="BF38" s="14">
        <f t="shared" si="37"/>
        <v>41.79106629541738</v>
      </c>
      <c r="BG38" s="22">
        <f t="shared" si="7"/>
        <v>358.78839513118515</v>
      </c>
      <c r="BH38" s="62">
        <f t="shared" si="8"/>
        <v>602.43892785575963</v>
      </c>
      <c r="BI38" s="62">
        <f ca="1">AVERAGE(OFFSET($BH$3,0,0,'Données projet'!$E$11+1,1))-AVERAGE(OFFSET($H$3,0,0,'Données projet'!$E$11+1,1))</f>
        <v>394.49874384716014</v>
      </c>
      <c r="BJ38" s="62">
        <f t="shared" si="38"/>
        <v>423.72519584013378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112.1952</v>
      </c>
      <c r="CA38" s="14">
        <f t="shared" si="39"/>
        <v>29.847594514573263</v>
      </c>
      <c r="CB38" s="22">
        <f t="shared" si="10"/>
        <v>247.39120044621509</v>
      </c>
      <c r="CC38" s="62">
        <f t="shared" si="11"/>
        <v>491.0417331707896</v>
      </c>
      <c r="CD38" s="62">
        <f ca="1">AVERAGE(OFFSET($CC$3,0,0,'Données projet'!$E$12+1,1))-AVERAGE(OFFSET($H$3,0,0,'Données projet'!$E$12+1,1))</f>
        <v>496.33873798282525</v>
      </c>
      <c r="CE38" s="62">
        <f t="shared" si="40"/>
        <v>280.25465074992246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159.61538461538461</v>
      </c>
      <c r="CR38" s="13">
        <f>VLOOKUP(A38,'Données projet'!$A$139:$I$159,9,0)</f>
        <v>7.1794871794871797</v>
      </c>
      <c r="CS38" s="13">
        <f t="array" ref="CS38">INDEX(CR:CR,MIN(IF(ISNUMBER(CR38:CR234),ROW(CR38:CR234),"")))</f>
        <v>7.1794871794871797</v>
      </c>
      <c r="CT38" s="13">
        <f>IF('Données projet'!$A$140&gt;35,CT37+CS38-DB37,IF(A38&lt;'Données projet'!$A$140,$CQ$205^A38,IF(A38='Données projet'!$A$140,'Données projet'!$B$140,CT37+CS38-DB37)))</f>
        <v>159.61538461538461</v>
      </c>
      <c r="CU38" s="18">
        <f>CT38*VLOOKUP('Données projet'!$B$13,Paramètres!$A$1:$I$89,3,0)*VLOOKUP('Données projet'!$B$13,Paramètres!$A$1:$I$89,5,0)</f>
        <v>151.89000000000001</v>
      </c>
      <c r="CV38" s="14">
        <f t="shared" si="41"/>
        <v>39.007781402191782</v>
      </c>
      <c r="CW38" s="22">
        <f t="shared" si="13"/>
        <v>332.48030260881734</v>
      </c>
      <c r="CX38" s="62">
        <f t="shared" si="14"/>
        <v>576.13083533339181</v>
      </c>
      <c r="CY38" s="62">
        <f ca="1">AVERAGE(OFFSET($CX$3,0,0,'Données projet'!$E$13+1,1))-AVERAGE(OFFSET($H$3,0,0,'Données projet'!$E$13+1,1))</f>
        <v>441.15969139782891</v>
      </c>
      <c r="CZ38" s="62">
        <f t="shared" si="42"/>
        <v>315.06466790224783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33.333333333333336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11.5</v>
      </c>
      <c r="DO38" s="13">
        <f>IF('Données projet'!$A$166&gt;35,DO37+DN38-DW37,IF(A38&lt;'Données projet'!$A$166,$DL$205^A38,IF(A38='Données projet'!$A$166,'Données projet'!$B$166,DO37+DN38-DW37)))</f>
        <v>164.99999999999994</v>
      </c>
      <c r="DP38" s="18">
        <f>DO38*VLOOKUP('Données projet'!$B$14,Paramètres!$A$1:$I$89,3,0)*VLOOKUP('Données projet'!$B$14,Paramètres!$A$1:$I$89,5,0)</f>
        <v>128.69999999999996</v>
      </c>
      <c r="DQ38" s="14">
        <f t="shared" si="43"/>
        <v>33.695792019186115</v>
      </c>
      <c r="DR38" s="22">
        <f t="shared" si="16"/>
        <v>282.83933776674911</v>
      </c>
      <c r="DS38" s="62">
        <f t="shared" si="17"/>
        <v>526.48987049132359</v>
      </c>
      <c r="DT38" s="62">
        <f ca="1">AVERAGE(OFFSET($DS$3,0,0,'Données projet'!$E$14+1,1))-AVERAGE(OFFSET($H$3,0,0,'Données projet'!$E$14+1,1))</f>
        <v>309.21625451786218</v>
      </c>
      <c r="DU38" s="62">
        <f t="shared" si="44"/>
        <v>302.59481222418219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157</v>
      </c>
      <c r="EH38" s="13">
        <f>VLOOKUP(A38,'Données projet'!$A$191:$I$211,9,0)</f>
        <v>8.6</v>
      </c>
      <c r="EI38" s="13">
        <f t="array" ref="EI38">INDEX(EH:EH,MIN(IF(ISNUMBER(EH38:EH234),ROW(EH38:EH234),"")))</f>
        <v>8.6</v>
      </c>
      <c r="EJ38" s="13">
        <f>IF('Données projet'!$A$192&gt;35,EJ37+EI38-ER37,IF(A38&lt;'Données projet'!$A$192,$EG$205^A38,IF(A38='Données projet'!$A$192,'Données projet'!$B$192,EJ37+EI38-ER37)))</f>
        <v>156.99999999999997</v>
      </c>
      <c r="EK38" s="18">
        <f>EJ38*VLOOKUP('Données projet'!$B$15,Paramètres!$A$1:$I$89,3,0)*VLOOKUP('Données projet'!$B$15,Paramètres!$A$1:$I$89,5,0)</f>
        <v>137.15519999999998</v>
      </c>
      <c r="EL38" s="14">
        <f t="shared" si="45"/>
        <v>35.644525151069693</v>
      </c>
      <c r="EM38" s="22">
        <f t="shared" si="19"/>
        <v>300.95952130477968</v>
      </c>
      <c r="EN38" s="62">
        <f t="shared" si="20"/>
        <v>544.61005402935416</v>
      </c>
      <c r="EO38" s="62">
        <f ca="1">AVERAGE(OFFSET($EN$3,0,0,'Données projet'!$E$15+1,1))-AVERAGE(OFFSET($H$3,0,0,'Données projet'!$E$15+1,1))</f>
        <v>298.56812743477741</v>
      </c>
      <c r="EP38" s="62">
        <f t="shared" si="46"/>
        <v>276.01618888357268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42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188.46153846153845</v>
      </c>
      <c r="FC38" s="13">
        <f>VLOOKUP(A38,'Données projet'!$A$217:$I$237,9,0)</f>
        <v>8.717948717948719</v>
      </c>
      <c r="FD38" s="13">
        <f t="array" ref="FD38">INDEX(FC:FC,MIN(IF(ISNUMBER(FC38:FC234),ROW(FC38:FC234),"")))</f>
        <v>8.717948717948719</v>
      </c>
      <c r="FE38" s="13">
        <f>IF('Données projet'!$A$218&gt;35,FE37+FD38-FM37,IF(A38&lt;'Données projet'!$A$218,$FB$205^A38,IF(A38='Données projet'!$A$218,'Données projet'!$B$218,FE37+FD38-FM37)))</f>
        <v>188.46153846153851</v>
      </c>
      <c r="FF38" s="18">
        <f>FE38*VLOOKUP('Données projet'!$B$16,Paramètres!$A$1:$I$89,3,0)*VLOOKUP('Données projet'!$B$16,Paramètres!$A$1:$I$89,5,0)</f>
        <v>126.42000000000004</v>
      </c>
      <c r="FG38" s="14">
        <f t="shared" si="47"/>
        <v>33.167786817172477</v>
      </c>
      <c r="FH38" s="22">
        <f t="shared" si="22"/>
        <v>277.94872870657542</v>
      </c>
      <c r="FI38" s="62">
        <f t="shared" si="23"/>
        <v>521.5992614311499</v>
      </c>
      <c r="FJ38" s="62">
        <f ca="1">AVERAGE(OFFSET($FI$3,0,0,'Données projet'!$E$16+1,1))-AVERAGE(OFFSET($H$3,0,0,'Données projet'!$E$16+1,1))</f>
        <v>396.0878652679051</v>
      </c>
      <c r="FK38" s="62">
        <f t="shared" si="48"/>
        <v>327.26339199235406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9">
        <f t="shared" si="1"/>
        <v>183.33333333333334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174</v>
      </c>
      <c r="L39" s="13">
        <f>VLOOKUP(A39,'Données projet'!$A$35:$I$55,9,0)</f>
        <v>14.166666666666666</v>
      </c>
      <c r="M39" s="13">
        <f t="array" ref="M39">INDEX(L:L,MIN(IF(ISNUMBER(L39:L235),ROW(L39:L235),"")))</f>
        <v>14.166666666666666</v>
      </c>
      <c r="N39" s="14">
        <f>IF('Données projet'!$A$36&gt;35,N38+M39-V38,IF(A39&lt;'Données projet'!$A$36,$K$205^A39,IF(A39='Données projet'!$A$36,'Données projet'!$B$36,N38+M39-V38)))</f>
        <v>173.99999999999997</v>
      </c>
      <c r="O39" s="14">
        <f>N39*VLOOKUP('Données projet'!$B$9,Paramètres!$A$1:$I$89,3,0)*VLOOKUP('Données projet'!$B$9,Paramètres!$A$1:$I$89,5,0)</f>
        <v>149.29199999999997</v>
      </c>
      <c r="P39" s="14">
        <f t="shared" si="33"/>
        <v>38.417645803815411</v>
      </c>
      <c r="Q39" s="22">
        <f t="shared" si="53"/>
        <v>326.9276331083118</v>
      </c>
      <c r="R39" s="62">
        <f t="shared" si="0"/>
        <v>571.44005134934628</v>
      </c>
      <c r="S39" s="62">
        <f ca="1">AVERAGE(OFFSET($R$3,0,0,'Données projet'!$E$9+1,1))-AVERAGE(OFFSET($H$3,0,0,'Données projet'!$E$9+1,1))</f>
        <v>478.11504516179713</v>
      </c>
      <c r="T39" s="62">
        <f t="shared" si="34"/>
        <v>249.93713224442419</v>
      </c>
      <c r="U39" s="16">
        <f>IF(ISNA(VLOOKUP(A39,'Données projet'!$A$35:$I$55,3,0)),0,VLOOKUP(A39,'Données projet'!$A$35:$I$55,3,0))</f>
        <v>3</v>
      </c>
      <c r="V39" s="16">
        <f>IF(ISNA(VLOOKUP(A39,'Données projet'!$A$35:$I$55,4,0)),0,VLOOKUP(A39,'Données projet'!$A$35:$I$55,4,0))</f>
        <v>60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11.340000000000003</v>
      </c>
      <c r="AI39" s="14">
        <f>IF('Données projet'!$A$62&gt;35,AI38+AH39-AQ38,IF(A39&lt;'Données projet'!$A$62,$AF$205^A39,IF(A39='Données projet'!$A$62,'Données projet'!$B$62,AI38+AH39-AQ38)))</f>
        <v>217.7399999999999</v>
      </c>
      <c r="AJ39" s="14">
        <f>AI39*VLOOKUP('Données projet'!$B$10,Paramètres!$A$1:$I$89,3,0)*VLOOKUP('Données projet'!$B$10,Paramètres!$A$1:$I$89,5,0)</f>
        <v>173.23394399999992</v>
      </c>
      <c r="AK39" s="14">
        <f t="shared" si="35"/>
        <v>43.813523178063591</v>
      </c>
      <c r="AL39" s="22">
        <f t="shared" si="4"/>
        <v>378.02433866846064</v>
      </c>
      <c r="AM39" s="62">
        <f t="shared" si="5"/>
        <v>622.53675690949513</v>
      </c>
      <c r="AN39" s="62">
        <f ca="1">AVERAGE(OFFSET($AM$3,0,0,'Données projet'!$E$10+1,1))-AVERAGE(OFFSET($H$3,0,0,'Données projet'!$E$10+1,1))</f>
        <v>394.49874384716014</v>
      </c>
      <c r="AO39" s="62">
        <f t="shared" si="36"/>
        <v>423.72519584013378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11.340000000000003</v>
      </c>
      <c r="BD39" s="13">
        <f>IF('Données projet'!$A$88&gt;35,BD38+BC39-BL38,IF(A39&lt;'Données projet'!$A$88,$BA$205^A39,IF(A39='Données projet'!$A$88,'Données projet'!$B$88,BD38+BC39-BL38)))</f>
        <v>217.7399999999999</v>
      </c>
      <c r="BE39" s="14">
        <f>BD39*VLOOKUP('Données projet'!$B$11,Paramètres!$A$1:$I$89,3,0)*VLOOKUP('Données projet'!$B$11,Paramètres!$A$1:$I$89,5,0)</f>
        <v>173.23394399999992</v>
      </c>
      <c r="BF39" s="14">
        <f t="shared" si="37"/>
        <v>43.813523178063591</v>
      </c>
      <c r="BG39" s="22">
        <f t="shared" si="7"/>
        <v>378.02433866846064</v>
      </c>
      <c r="BH39" s="62">
        <f t="shared" si="8"/>
        <v>622.53675690949513</v>
      </c>
      <c r="BI39" s="62">
        <f ca="1">AVERAGE(OFFSET($BH$3,0,0,'Données projet'!$E$11+1,1))-AVERAGE(OFFSET($H$3,0,0,'Données projet'!$E$11+1,1))</f>
        <v>394.49874384716014</v>
      </c>
      <c r="BJ39" s="62">
        <f t="shared" si="38"/>
        <v>423.72519584013378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120.31968000000001</v>
      </c>
      <c r="CA39" s="14">
        <f t="shared" si="39"/>
        <v>31.74954785566829</v>
      </c>
      <c r="CB39" s="22">
        <f t="shared" si="10"/>
        <v>264.85390518195555</v>
      </c>
      <c r="CC39" s="62">
        <f t="shared" si="11"/>
        <v>509.36632342298998</v>
      </c>
      <c r="CD39" s="62">
        <f ca="1">AVERAGE(OFFSET($CC$3,0,0,'Données projet'!$E$12+1,1))-AVERAGE(OFFSET($H$3,0,0,'Données projet'!$E$12+1,1))</f>
        <v>496.33873798282525</v>
      </c>
      <c r="CE39" s="62">
        <f t="shared" si="40"/>
        <v>280.25465074992246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6.7948717948717956</v>
      </c>
      <c r="CT39" s="13">
        <f>IF('Données projet'!$A$140&gt;35,CT38+CS39-DB38,IF(A39&lt;'Données projet'!$A$140,$CQ$205^A39,IF(A39='Données projet'!$A$140,'Données projet'!$B$140,CT38+CS39-DB38)))</f>
        <v>133.07692307692307</v>
      </c>
      <c r="CU39" s="18">
        <f>CT39*VLOOKUP('Données projet'!$B$13,Paramètres!$A$1:$I$89,3,0)*VLOOKUP('Données projet'!$B$13,Paramètres!$A$1:$I$89,5,0)</f>
        <v>126.636</v>
      </c>
      <c r="CV39" s="14">
        <f t="shared" si="41"/>
        <v>33.217855596652925</v>
      </c>
      <c r="CW39" s="22">
        <f t="shared" si="13"/>
        <v>278.41213183083715</v>
      </c>
      <c r="CX39" s="62">
        <f t="shared" si="14"/>
        <v>522.92455007187164</v>
      </c>
      <c r="CY39" s="62">
        <f ca="1">AVERAGE(OFFSET($CX$3,0,0,'Données projet'!$E$13+1,1))-AVERAGE(OFFSET($H$3,0,0,'Données projet'!$E$13+1,1))</f>
        <v>441.15969139782891</v>
      </c>
      <c r="CZ39" s="62">
        <f t="shared" si="42"/>
        <v>315.06466790224783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11.5</v>
      </c>
      <c r="DO39" s="13">
        <f>IF('Données projet'!$A$166&gt;35,DO38+DN39-DW38,IF(A39&lt;'Données projet'!$A$166,$DL$205^A39,IF(A39='Données projet'!$A$166,'Données projet'!$B$166,DO38+DN39-DW38)))</f>
        <v>176.49999999999994</v>
      </c>
      <c r="DP39" s="18">
        <f>DO39*VLOOKUP('Données projet'!$B$14,Paramètres!$A$1:$I$89,3,0)*VLOOKUP('Données projet'!$B$14,Paramètres!$A$1:$I$89,5,0)</f>
        <v>137.66999999999996</v>
      </c>
      <c r="DQ39" s="14">
        <f t="shared" si="43"/>
        <v>35.762714965854656</v>
      </c>
      <c r="DR39" s="22">
        <f t="shared" si="16"/>
        <v>302.06197856553007</v>
      </c>
      <c r="DS39" s="62">
        <f t="shared" si="17"/>
        <v>546.57439680656444</v>
      </c>
      <c r="DT39" s="62">
        <f ca="1">AVERAGE(OFFSET($DS$3,0,0,'Données projet'!$E$14+1,1))-AVERAGE(OFFSET($H$3,0,0,'Données projet'!$E$14+1,1))</f>
        <v>309.21625451786218</v>
      </c>
      <c r="DU39" s="62">
        <f t="shared" si="44"/>
        <v>302.59481222418219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7.6</v>
      </c>
      <c r="EJ39" s="13">
        <f>IF('Données projet'!$A$192&gt;35,EJ38+EI39-ER38,IF(A39&lt;'Données projet'!$A$192,$EG$205^A39,IF(A39='Données projet'!$A$192,'Données projet'!$B$192,EJ38+EI39-ER38)))</f>
        <v>122.59999999999997</v>
      </c>
      <c r="EK39" s="18">
        <f>EJ39*VLOOKUP('Données projet'!$B$15,Paramètres!$A$1:$I$89,3,0)*VLOOKUP('Données projet'!$B$15,Paramètres!$A$1:$I$89,5,0)</f>
        <v>107.10336</v>
      </c>
      <c r="EL39" s="14">
        <f t="shared" si="45"/>
        <v>28.647457255358184</v>
      </c>
      <c r="EM39" s="22">
        <f t="shared" si="19"/>
        <v>236.43267338641553</v>
      </c>
      <c r="EN39" s="62">
        <f t="shared" si="20"/>
        <v>480.94509162744998</v>
      </c>
      <c r="EO39" s="62">
        <f ca="1">AVERAGE(OFFSET($EN$3,0,0,'Données projet'!$E$15+1,1))-AVERAGE(OFFSET($H$3,0,0,'Données projet'!$E$15+1,1))</f>
        <v>298.56812743477741</v>
      </c>
      <c r="EP39" s="62">
        <f t="shared" si="46"/>
        <v>276.01618888357268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7.9487179487179507</v>
      </c>
      <c r="FE39" s="13">
        <f>IF('Données projet'!$A$218&gt;35,FE38+FD39-FM38,IF(A39&lt;'Données projet'!$A$218,$FB$205^A39,IF(A39='Données projet'!$A$218,'Données projet'!$B$218,FE38+FD39-FM38)))</f>
        <v>196.41025641025647</v>
      </c>
      <c r="FF39" s="18">
        <f>FE39*VLOOKUP('Données projet'!$B$16,Paramètres!$A$1:$I$89,3,0)*VLOOKUP('Données projet'!$B$16,Paramètres!$A$1:$I$89,5,0)</f>
        <v>131.75200000000004</v>
      </c>
      <c r="FG39" s="14">
        <f t="shared" si="47"/>
        <v>34.400879137880764</v>
      </c>
      <c r="FH39" s="22">
        <f t="shared" si="22"/>
        <v>289.38293116514234</v>
      </c>
      <c r="FI39" s="62">
        <f t="shared" si="23"/>
        <v>533.89534940617682</v>
      </c>
      <c r="FJ39" s="62">
        <f ca="1">AVERAGE(OFFSET($FI$3,0,0,'Données projet'!$E$16+1,1))-AVERAGE(OFFSET($H$3,0,0,'Données projet'!$E$16+1,1))</f>
        <v>396.0878652679051</v>
      </c>
      <c r="FK39" s="62">
        <f t="shared" si="48"/>
        <v>327.26339199235406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9">
        <f t="shared" si="1"/>
        <v>183.33333333333334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15.166666666666666</v>
      </c>
      <c r="N40" s="14">
        <f>IF('Données projet'!$A$36&gt;35,N39+M40-V39,IF(A40&lt;'Données projet'!$A$36,$K$205^A40,IF(A40='Données projet'!$A$36,'Données projet'!$B$36,N39+M40-V39)))</f>
        <v>129.16666666666663</v>
      </c>
      <c r="O40" s="14">
        <f>N40*VLOOKUP('Données projet'!$B$9,Paramètres!$A$1:$I$89,3,0)*VLOOKUP('Données projet'!$B$9,Paramètres!$A$1:$I$89,5,0)</f>
        <v>110.82499999999999</v>
      </c>
      <c r="P40" s="14">
        <f t="shared" si="33"/>
        <v>29.525276397875576</v>
      </c>
      <c r="Q40" s="22">
        <f t="shared" si="53"/>
        <v>244.44339805963327</v>
      </c>
      <c r="R40" s="62">
        <f t="shared" si="0"/>
        <v>489.80275003030437</v>
      </c>
      <c r="S40" s="62">
        <f ca="1">AVERAGE(OFFSET($R$3,0,0,'Données projet'!$E$9+1,1))-AVERAGE(OFFSET($H$3,0,0,'Données projet'!$E$9+1,1))</f>
        <v>478.11504516179713</v>
      </c>
      <c r="T40" s="62">
        <f t="shared" si="34"/>
        <v>249.93713224442419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11.340000000000003</v>
      </c>
      <c r="AI40" s="14">
        <f>IF('Données projet'!$A$62&gt;35,AI39+AH40-AQ39,IF(A40&lt;'Données projet'!$A$62,$AF$205^A40,IF(A40='Données projet'!$A$62,'Données projet'!$B$62,AI39+AH40-AQ39)))</f>
        <v>229.0799999999999</v>
      </c>
      <c r="AJ40" s="14">
        <f>AI40*VLOOKUP('Données projet'!$B$10,Paramètres!$A$1:$I$89,3,0)*VLOOKUP('Données projet'!$B$10,Paramètres!$A$1:$I$89,5,0)</f>
        <v>182.25604799999994</v>
      </c>
      <c r="AK40" s="14">
        <f t="shared" si="35"/>
        <v>45.823750842861273</v>
      </c>
      <c r="AL40" s="22">
        <f t="shared" si="4"/>
        <v>397.23898298464991</v>
      </c>
      <c r="AM40" s="62">
        <f t="shared" si="5"/>
        <v>642.59833495532098</v>
      </c>
      <c r="AN40" s="62">
        <f ca="1">AVERAGE(OFFSET($AM$3,0,0,'Données projet'!$E$10+1,1))-AVERAGE(OFFSET($H$3,0,0,'Données projet'!$E$10+1,1))</f>
        <v>394.49874384716014</v>
      </c>
      <c r="AO40" s="62">
        <f t="shared" si="36"/>
        <v>423.72519584013378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11.340000000000003</v>
      </c>
      <c r="BD40" s="13">
        <f>IF('Données projet'!$A$88&gt;35,BD39+BC40-BL39,IF(A40&lt;'Données projet'!$A$88,$BA$205^A40,IF(A40='Données projet'!$A$88,'Données projet'!$B$88,BD39+BC40-BL39)))</f>
        <v>229.0799999999999</v>
      </c>
      <c r="BE40" s="14">
        <f>BD40*VLOOKUP('Données projet'!$B$11,Paramètres!$A$1:$I$89,3,0)*VLOOKUP('Données projet'!$B$11,Paramètres!$A$1:$I$89,5,0)</f>
        <v>182.25604799999994</v>
      </c>
      <c r="BF40" s="14">
        <f t="shared" si="37"/>
        <v>45.823750842861273</v>
      </c>
      <c r="BG40" s="22">
        <f t="shared" si="7"/>
        <v>397.23898298464991</v>
      </c>
      <c r="BH40" s="62">
        <f t="shared" si="8"/>
        <v>642.59833495532098</v>
      </c>
      <c r="BI40" s="62">
        <f ca="1">AVERAGE(OFFSET($BH$3,0,0,'Données projet'!$E$11+1,1))-AVERAGE(OFFSET($H$3,0,0,'Données projet'!$E$11+1,1))</f>
        <v>394.49874384716014</v>
      </c>
      <c r="BJ40" s="62">
        <f t="shared" si="38"/>
        <v>423.72519584013378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128.44416000000001</v>
      </c>
      <c r="CA40" s="14">
        <f t="shared" si="39"/>
        <v>33.636598855068925</v>
      </c>
      <c r="CB40" s="22">
        <f t="shared" si="10"/>
        <v>282.29065500591173</v>
      </c>
      <c r="CC40" s="62">
        <f t="shared" si="11"/>
        <v>527.65000697658286</v>
      </c>
      <c r="CD40" s="62">
        <f ca="1">AVERAGE(OFFSET($CC$3,0,0,'Données projet'!$E$12+1,1))-AVERAGE(OFFSET($H$3,0,0,'Données projet'!$E$12+1,1))</f>
        <v>496.33873798282525</v>
      </c>
      <c r="CE40" s="62">
        <f t="shared" si="40"/>
        <v>280.25465074992246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6.7948717948717956</v>
      </c>
      <c r="CT40" s="13">
        <f>IF('Données projet'!$A$140&gt;35,CT39+CS40-DB39,IF(A40&lt;'Données projet'!$A$140,$CQ$205^A40,IF(A40='Données projet'!$A$140,'Données projet'!$B$140,CT39+CS40-DB39)))</f>
        <v>139.87179487179486</v>
      </c>
      <c r="CU40" s="18">
        <f>CT40*VLOOKUP('Données projet'!$B$13,Paramètres!$A$1:$I$89,3,0)*VLOOKUP('Données projet'!$B$13,Paramètres!$A$1:$I$89,5,0)</f>
        <v>133.102</v>
      </c>
      <c r="CV40" s="14">
        <f t="shared" si="41"/>
        <v>34.712153760745615</v>
      </c>
      <c r="CW40" s="22">
        <f t="shared" si="13"/>
        <v>292.27631779996528</v>
      </c>
      <c r="CX40" s="62">
        <f t="shared" si="14"/>
        <v>537.63566977063635</v>
      </c>
      <c r="CY40" s="62">
        <f ca="1">AVERAGE(OFFSET($CX$3,0,0,'Données projet'!$E$13+1,1))-AVERAGE(OFFSET($H$3,0,0,'Données projet'!$E$13+1,1))</f>
        <v>441.15969139782891</v>
      </c>
      <c r="CZ40" s="62">
        <f t="shared" si="42"/>
        <v>315.06466790224783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188</v>
      </c>
      <c r="DM40" s="13">
        <f>VLOOKUP(A40,'Données projet'!$A$165:$I$185,9,0)</f>
        <v>11.5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187.99999999999994</v>
      </c>
      <c r="DP40" s="18">
        <f>DO40*VLOOKUP('Données projet'!$B$14,Paramètres!$A$1:$I$89,3,0)*VLOOKUP('Données projet'!$B$14,Paramètres!$A$1:$I$89,5,0)</f>
        <v>146.63999999999996</v>
      </c>
      <c r="DQ40" s="14">
        <f t="shared" si="43"/>
        <v>37.814009712703026</v>
      </c>
      <c r="DR40" s="22">
        <f t="shared" si="16"/>
        <v>321.25740024962437</v>
      </c>
      <c r="DS40" s="62">
        <f t="shared" si="17"/>
        <v>566.61675222029544</v>
      </c>
      <c r="DT40" s="62">
        <f ca="1">AVERAGE(OFFSET($DS$3,0,0,'Données projet'!$E$14+1,1))-AVERAGE(OFFSET($H$3,0,0,'Données projet'!$E$14+1,1))</f>
        <v>309.21625451786218</v>
      </c>
      <c r="DU40" s="62">
        <f t="shared" si="44"/>
        <v>302.59481222418219</v>
      </c>
      <c r="DV40" s="16">
        <f>IF(ISNA(VLOOKUP(A40,'Données projet'!$A$165:$I$185,3,0)),0,VLOOKUP(A40,'Données projet'!$A$165:$I$185,3,0))</f>
        <v>4</v>
      </c>
      <c r="DW40" s="16">
        <f>IF(ISNA(VLOOKUP(A40,'Données projet'!$A$165:$I$185,4,0)),0,VLOOKUP(A40,'Données projet'!$A$165:$I$185,4,0))</f>
        <v>36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7.6</v>
      </c>
      <c r="EJ40" s="13">
        <f>IF('Données projet'!$A$192&gt;35,EJ39+EI40-ER39,IF(A40&lt;'Données projet'!$A$192,$EG$205^A40,IF(A40='Données projet'!$A$192,'Données projet'!$B$192,EJ39+EI40-ER39)))</f>
        <v>130.19999999999996</v>
      </c>
      <c r="EK40" s="18">
        <f>EJ40*VLOOKUP('Données projet'!$B$15,Paramètres!$A$1:$I$89,3,0)*VLOOKUP('Données projet'!$B$15,Paramètres!$A$1:$I$89,5,0)</f>
        <v>113.74271999999996</v>
      </c>
      <c r="EL40" s="14">
        <f t="shared" si="45"/>
        <v>30.211074114233345</v>
      </c>
      <c r="EM40" s="22">
        <f t="shared" si="19"/>
        <v>250.71952474895636</v>
      </c>
      <c r="EN40" s="62">
        <f t="shared" si="20"/>
        <v>496.07887671962749</v>
      </c>
      <c r="EO40" s="62">
        <f ca="1">AVERAGE(OFFSET($EN$3,0,0,'Données projet'!$E$15+1,1))-AVERAGE(OFFSET($H$3,0,0,'Données projet'!$E$15+1,1))</f>
        <v>298.56812743477741</v>
      </c>
      <c r="EP40" s="62">
        <f t="shared" si="46"/>
        <v>276.01618888357268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7.9487179487179507</v>
      </c>
      <c r="FE40" s="13">
        <f>IF('Données projet'!$A$218&gt;35,FE39+FD40-FM39,IF(A40&lt;'Données projet'!$A$218,$FB$205^A40,IF(A40='Données projet'!$A$218,'Données projet'!$B$218,FE39+FD40-FM39)))</f>
        <v>204.35897435897442</v>
      </c>
      <c r="FF40" s="18">
        <f>FE40*VLOOKUP('Données projet'!$B$16,Paramètres!$A$1:$I$89,3,0)*VLOOKUP('Données projet'!$B$16,Paramètres!$A$1:$I$89,5,0)</f>
        <v>137.08400000000003</v>
      </c>
      <c r="FG40" s="14">
        <f t="shared" si="47"/>
        <v>35.628174713483716</v>
      </c>
      <c r="FH40" s="22">
        <f t="shared" si="22"/>
        <v>300.80703762598421</v>
      </c>
      <c r="FI40" s="62">
        <f t="shared" si="23"/>
        <v>546.16638959665534</v>
      </c>
      <c r="FJ40" s="62">
        <f ca="1">AVERAGE(OFFSET($FI$3,0,0,'Données projet'!$E$16+1,1))-AVERAGE(OFFSET($H$3,0,0,'Données projet'!$E$16+1,1))</f>
        <v>396.0878652679051</v>
      </c>
      <c r="FK40" s="62">
        <f t="shared" si="48"/>
        <v>327.26339199235406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9">
        <f t="shared" si="1"/>
        <v>183.33333333333334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15.166666666666666</v>
      </c>
      <c r="N41" s="14">
        <f>IF('Données projet'!$A$36&gt;35,N40+M41-V40,IF(A41&lt;'Données projet'!$A$36,$K$205^A41,IF(A41='Données projet'!$A$36,'Données projet'!$B$36,N40+M41-V40)))</f>
        <v>144.33333333333329</v>
      </c>
      <c r="O41" s="14">
        <f>N41*VLOOKUP('Données projet'!$B$9,Paramètres!$A$1:$I$89,3,0)*VLOOKUP('Données projet'!$B$9,Paramètres!$A$1:$I$89,5,0)</f>
        <v>123.83799999999997</v>
      </c>
      <c r="P41" s="14">
        <f t="shared" si="33"/>
        <v>32.568503009939569</v>
      </c>
      <c r="Q41" s="22">
        <f t="shared" si="53"/>
        <v>272.40799274231136</v>
      </c>
      <c r="R41" s="62">
        <f t="shared" si="0"/>
        <v>518.59958603587006</v>
      </c>
      <c r="S41" s="62">
        <f ca="1">AVERAGE(OFFSET($R$3,0,0,'Données projet'!$E$9+1,1))-AVERAGE(OFFSET($H$3,0,0,'Données projet'!$E$9+1,1))</f>
        <v>478.11504516179713</v>
      </c>
      <c r="T41" s="62">
        <f t="shared" si="34"/>
        <v>249.93713224442419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11.340000000000003</v>
      </c>
      <c r="AI41" s="14">
        <f>IF('Données projet'!$A$62&gt;35,AI40+AH41-AQ40,IF(A41&lt;'Données projet'!$A$62,$AF$205^A41,IF(A41='Données projet'!$A$62,'Données projet'!$B$62,AI40+AH41-AQ40)))</f>
        <v>240.4199999999999</v>
      </c>
      <c r="AJ41" s="14">
        <f>AI41*VLOOKUP('Données projet'!$B$10,Paramètres!$A$1:$I$89,3,0)*VLOOKUP('Données projet'!$B$10,Paramètres!$A$1:$I$89,5,0)</f>
        <v>191.27815199999995</v>
      </c>
      <c r="AK41" s="14">
        <f t="shared" si="35"/>
        <v>47.822423751245466</v>
      </c>
      <c r="AL41" s="22">
        <f t="shared" si="4"/>
        <v>416.43350276675238</v>
      </c>
      <c r="AM41" s="62">
        <f t="shared" si="5"/>
        <v>662.62509606031108</v>
      </c>
      <c r="AN41" s="62">
        <f ca="1">AVERAGE(OFFSET($AM$3,0,0,'Données projet'!$E$10+1,1))-AVERAGE(OFFSET($H$3,0,0,'Données projet'!$E$10+1,1))</f>
        <v>394.49874384716014</v>
      </c>
      <c r="AO41" s="62">
        <f t="shared" si="36"/>
        <v>423.72519584013378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11.340000000000003</v>
      </c>
      <c r="BD41" s="13">
        <f>IF('Données projet'!$A$88&gt;35,BD40+BC41-BL40,IF(A41&lt;'Données projet'!$A$88,$BA$205^A41,IF(A41='Données projet'!$A$88,'Données projet'!$B$88,BD40+BC41-BL40)))</f>
        <v>240.4199999999999</v>
      </c>
      <c r="BE41" s="14">
        <f>BD41*VLOOKUP('Données projet'!$B$11,Paramètres!$A$1:$I$89,3,0)*VLOOKUP('Données projet'!$B$11,Paramètres!$A$1:$I$89,5,0)</f>
        <v>191.27815199999995</v>
      </c>
      <c r="BF41" s="14">
        <f t="shared" si="37"/>
        <v>47.822423751245466</v>
      </c>
      <c r="BG41" s="22">
        <f t="shared" si="7"/>
        <v>416.43350276675238</v>
      </c>
      <c r="BH41" s="62">
        <f t="shared" si="8"/>
        <v>662.62509606031108</v>
      </c>
      <c r="BI41" s="62">
        <f ca="1">AVERAGE(OFFSET($BH$3,0,0,'Données projet'!$E$11+1,1))-AVERAGE(OFFSET($H$3,0,0,'Données projet'!$E$11+1,1))</f>
        <v>394.49874384716014</v>
      </c>
      <c r="BJ41" s="62">
        <f t="shared" si="38"/>
        <v>423.72519584013378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136.56864000000002</v>
      </c>
      <c r="CA41" s="14">
        <f t="shared" si="39"/>
        <v>35.509797430964703</v>
      </c>
      <c r="CB41" s="22">
        <f t="shared" si="10"/>
        <v>299.70327852559689</v>
      </c>
      <c r="CC41" s="62">
        <f t="shared" si="11"/>
        <v>545.89487181915558</v>
      </c>
      <c r="CD41" s="62">
        <f ca="1">AVERAGE(OFFSET($CC$3,0,0,'Données projet'!$E$12+1,1))-AVERAGE(OFFSET($H$3,0,0,'Données projet'!$E$12+1,1))</f>
        <v>496.33873798282525</v>
      </c>
      <c r="CE41" s="62">
        <f t="shared" si="40"/>
        <v>280.25465074992246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6.7948717948717956</v>
      </c>
      <c r="CT41" s="13">
        <f>IF('Données projet'!$A$140&gt;35,CT40+CS41-DB40,IF(A41&lt;'Données projet'!$A$140,$CQ$205^A41,IF(A41='Données projet'!$A$140,'Données projet'!$B$140,CT40+CS41-DB40)))</f>
        <v>146.66666666666666</v>
      </c>
      <c r="CU41" s="18">
        <f>CT41*VLOOKUP('Données projet'!$B$13,Paramètres!$A$1:$I$89,3,0)*VLOOKUP('Données projet'!$B$13,Paramètres!$A$1:$I$89,5,0)</f>
        <v>139.56799999999998</v>
      </c>
      <c r="CV41" s="14">
        <f t="shared" si="41"/>
        <v>36.198022567902299</v>
      </c>
      <c r="CW41" s="22">
        <f t="shared" si="13"/>
        <v>306.12582263909644</v>
      </c>
      <c r="CX41" s="62">
        <f t="shared" si="14"/>
        <v>552.31741593265519</v>
      </c>
      <c r="CY41" s="62">
        <f ca="1">AVERAGE(OFFSET($CX$3,0,0,'Données projet'!$E$13+1,1))-AVERAGE(OFFSET($H$3,0,0,'Données projet'!$E$13+1,1))</f>
        <v>441.15969139782891</v>
      </c>
      <c r="CZ41" s="62">
        <f t="shared" si="42"/>
        <v>315.06466790224783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11.142857142857142</v>
      </c>
      <c r="DO41" s="13">
        <f>IF('Données projet'!$A$166&gt;35,DO40+DN41-DW40,IF(A41&lt;'Données projet'!$A$166,$DL$205^A41,IF(A41='Données projet'!$A$166,'Données projet'!$B$166,DO40+DN41-DW40)))</f>
        <v>163.14285714285708</v>
      </c>
      <c r="DP41" s="18">
        <f>DO41*VLOOKUP('Données projet'!$B$14,Paramètres!$A$1:$I$89,3,0)*VLOOKUP('Données projet'!$B$14,Paramètres!$A$1:$I$89,5,0)</f>
        <v>127.25142857142853</v>
      </c>
      <c r="DQ41" s="14">
        <f t="shared" si="43"/>
        <v>33.360457439554281</v>
      </c>
      <c r="DR41" s="22">
        <f t="shared" si="16"/>
        <v>279.73236813579501</v>
      </c>
      <c r="DS41" s="62">
        <f t="shared" si="17"/>
        <v>525.92396142935377</v>
      </c>
      <c r="DT41" s="62">
        <f ca="1">AVERAGE(OFFSET($DS$3,0,0,'Données projet'!$E$14+1,1))-AVERAGE(OFFSET($H$3,0,0,'Données projet'!$E$14+1,1))</f>
        <v>309.21625451786218</v>
      </c>
      <c r="DU41" s="62">
        <f t="shared" si="44"/>
        <v>302.59481222418219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7.6</v>
      </c>
      <c r="EJ41" s="13">
        <f>IF('Données projet'!$A$192&gt;35,EJ40+EI41-ER40,IF(A41&lt;'Données projet'!$A$192,$EG$205^A41,IF(A41='Données projet'!$A$192,'Données projet'!$B$192,EJ40+EI41-ER40)))</f>
        <v>137.79999999999995</v>
      </c>
      <c r="EK41" s="18">
        <f>EJ41*VLOOKUP('Données projet'!$B$15,Paramètres!$A$1:$I$89,3,0)*VLOOKUP('Données projet'!$B$15,Paramètres!$A$1:$I$89,5,0)</f>
        <v>120.38207999999997</v>
      </c>
      <c r="EL41" s="14">
        <f t="shared" si="45"/>
        <v>31.764096685603551</v>
      </c>
      <c r="EM41" s="22">
        <f t="shared" si="19"/>
        <v>264.98792439409277</v>
      </c>
      <c r="EN41" s="62">
        <f t="shared" si="20"/>
        <v>511.17951768765147</v>
      </c>
      <c r="EO41" s="62">
        <f ca="1">AVERAGE(OFFSET($EN$3,0,0,'Données projet'!$E$15+1,1))-AVERAGE(OFFSET($H$3,0,0,'Données projet'!$E$15+1,1))</f>
        <v>298.56812743477741</v>
      </c>
      <c r="EP41" s="62">
        <f t="shared" si="46"/>
        <v>276.01618888357268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7.9487179487179507</v>
      </c>
      <c r="FE41" s="13">
        <f>IF('Données projet'!$A$218&gt;35,FE40+FD41-FM40,IF(A41&lt;'Données projet'!$A$218,$FB$205^A41,IF(A41='Données projet'!$A$218,'Données projet'!$B$218,FE40+FD41-FM40)))</f>
        <v>212.30769230769238</v>
      </c>
      <c r="FF41" s="18">
        <f>FE41*VLOOKUP('Données projet'!$B$16,Paramètres!$A$1:$I$89,3,0)*VLOOKUP('Données projet'!$B$16,Paramètres!$A$1:$I$89,5,0)</f>
        <v>142.41600000000005</v>
      </c>
      <c r="FG41" s="14">
        <f t="shared" si="47"/>
        <v>36.849924818088418</v>
      </c>
      <c r="FH41" s="22">
        <f t="shared" si="22"/>
        <v>312.22148572483741</v>
      </c>
      <c r="FI41" s="62">
        <f t="shared" si="23"/>
        <v>558.41307901839616</v>
      </c>
      <c r="FJ41" s="62">
        <f ca="1">AVERAGE(OFFSET($FI$3,0,0,'Données projet'!$E$16+1,1))-AVERAGE(OFFSET($H$3,0,0,'Données projet'!$E$16+1,1))</f>
        <v>396.0878652679051</v>
      </c>
      <c r="FK41" s="62">
        <f t="shared" si="48"/>
        <v>327.26339199235406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9">
        <f t="shared" si="1"/>
        <v>183.33333333333334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15.166666666666666</v>
      </c>
      <c r="N42" s="14">
        <f>IF('Données projet'!$A$36&gt;35,N41+M42-V41,IF(A42&lt;'Données projet'!$A$36,$K$205^A42,IF(A42='Données projet'!$A$36,'Données projet'!$B$36,N41+M42-V41)))</f>
        <v>159.49999999999994</v>
      </c>
      <c r="O42" s="14">
        <f>N42*VLOOKUP('Données projet'!$B$9,Paramètres!$A$1:$I$89,3,0)*VLOOKUP('Données projet'!$B$9,Paramètres!$A$1:$I$89,5,0)</f>
        <v>136.85099999999997</v>
      </c>
      <c r="P42" s="14">
        <f t="shared" si="33"/>
        <v>35.574661452157265</v>
      </c>
      <c r="Q42" s="22">
        <f t="shared" si="53"/>
        <v>300.30802702917384</v>
      </c>
      <c r="R42" s="62">
        <f t="shared" si="0"/>
        <v>547.31742411928099</v>
      </c>
      <c r="S42" s="62">
        <f ca="1">AVERAGE(OFFSET($R$3,0,0,'Données projet'!$E$9+1,1))-AVERAGE(OFFSET($H$3,0,0,'Données projet'!$E$9+1,1))</f>
        <v>478.11504516179713</v>
      </c>
      <c r="T42" s="62">
        <f t="shared" si="34"/>
        <v>249.93713224442419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11.340000000000003</v>
      </c>
      <c r="AI42" s="14">
        <f>IF('Données projet'!$A$62&gt;35,AI41+AH42-AQ41,IF(A42&lt;'Données projet'!$A$62,$AF$205^A42,IF(A42='Données projet'!$A$62,'Données projet'!$B$62,AI41+AH42-AQ41)))</f>
        <v>251.75999999999991</v>
      </c>
      <c r="AJ42" s="14">
        <f>AI42*VLOOKUP('Données projet'!$B$10,Paramètres!$A$1:$I$89,3,0)*VLOOKUP('Données projet'!$B$10,Paramètres!$A$1:$I$89,5,0)</f>
        <v>200.30025599999993</v>
      </c>
      <c r="AK42" s="14">
        <f t="shared" si="35"/>
        <v>49.810149143959919</v>
      </c>
      <c r="AL42" s="22">
        <f t="shared" si="4"/>
        <v>435.60895562573</v>
      </c>
      <c r="AM42" s="62">
        <f t="shared" si="5"/>
        <v>682.61835271583709</v>
      </c>
      <c r="AN42" s="62">
        <f ca="1">AVERAGE(OFFSET($AM$3,0,0,'Données projet'!$E$10+1,1))-AVERAGE(OFFSET($H$3,0,0,'Données projet'!$E$10+1,1))</f>
        <v>394.49874384716014</v>
      </c>
      <c r="AO42" s="62">
        <f t="shared" si="36"/>
        <v>423.72519584013378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11.340000000000003</v>
      </c>
      <c r="BD42" s="13">
        <f>IF('Données projet'!$A$88&gt;35,BD41+BC42-BL41,IF(A42&lt;'Données projet'!$A$88,$BA$205^A42,IF(A42='Données projet'!$A$88,'Données projet'!$B$88,BD41+BC42-BL41)))</f>
        <v>251.75999999999991</v>
      </c>
      <c r="BE42" s="14">
        <f>BD42*VLOOKUP('Données projet'!$B$11,Paramètres!$A$1:$I$89,3,0)*VLOOKUP('Données projet'!$B$11,Paramètres!$A$1:$I$89,5,0)</f>
        <v>200.30025599999993</v>
      </c>
      <c r="BF42" s="14">
        <f t="shared" si="37"/>
        <v>49.810149143959919</v>
      </c>
      <c r="BG42" s="22">
        <f t="shared" si="7"/>
        <v>435.60895562573</v>
      </c>
      <c r="BH42" s="62">
        <f t="shared" si="8"/>
        <v>682.61835271583709</v>
      </c>
      <c r="BI42" s="62">
        <f ca="1">AVERAGE(OFFSET($BH$3,0,0,'Données projet'!$E$11+1,1))-AVERAGE(OFFSET($H$3,0,0,'Données projet'!$E$11+1,1))</f>
        <v>394.49874384716014</v>
      </c>
      <c r="BJ42" s="62">
        <f t="shared" si="38"/>
        <v>423.72519584013378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144.69312000000002</v>
      </c>
      <c r="CA42" s="14">
        <f t="shared" si="39"/>
        <v>37.370061524802772</v>
      </c>
      <c r="CB42" s="22">
        <f t="shared" si="10"/>
        <v>317.09337448903148</v>
      </c>
      <c r="CC42" s="62">
        <f t="shared" si="11"/>
        <v>564.10277157913856</v>
      </c>
      <c r="CD42" s="62">
        <f ca="1">AVERAGE(OFFSET($CC$3,0,0,'Données projet'!$E$12+1,1))-AVERAGE(OFFSET($H$3,0,0,'Données projet'!$E$12+1,1))</f>
        <v>496.33873798282525</v>
      </c>
      <c r="CE42" s="62">
        <f t="shared" si="40"/>
        <v>280.25465074992246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6.7948717948717956</v>
      </c>
      <c r="CT42" s="13">
        <f>IF('Données projet'!$A$140&gt;35,CT41+CS42-DB41,IF(A42&lt;'Données projet'!$A$140,$CQ$205^A42,IF(A42='Données projet'!$A$140,'Données projet'!$B$140,CT41+CS42-DB41)))</f>
        <v>153.46153846153845</v>
      </c>
      <c r="CU42" s="18">
        <f>CT42*VLOOKUP('Données projet'!$B$13,Paramètres!$A$1:$I$89,3,0)*VLOOKUP('Données projet'!$B$13,Paramètres!$A$1:$I$89,5,0)</f>
        <v>146.03399999999999</v>
      </c>
      <c r="CV42" s="14">
        <f t="shared" si="41"/>
        <v>37.675897140446111</v>
      </c>
      <c r="CW42" s="22">
        <f t="shared" si="13"/>
        <v>319.96140418627698</v>
      </c>
      <c r="CX42" s="62">
        <f t="shared" si="14"/>
        <v>566.97080127638412</v>
      </c>
      <c r="CY42" s="62">
        <f ca="1">AVERAGE(OFFSET($CX$3,0,0,'Données projet'!$E$13+1,1))-AVERAGE(OFFSET($H$3,0,0,'Données projet'!$E$13+1,1))</f>
        <v>441.15969139782891</v>
      </c>
      <c r="CZ42" s="62">
        <f t="shared" si="42"/>
        <v>315.06466790224783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11.142857142857142</v>
      </c>
      <c r="DO42" s="13">
        <f>IF('Données projet'!$A$166&gt;35,DO41+DN42-DW41,IF(A42&lt;'Données projet'!$A$166,$DL$205^A42,IF(A42='Données projet'!$A$166,'Données projet'!$B$166,DO41+DN42-DW41)))</f>
        <v>174.28571428571422</v>
      </c>
      <c r="DP42" s="18">
        <f>DO42*VLOOKUP('Données projet'!$B$14,Paramètres!$A$1:$I$89,3,0)*VLOOKUP('Données projet'!$B$14,Paramètres!$A$1:$I$89,5,0)</f>
        <v>135.94285714285709</v>
      </c>
      <c r="DQ42" s="14">
        <f t="shared" si="43"/>
        <v>35.365986273808367</v>
      </c>
      <c r="DR42" s="22">
        <f t="shared" si="16"/>
        <v>298.36290228402567</v>
      </c>
      <c r="DS42" s="62">
        <f t="shared" si="17"/>
        <v>545.37229937413281</v>
      </c>
      <c r="DT42" s="62">
        <f ca="1">AVERAGE(OFFSET($DS$3,0,0,'Données projet'!$E$14+1,1))-AVERAGE(OFFSET($H$3,0,0,'Données projet'!$E$14+1,1))</f>
        <v>309.21625451786218</v>
      </c>
      <c r="DU42" s="62">
        <f t="shared" si="44"/>
        <v>302.59481222418219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7.6</v>
      </c>
      <c r="EJ42" s="13">
        <f>IF('Données projet'!$A$192&gt;35,EJ41+EI42-ER41,IF(A42&lt;'Données projet'!$A$192,$EG$205^A42,IF(A42='Données projet'!$A$192,'Données projet'!$B$192,EJ41+EI42-ER41)))</f>
        <v>145.39999999999995</v>
      </c>
      <c r="EK42" s="18">
        <f>EJ42*VLOOKUP('Données projet'!$B$15,Paramètres!$A$1:$I$89,3,0)*VLOOKUP('Données projet'!$B$15,Paramètres!$A$1:$I$89,5,0)</f>
        <v>127.02143999999997</v>
      </c>
      <c r="EL42" s="14">
        <f t="shared" si="45"/>
        <v>33.307175870664402</v>
      </c>
      <c r="EM42" s="22">
        <f t="shared" si="19"/>
        <v>279.23900597474045</v>
      </c>
      <c r="EN42" s="62">
        <f t="shared" si="20"/>
        <v>526.24840306484759</v>
      </c>
      <c r="EO42" s="62">
        <f ca="1">AVERAGE(OFFSET($EN$3,0,0,'Données projet'!$E$15+1,1))-AVERAGE(OFFSET($H$3,0,0,'Données projet'!$E$15+1,1))</f>
        <v>298.56812743477741</v>
      </c>
      <c r="EP42" s="62">
        <f t="shared" si="46"/>
        <v>276.01618888357268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7.9487179487179507</v>
      </c>
      <c r="FE42" s="13">
        <f>IF('Données projet'!$A$218&gt;35,FE41+FD42-FM41,IF(A42&lt;'Données projet'!$A$218,$FB$205^A42,IF(A42='Données projet'!$A$218,'Données projet'!$B$218,FE41+FD42-FM41)))</f>
        <v>220.25641025641033</v>
      </c>
      <c r="FF42" s="18">
        <f>FE42*VLOOKUP('Données projet'!$B$16,Paramètres!$A$1:$I$89,3,0)*VLOOKUP('Données projet'!$B$16,Paramètres!$A$1:$I$89,5,0)</f>
        <v>147.74800000000008</v>
      </c>
      <c r="FG42" s="14">
        <f t="shared" si="47"/>
        <v>38.066360844681896</v>
      </c>
      <c r="FH42" s="22">
        <f t="shared" si="22"/>
        <v>323.62667847115443</v>
      </c>
      <c r="FI42" s="62">
        <f t="shared" si="23"/>
        <v>570.63607556126158</v>
      </c>
      <c r="FJ42" s="62">
        <f ca="1">AVERAGE(OFFSET($FI$3,0,0,'Données projet'!$E$16+1,1))-AVERAGE(OFFSET($H$3,0,0,'Données projet'!$E$16+1,1))</f>
        <v>396.0878652679051</v>
      </c>
      <c r="FK42" s="62">
        <f t="shared" si="48"/>
        <v>327.26339199235406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9">
        <f t="shared" si="1"/>
        <v>183.33333333333334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15.166666666666666</v>
      </c>
      <c r="N43" s="14">
        <f>IF('Données projet'!$A$36&gt;35,N42+M43-V42,IF(A43&lt;'Données projet'!$A$36,$K$205^A43,IF(A43='Données projet'!$A$36,'Données projet'!$B$36,N42+M43-V42)))</f>
        <v>174.6666666666666</v>
      </c>
      <c r="O43" s="14">
        <f>N43*VLOOKUP('Données projet'!$B$9,Paramètres!$A$1:$I$89,3,0)*VLOOKUP('Données projet'!$B$9,Paramètres!$A$1:$I$89,5,0)</f>
        <v>149.86399999999995</v>
      </c>
      <c r="P43" s="14">
        <f t="shared" si="33"/>
        <v>38.547677501412096</v>
      </c>
      <c r="Q43" s="22">
        <f t="shared" si="53"/>
        <v>328.1503383149593</v>
      </c>
      <c r="R43" s="62">
        <f t="shared" si="0"/>
        <v>575.96335213408008</v>
      </c>
      <c r="S43" s="62">
        <f ca="1">AVERAGE(OFFSET($R$3,0,0,'Données projet'!$E$9+1,1))-AVERAGE(OFFSET($H$3,0,0,'Données projet'!$E$9+1,1))</f>
        <v>478.11504516179713</v>
      </c>
      <c r="T43" s="62">
        <f t="shared" si="34"/>
        <v>249.93713224442419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263.10000000000002</v>
      </c>
      <c r="AG43" s="13">
        <f>VLOOKUP(A43,'Données projet'!$A$61:$I$81,9,0)</f>
        <v>11.340000000000003</v>
      </c>
      <c r="AH43" s="13">
        <f t="array" ref="AH43">INDEX(AG:AG,MIN(IF(ISNUMBER(AG43:AG239),ROW(AG43:AG239),"")))</f>
        <v>11.340000000000003</v>
      </c>
      <c r="AI43" s="14">
        <f>IF('Données projet'!$A$62&gt;35,AI42+AH43-AQ42,IF(A43&lt;'Données projet'!$A$62,$AF$205^A43,IF(A43='Données projet'!$A$62,'Données projet'!$B$62,AI42+AH43-AQ42)))</f>
        <v>263.09999999999991</v>
      </c>
      <c r="AJ43" s="14">
        <f>AI43*VLOOKUP('Données projet'!$B$10,Paramètres!$A$1:$I$89,3,0)*VLOOKUP('Données projet'!$B$10,Paramètres!$A$1:$I$89,5,0)</f>
        <v>209.32235999999995</v>
      </c>
      <c r="AK43" s="14">
        <f t="shared" si="35"/>
        <v>51.78747646553299</v>
      </c>
      <c r="AL43" s="22">
        <f t="shared" si="4"/>
        <v>454.7662985108031</v>
      </c>
      <c r="AM43" s="62">
        <f t="shared" si="5"/>
        <v>702.57931232992394</v>
      </c>
      <c r="AN43" s="62">
        <f ca="1">AVERAGE(OFFSET($AM$3,0,0,'Données projet'!$E$10+1,1))-AVERAGE(OFFSET($H$3,0,0,'Données projet'!$E$10+1,1))</f>
        <v>394.49874384716014</v>
      </c>
      <c r="AO43" s="62">
        <f t="shared" si="36"/>
        <v>423.72519584013378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263.10000000000002</v>
      </c>
      <c r="BB43" s="13">
        <f>VLOOKUP(A43,'Données projet'!$A$87:$I$107,9,0)</f>
        <v>11.340000000000003</v>
      </c>
      <c r="BC43" s="13">
        <f t="array" ref="BC43">INDEX(BB:BB,MIN(IF(ISNUMBER(BB43:BB239),ROW(BB43:BB239),"")))</f>
        <v>11.340000000000003</v>
      </c>
      <c r="BD43" s="13">
        <f>IF('Données projet'!$A$88&gt;35,BD42+BC43-BL42,IF(A43&lt;'Données projet'!$A$88,$BA$205^A43,IF(A43='Données projet'!$A$88,'Données projet'!$B$88,BD42+BC43-BL42)))</f>
        <v>263.09999999999991</v>
      </c>
      <c r="BE43" s="14">
        <f>BD43*VLOOKUP('Données projet'!$B$11,Paramètres!$A$1:$I$89,3,0)*VLOOKUP('Données projet'!$B$11,Paramètres!$A$1:$I$89,5,0)</f>
        <v>209.32235999999995</v>
      </c>
      <c r="BF43" s="14">
        <f t="shared" si="37"/>
        <v>51.78747646553299</v>
      </c>
      <c r="BG43" s="22">
        <f t="shared" si="7"/>
        <v>454.7662985108031</v>
      </c>
      <c r="BH43" s="62">
        <f t="shared" si="8"/>
        <v>702.57931232992394</v>
      </c>
      <c r="BI43" s="62">
        <f ca="1">AVERAGE(OFFSET($BH$3,0,0,'Données projet'!$E$11+1,1))-AVERAGE(OFFSET($H$3,0,0,'Données projet'!$E$11+1,1))</f>
        <v>394.49874384716014</v>
      </c>
      <c r="BJ43" s="62">
        <f t="shared" si="38"/>
        <v>423.72519584013378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152.81760000000003</v>
      </c>
      <c r="CA43" s="14">
        <f t="shared" si="39"/>
        <v>39.218200171484227</v>
      </c>
      <c r="CB43" s="22">
        <f t="shared" si="10"/>
        <v>334.46235196533502</v>
      </c>
      <c r="CC43" s="62">
        <f t="shared" si="11"/>
        <v>582.27536578445586</v>
      </c>
      <c r="CD43" s="62">
        <f ca="1">AVERAGE(OFFSET($CC$3,0,0,'Données projet'!$E$12+1,1))-AVERAGE(OFFSET($H$3,0,0,'Données projet'!$E$12+1,1))</f>
        <v>496.33873798282525</v>
      </c>
      <c r="CE43" s="62">
        <f t="shared" si="40"/>
        <v>280.25465074992246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160.25641025641025</v>
      </c>
      <c r="CR43" s="13">
        <f>VLOOKUP(A43,'Données projet'!$A$139:$I$159,9,0)</f>
        <v>6.7948717948717956</v>
      </c>
      <c r="CS43" s="13">
        <f t="array" ref="CS43">INDEX(CR:CR,MIN(IF(ISNUMBER(CR43:CR239),ROW(CR43:CR239),"")))</f>
        <v>6.7948717948717956</v>
      </c>
      <c r="CT43" s="13">
        <f>IF('Données projet'!$A$140&gt;35,CT42+CS43-DB42,IF(A43&lt;'Données projet'!$A$140,$CQ$205^A43,IF(A43='Données projet'!$A$140,'Données projet'!$B$140,CT42+CS43-DB42)))</f>
        <v>160.25641025641025</v>
      </c>
      <c r="CU43" s="18">
        <f>CT43*VLOOKUP('Données projet'!$B$13,Paramètres!$A$1:$I$89,3,0)*VLOOKUP('Données projet'!$B$13,Paramètres!$A$1:$I$89,5,0)</f>
        <v>152.5</v>
      </c>
      <c r="CV43" s="14">
        <f t="shared" si="41"/>
        <v>39.146171889962673</v>
      </c>
      <c r="CW43" s="22">
        <f t="shared" si="13"/>
        <v>333.78374937501832</v>
      </c>
      <c r="CX43" s="62">
        <f t="shared" si="14"/>
        <v>581.59676319413916</v>
      </c>
      <c r="CY43" s="62">
        <f ca="1">AVERAGE(OFFSET($CX$3,0,0,'Données projet'!$E$13+1,1))-AVERAGE(OFFSET($H$3,0,0,'Données projet'!$E$13+1,1))</f>
        <v>441.15969139782891</v>
      </c>
      <c r="CZ43" s="62">
        <f t="shared" si="42"/>
        <v>315.06466790224783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11.142857142857142</v>
      </c>
      <c r="DO43" s="13">
        <f>IF('Données projet'!$A$166&gt;35,DO42+DN43-DW42,IF(A43&lt;'Données projet'!$A$166,$DL$205^A43,IF(A43='Données projet'!$A$166,'Données projet'!$B$166,DO42+DN43-DW42)))</f>
        <v>185.42857142857136</v>
      </c>
      <c r="DP43" s="18">
        <f>DO43*VLOOKUP('Données projet'!$B$14,Paramètres!$A$1:$I$89,3,0)*VLOOKUP('Données projet'!$B$14,Paramètres!$A$1:$I$89,5,0)</f>
        <v>144.63428571428565</v>
      </c>
      <c r="DQ43" s="14">
        <f t="shared" si="43"/>
        <v>37.356634728420524</v>
      </c>
      <c r="DR43" s="22">
        <f t="shared" si="16"/>
        <v>316.96751977104657</v>
      </c>
      <c r="DS43" s="62">
        <f t="shared" si="17"/>
        <v>564.78053359016735</v>
      </c>
      <c r="DT43" s="62">
        <f ca="1">AVERAGE(OFFSET($DS$3,0,0,'Données projet'!$E$14+1,1))-AVERAGE(OFFSET($H$3,0,0,'Données projet'!$E$14+1,1))</f>
        <v>309.21625451786218</v>
      </c>
      <c r="DU43" s="62">
        <f t="shared" si="44"/>
        <v>302.59481222418219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153</v>
      </c>
      <c r="EH43" s="13">
        <f>VLOOKUP(A43,'Données projet'!$A$191:$I$211,9,0)</f>
        <v>7.6</v>
      </c>
      <c r="EI43" s="13">
        <f t="array" ref="EI43">INDEX(EH:EH,MIN(IF(ISNUMBER(EH43:EH239),ROW(EH43:EH239),"")))</f>
        <v>7.6</v>
      </c>
      <c r="EJ43" s="13">
        <f>IF('Données projet'!$A$192&gt;35,EJ42+EI43-ER42,IF(A43&lt;'Données projet'!$A$192,$EG$205^A43,IF(A43='Données projet'!$A$192,'Données projet'!$B$192,EJ42+EI43-ER42)))</f>
        <v>152.99999999999994</v>
      </c>
      <c r="EK43" s="18">
        <f>EJ43*VLOOKUP('Données projet'!$B$15,Paramètres!$A$1:$I$89,3,0)*VLOOKUP('Données projet'!$B$15,Paramètres!$A$1:$I$89,5,0)</f>
        <v>133.66079999999997</v>
      </c>
      <c r="EL43" s="14">
        <f t="shared" si="45"/>
        <v>34.840890682716719</v>
      </c>
      <c r="EM43" s="22">
        <f t="shared" si="19"/>
        <v>293.47377793906486</v>
      </c>
      <c r="EN43" s="62">
        <f t="shared" si="20"/>
        <v>541.2867917581857</v>
      </c>
      <c r="EO43" s="62">
        <f ca="1">AVERAGE(OFFSET($EN$3,0,0,'Données projet'!$E$15+1,1))-AVERAGE(OFFSET($H$3,0,0,'Données projet'!$E$15+1,1))</f>
        <v>298.56812743477741</v>
      </c>
      <c r="EP43" s="62">
        <f t="shared" si="46"/>
        <v>276.01618888357268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228.2051282051282</v>
      </c>
      <c r="FC43" s="13">
        <f>VLOOKUP(A43,'Données projet'!$A$217:$I$237,9,0)</f>
        <v>7.9487179487179507</v>
      </c>
      <c r="FD43" s="13">
        <f t="array" ref="FD43">INDEX(FC:FC,MIN(IF(ISNUMBER(FC43:FC239),ROW(FC43:FC239),"")))</f>
        <v>7.9487179487179507</v>
      </c>
      <c r="FE43" s="13">
        <f>IF('Données projet'!$A$218&gt;35,FE42+FD43-FM42,IF(A43&lt;'Données projet'!$A$218,$FB$205^A43,IF(A43='Données projet'!$A$218,'Données projet'!$B$218,FE42+FD43-FM42)))</f>
        <v>228.20512820512829</v>
      </c>
      <c r="FF43" s="18">
        <f>FE43*VLOOKUP('Données projet'!$B$16,Paramètres!$A$1:$I$89,3,0)*VLOOKUP('Données projet'!$B$16,Paramètres!$A$1:$I$89,5,0)</f>
        <v>153.08000000000007</v>
      </c>
      <c r="FG43" s="14">
        <f t="shared" si="47"/>
        <v>39.277696538385037</v>
      </c>
      <c r="FH43" s="22">
        <f t="shared" si="22"/>
        <v>335.02298813768738</v>
      </c>
      <c r="FI43" s="62">
        <f t="shared" si="23"/>
        <v>582.83600195680822</v>
      </c>
      <c r="FJ43" s="62">
        <f ca="1">AVERAGE(OFFSET($FI$3,0,0,'Données projet'!$E$16+1,1))-AVERAGE(OFFSET($H$3,0,0,'Données projet'!$E$16+1,1))</f>
        <v>396.0878652679051</v>
      </c>
      <c r="FK43" s="62">
        <f t="shared" si="48"/>
        <v>327.26339199235406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39.743589743589745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9">
        <f t="shared" si="1"/>
        <v>183.33333333333334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15.166666666666666</v>
      </c>
      <c r="N44" s="14">
        <f>IF('Données projet'!$A$36&gt;35,N43+M44-V43,IF(A44&lt;'Données projet'!$A$36,$K$205^A44,IF(A44='Données projet'!$A$36,'Données projet'!$B$36,N43+M44-V43)))</f>
        <v>189.83333333333326</v>
      </c>
      <c r="O44" s="14">
        <f>N44*VLOOKUP('Données projet'!$B$9,Paramètres!$A$1:$I$89,3,0)*VLOOKUP('Données projet'!$B$9,Paramètres!$A$1:$I$89,5,0)</f>
        <v>162.87699999999995</v>
      </c>
      <c r="P44" s="14">
        <f t="shared" si="33"/>
        <v>41.490756193100523</v>
      </c>
      <c r="Q44" s="22">
        <f t="shared" si="53"/>
        <v>355.94050870298332</v>
      </c>
      <c r="R44" s="62">
        <f t="shared" si="0"/>
        <v>604.54319829748727</v>
      </c>
      <c r="S44" s="62">
        <f ca="1">AVERAGE(OFFSET($R$3,0,0,'Données projet'!$E$9+1,1))-AVERAGE(OFFSET($H$3,0,0,'Données projet'!$E$9+1,1))</f>
        <v>478.11504516179713</v>
      </c>
      <c r="T44" s="62">
        <f t="shared" si="34"/>
        <v>249.93713224442419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9.8199999999999932</v>
      </c>
      <c r="AI44" s="14">
        <f>IF('Données projet'!$A$62&gt;35,AI43+AH44-AQ43,IF(A44&lt;'Données projet'!$A$62,$AF$205^A44,IF(A44='Données projet'!$A$62,'Données projet'!$B$62,AI43+AH44-AQ43)))</f>
        <v>202.9199999999999</v>
      </c>
      <c r="AJ44" s="14">
        <f>AI44*VLOOKUP('Données projet'!$B$10,Paramètres!$A$1:$I$89,3,0)*VLOOKUP('Données projet'!$B$10,Paramètres!$A$1:$I$89,5,0)</f>
        <v>161.44315199999994</v>
      </c>
      <c r="AK44" s="14">
        <f t="shared" si="35"/>
        <v>41.167852065682119</v>
      </c>
      <c r="AL44" s="22">
        <f t="shared" si="4"/>
        <v>352.88083208106292</v>
      </c>
      <c r="AM44" s="62">
        <f t="shared" si="5"/>
        <v>601.48352167556686</v>
      </c>
      <c r="AN44" s="62">
        <f ca="1">AVERAGE(OFFSET($AM$3,0,0,'Données projet'!$E$10+1,1))-AVERAGE(OFFSET($H$3,0,0,'Données projet'!$E$10+1,1))</f>
        <v>394.49874384716014</v>
      </c>
      <c r="AO44" s="62">
        <f t="shared" si="36"/>
        <v>423.72519584013378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9.8199999999999932</v>
      </c>
      <c r="BD44" s="13">
        <f>IF('Données projet'!$A$88&gt;35,BD43+BC44-BL43,IF(A44&lt;'Données projet'!$A$88,$BA$205^A44,IF(A44='Données projet'!$A$88,'Données projet'!$B$88,BD43+BC44-BL43)))</f>
        <v>202.9199999999999</v>
      </c>
      <c r="BE44" s="14">
        <f>BD44*VLOOKUP('Données projet'!$B$11,Paramètres!$A$1:$I$89,3,0)*VLOOKUP('Données projet'!$B$11,Paramètres!$A$1:$I$89,5,0)</f>
        <v>161.44315199999994</v>
      </c>
      <c r="BF44" s="14">
        <f t="shared" si="37"/>
        <v>41.167852065682119</v>
      </c>
      <c r="BG44" s="22">
        <f t="shared" si="7"/>
        <v>352.88083208106292</v>
      </c>
      <c r="BH44" s="62">
        <f t="shared" si="8"/>
        <v>601.48352167556686</v>
      </c>
      <c r="BI44" s="62">
        <f ca="1">AVERAGE(OFFSET($BH$3,0,0,'Données projet'!$E$11+1,1))-AVERAGE(OFFSET($H$3,0,0,'Données projet'!$E$11+1,1))</f>
        <v>394.49874384716014</v>
      </c>
      <c r="BJ44" s="62">
        <f t="shared" si="38"/>
        <v>423.72519584013378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120.31968000000002</v>
      </c>
      <c r="CA44" s="14">
        <f t="shared" si="39"/>
        <v>31.74954785566829</v>
      </c>
      <c r="CB44" s="22">
        <f t="shared" si="10"/>
        <v>264.85390518195561</v>
      </c>
      <c r="CC44" s="62">
        <f t="shared" si="11"/>
        <v>513.45659477645961</v>
      </c>
      <c r="CD44" s="62">
        <f ca="1">AVERAGE(OFFSET($CC$3,0,0,'Données projet'!$E$12+1,1))-AVERAGE(OFFSET($H$3,0,0,'Données projet'!$E$12+1,1))</f>
        <v>496.33873798282525</v>
      </c>
      <c r="CE44" s="62">
        <f t="shared" si="40"/>
        <v>280.25465074992246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6.2820512820512819</v>
      </c>
      <c r="CT44" s="13">
        <f>IF('Données projet'!$A$140&gt;35,CT43+CS44-DB43,IF(A44&lt;'Données projet'!$A$140,$CQ$205^A44,IF(A44='Données projet'!$A$140,'Données projet'!$B$140,CT43+CS44-DB43)))</f>
        <v>166.53846153846152</v>
      </c>
      <c r="CU44" s="18">
        <f>CT44*VLOOKUP('Données projet'!$B$13,Paramètres!$A$1:$I$89,3,0)*VLOOKUP('Données projet'!$B$13,Paramètres!$A$1:$I$89,5,0)</f>
        <v>158.47799999999998</v>
      </c>
      <c r="CV44" s="14">
        <f t="shared" si="41"/>
        <v>40.499033326567876</v>
      </c>
      <c r="CW44" s="22">
        <f t="shared" si="13"/>
        <v>346.55166637710568</v>
      </c>
      <c r="CX44" s="62">
        <f t="shared" si="14"/>
        <v>595.15435597160968</v>
      </c>
      <c r="CY44" s="62">
        <f ca="1">AVERAGE(OFFSET($CX$3,0,0,'Données projet'!$E$13+1,1))-AVERAGE(OFFSET($H$3,0,0,'Données projet'!$E$13+1,1))</f>
        <v>441.15969139782891</v>
      </c>
      <c r="CZ44" s="62">
        <f t="shared" si="42"/>
        <v>315.06466790224783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11.142857142857142</v>
      </c>
      <c r="DO44" s="13">
        <f>IF('Données projet'!$A$166&gt;35,DO43+DN44-DW43,IF(A44&lt;'Données projet'!$A$166,$DL$205^A44,IF(A44='Données projet'!$A$166,'Données projet'!$B$166,DO43+DN44-DW43)))</f>
        <v>196.5714285714285</v>
      </c>
      <c r="DP44" s="18">
        <f>DO44*VLOOKUP('Données projet'!$B$14,Paramètres!$A$1:$I$89,3,0)*VLOOKUP('Données projet'!$B$14,Paramètres!$A$1:$I$89,5,0)</f>
        <v>153.32571428571424</v>
      </c>
      <c r="DQ44" s="14">
        <f t="shared" si="43"/>
        <v>39.333398837614155</v>
      </c>
      <c r="DR44" s="22">
        <f t="shared" si="16"/>
        <v>335.5479553564636</v>
      </c>
      <c r="DS44" s="62">
        <f t="shared" si="17"/>
        <v>584.1506449509676</v>
      </c>
      <c r="DT44" s="62">
        <f ca="1">AVERAGE(OFFSET($DS$3,0,0,'Données projet'!$E$14+1,1))-AVERAGE(OFFSET($H$3,0,0,'Données projet'!$E$14+1,1))</f>
        <v>309.21625451786218</v>
      </c>
      <c r="DU44" s="62">
        <f t="shared" si="44"/>
        <v>302.59481222418219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6.6</v>
      </c>
      <c r="EJ44" s="13">
        <f>IF('Données projet'!$A$192&gt;35,EJ43+EI44-ER43,IF(A44&lt;'Données projet'!$A$192,$EG$205^A44,IF(A44='Données projet'!$A$192,'Données projet'!$B$192,EJ43+EI44-ER43)))</f>
        <v>159.59999999999994</v>
      </c>
      <c r="EK44" s="18">
        <f>EJ44*VLOOKUP('Données projet'!$B$15,Paramètres!$A$1:$I$89,3,0)*VLOOKUP('Données projet'!$B$15,Paramètres!$A$1:$I$89,5,0)</f>
        <v>139.42655999999997</v>
      </c>
      <c r="EL44" s="14">
        <f t="shared" si="45"/>
        <v>36.165607079455818</v>
      </c>
      <c r="EM44" s="22">
        <f t="shared" si="19"/>
        <v>305.82302433005208</v>
      </c>
      <c r="EN44" s="62">
        <f t="shared" si="20"/>
        <v>554.42571392455602</v>
      </c>
      <c r="EO44" s="62">
        <f ca="1">AVERAGE(OFFSET($EN$3,0,0,'Données projet'!$E$15+1,1))-AVERAGE(OFFSET($H$3,0,0,'Données projet'!$E$15+1,1))</f>
        <v>298.56812743477741</v>
      </c>
      <c r="EP44" s="62">
        <f t="shared" si="46"/>
        <v>276.01618888357268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7.5641025641025639</v>
      </c>
      <c r="FE44" s="13">
        <f>IF('Données projet'!$A$218&gt;35,FE43+FD44-FM43,IF(A44&lt;'Données projet'!$A$218,$FB$205^A44,IF(A44='Données projet'!$A$218,'Données projet'!$B$218,FE43+FD44-FM43)))</f>
        <v>196.02564102564111</v>
      </c>
      <c r="FF44" s="18">
        <f>FE44*VLOOKUP('Données projet'!$B$16,Paramètres!$A$1:$I$89,3,0)*VLOOKUP('Données projet'!$B$16,Paramètres!$A$1:$I$89,5,0)</f>
        <v>131.49400000000006</v>
      </c>
      <c r="FG44" s="14">
        <f t="shared" si="47"/>
        <v>34.341348948072792</v>
      </c>
      <c r="FH44" s="22">
        <f t="shared" si="22"/>
        <v>288.82989941789356</v>
      </c>
      <c r="FI44" s="62">
        <f t="shared" si="23"/>
        <v>537.43258901239756</v>
      </c>
      <c r="FJ44" s="62">
        <f ca="1">AVERAGE(OFFSET($FI$3,0,0,'Données projet'!$E$16+1,1))-AVERAGE(OFFSET($H$3,0,0,'Données projet'!$E$16+1,1))</f>
        <v>396.0878652679051</v>
      </c>
      <c r="FK44" s="62">
        <f t="shared" si="48"/>
        <v>327.26339199235406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9">
        <f t="shared" si="1"/>
        <v>183.33333333333334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205</v>
      </c>
      <c r="L45" s="13">
        <f>VLOOKUP(A45,'Données projet'!$A$35:$I$55,9,0)</f>
        <v>15.166666666666666</v>
      </c>
      <c r="M45" s="13">
        <f t="array" ref="M45">INDEX(L:L,MIN(IF(ISNUMBER(L45:L241),ROW(L45:L241),"")))</f>
        <v>15.166666666666666</v>
      </c>
      <c r="N45" s="14">
        <f>IF('Données projet'!$A$36&gt;35,N44+M45-V44,IF(A45&lt;'Données projet'!$A$36,$K$205^A45,IF(A45='Données projet'!$A$36,'Données projet'!$B$36,N44+M45-V44)))</f>
        <v>204.99999999999991</v>
      </c>
      <c r="O45" s="14">
        <f>N45*VLOOKUP('Données projet'!$B$9,Paramètres!$A$1:$I$89,3,0)*VLOOKUP('Données projet'!$B$9,Paramètres!$A$1:$I$89,5,0)</f>
        <v>175.88999999999993</v>
      </c>
      <c r="P45" s="14">
        <f t="shared" si="33"/>
        <v>44.406561291935212</v>
      </c>
      <c r="Q45" s="22">
        <f t="shared" si="53"/>
        <v>383.6831775834537</v>
      </c>
      <c r="R45" s="62">
        <f t="shared" si="0"/>
        <v>633.06184384408846</v>
      </c>
      <c r="S45" s="62">
        <f ca="1">AVERAGE(OFFSET($R$3,0,0,'Données projet'!$E$9+1,1))-AVERAGE(OFFSET($H$3,0,0,'Données projet'!$E$9+1,1))</f>
        <v>478.11504516179713</v>
      </c>
      <c r="T45" s="62">
        <f t="shared" si="34"/>
        <v>249.93713224442419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59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9.8199999999999932</v>
      </c>
      <c r="AI45" s="14">
        <f>IF('Données projet'!$A$62&gt;35,AI44+AH45-AQ44,IF(A45&lt;'Données projet'!$A$62,$AF$205^A45,IF(A45='Données projet'!$A$62,'Données projet'!$B$62,AI44+AH45-AQ44)))</f>
        <v>212.7399999999999</v>
      </c>
      <c r="AJ45" s="14">
        <f>AI45*VLOOKUP('Données projet'!$B$10,Paramètres!$A$1:$I$89,3,0)*VLOOKUP('Données projet'!$B$10,Paramètres!$A$1:$I$89,5,0)</f>
        <v>169.25594399999991</v>
      </c>
      <c r="AK45" s="14">
        <f t="shared" si="35"/>
        <v>42.923337274383478</v>
      </c>
      <c r="AL45" s="22">
        <f t="shared" si="4"/>
        <v>369.54558155288436</v>
      </c>
      <c r="AM45" s="62">
        <f t="shared" si="5"/>
        <v>618.92424781351906</v>
      </c>
      <c r="AN45" s="62">
        <f ca="1">AVERAGE(OFFSET($AM$3,0,0,'Données projet'!$E$10+1,1))-AVERAGE(OFFSET($H$3,0,0,'Données projet'!$E$10+1,1))</f>
        <v>394.49874384716014</v>
      </c>
      <c r="AO45" s="62">
        <f t="shared" si="36"/>
        <v>423.72519584013378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9.8199999999999932</v>
      </c>
      <c r="BD45" s="13">
        <f>IF('Données projet'!$A$88&gt;35,BD44+BC45-BL44,IF(A45&lt;'Données projet'!$A$88,$BA$205^A45,IF(A45='Données projet'!$A$88,'Données projet'!$B$88,BD44+BC45-BL44)))</f>
        <v>212.7399999999999</v>
      </c>
      <c r="BE45" s="14">
        <f>BD45*VLOOKUP('Données projet'!$B$11,Paramètres!$A$1:$I$89,3,0)*VLOOKUP('Données projet'!$B$11,Paramètres!$A$1:$I$89,5,0)</f>
        <v>169.25594399999991</v>
      </c>
      <c r="BF45" s="14">
        <f t="shared" si="37"/>
        <v>42.923337274383478</v>
      </c>
      <c r="BG45" s="22">
        <f t="shared" si="7"/>
        <v>369.54558155288436</v>
      </c>
      <c r="BH45" s="62">
        <f t="shared" si="8"/>
        <v>618.92424781351906</v>
      </c>
      <c r="BI45" s="62">
        <f ca="1">AVERAGE(OFFSET($BH$3,0,0,'Données projet'!$E$11+1,1))-AVERAGE(OFFSET($H$3,0,0,'Données projet'!$E$11+1,1))</f>
        <v>394.49874384716014</v>
      </c>
      <c r="BJ45" s="62">
        <f t="shared" si="38"/>
        <v>423.72519584013378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128.44416000000004</v>
      </c>
      <c r="CA45" s="14">
        <f t="shared" si="39"/>
        <v>33.636598855068954</v>
      </c>
      <c r="CB45" s="22">
        <f t="shared" si="10"/>
        <v>282.29065500591184</v>
      </c>
      <c r="CC45" s="62">
        <f t="shared" si="11"/>
        <v>531.6693212665466</v>
      </c>
      <c r="CD45" s="62">
        <f ca="1">AVERAGE(OFFSET($CC$3,0,0,'Données projet'!$E$12+1,1))-AVERAGE(OFFSET($H$3,0,0,'Données projet'!$E$12+1,1))</f>
        <v>496.33873798282525</v>
      </c>
      <c r="CE45" s="62">
        <f t="shared" si="40"/>
        <v>280.25465074992246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6.2820512820512819</v>
      </c>
      <c r="CT45" s="13">
        <f>IF('Données projet'!$A$140&gt;35,CT44+CS45-DB44,IF(A45&lt;'Données projet'!$A$140,$CQ$205^A45,IF(A45='Données projet'!$A$140,'Données projet'!$B$140,CT44+CS45-DB44)))</f>
        <v>172.82051282051279</v>
      </c>
      <c r="CU45" s="18">
        <f>CT45*VLOOKUP('Données projet'!$B$13,Paramètres!$A$1:$I$89,3,0)*VLOOKUP('Données projet'!$B$13,Paramètres!$A$1:$I$89,5,0)</f>
        <v>164.45599999999996</v>
      </c>
      <c r="CV45" s="14">
        <f t="shared" si="41"/>
        <v>41.84596620708853</v>
      </c>
      <c r="CW45" s="22">
        <f t="shared" si="13"/>
        <v>359.30925781067913</v>
      </c>
      <c r="CX45" s="62">
        <f t="shared" si="14"/>
        <v>608.68792407131389</v>
      </c>
      <c r="CY45" s="62">
        <f ca="1">AVERAGE(OFFSET($CX$3,0,0,'Données projet'!$E$13+1,1))-AVERAGE(OFFSET($H$3,0,0,'Données projet'!$E$13+1,1))</f>
        <v>441.15969139782891</v>
      </c>
      <c r="CZ45" s="62">
        <f t="shared" si="42"/>
        <v>315.06466790224783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11.142857142857142</v>
      </c>
      <c r="DO45" s="13">
        <f>IF('Données projet'!$A$166&gt;35,DO44+DN45-DW44,IF(A45&lt;'Données projet'!$A$166,$DL$205^A45,IF(A45='Données projet'!$A$166,'Données projet'!$B$166,DO44+DN45-DW44)))</f>
        <v>207.71428571428564</v>
      </c>
      <c r="DP45" s="18">
        <f>DO45*VLOOKUP('Données projet'!$B$14,Paramètres!$A$1:$I$89,3,0)*VLOOKUP('Données projet'!$B$14,Paramètres!$A$1:$I$89,5,0)</f>
        <v>162.0171428571428</v>
      </c>
      <c r="DQ45" s="14">
        <f t="shared" si="43"/>
        <v>41.29715533509664</v>
      </c>
      <c r="DR45" s="22">
        <f t="shared" si="16"/>
        <v>354.10573601815037</v>
      </c>
      <c r="DS45" s="62">
        <f t="shared" si="17"/>
        <v>603.48440227878507</v>
      </c>
      <c r="DT45" s="62">
        <f ca="1">AVERAGE(OFFSET($DS$3,0,0,'Données projet'!$E$14+1,1))-AVERAGE(OFFSET($H$3,0,0,'Données projet'!$E$14+1,1))</f>
        <v>309.21625451786218</v>
      </c>
      <c r="DU45" s="62">
        <f t="shared" si="44"/>
        <v>302.59481222418219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6.6</v>
      </c>
      <c r="EJ45" s="13">
        <f>IF('Données projet'!$A$192&gt;35,EJ44+EI45-ER44,IF(A45&lt;'Données projet'!$A$192,$EG$205^A45,IF(A45='Données projet'!$A$192,'Données projet'!$B$192,EJ44+EI45-ER44)))</f>
        <v>166.19999999999993</v>
      </c>
      <c r="EK45" s="18">
        <f>EJ45*VLOOKUP('Données projet'!$B$15,Paramètres!$A$1:$I$89,3,0)*VLOOKUP('Données projet'!$B$15,Paramètres!$A$1:$I$89,5,0)</f>
        <v>145.19231999999997</v>
      </c>
      <c r="EL45" s="14">
        <f t="shared" si="45"/>
        <v>37.48396031597408</v>
      </c>
      <c r="EM45" s="22">
        <f t="shared" si="19"/>
        <v>318.16118821698814</v>
      </c>
      <c r="EN45" s="62">
        <f t="shared" si="20"/>
        <v>567.53985447762284</v>
      </c>
      <c r="EO45" s="62">
        <f ca="1">AVERAGE(OFFSET($EN$3,0,0,'Données projet'!$E$15+1,1))-AVERAGE(OFFSET($H$3,0,0,'Données projet'!$E$15+1,1))</f>
        <v>298.56812743477741</v>
      </c>
      <c r="EP45" s="62">
        <f t="shared" si="46"/>
        <v>276.01618888357268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7.5641025641025639</v>
      </c>
      <c r="FE45" s="13">
        <f>IF('Données projet'!$A$218&gt;35,FE44+FD45-FM44,IF(A45&lt;'Données projet'!$A$218,$FB$205^A45,IF(A45='Données projet'!$A$218,'Données projet'!$B$218,FE44+FD45-FM44)))</f>
        <v>203.58974358974368</v>
      </c>
      <c r="FF45" s="18">
        <f>FE45*VLOOKUP('Données projet'!$B$16,Paramètres!$A$1:$I$89,3,0)*VLOOKUP('Données projet'!$B$16,Paramètres!$A$1:$I$89,5,0)</f>
        <v>136.56800000000007</v>
      </c>
      <c r="FG45" s="14">
        <f t="shared" si="47"/>
        <v>35.509650391805792</v>
      </c>
      <c r="FH45" s="22">
        <f t="shared" si="22"/>
        <v>299.70190776572849</v>
      </c>
      <c r="FI45" s="62">
        <f t="shared" si="23"/>
        <v>549.08057402636325</v>
      </c>
      <c r="FJ45" s="62">
        <f ca="1">AVERAGE(OFFSET($FI$3,0,0,'Données projet'!$E$16+1,1))-AVERAGE(OFFSET($H$3,0,0,'Données projet'!$E$16+1,1))</f>
        <v>396.0878652679051</v>
      </c>
      <c r="FK45" s="62">
        <f t="shared" si="48"/>
        <v>327.26339199235406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9">
        <f t="shared" si="1"/>
        <v>183.33333333333334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15.666666666666666</v>
      </c>
      <c r="N46" s="14">
        <f>IF('Données projet'!$A$36&gt;35,N45+M46-V45,IF(A46&lt;'Données projet'!$A$36,$K$205^A46,IF(A46='Données projet'!$A$36,'Données projet'!$B$36,N45+M46-V45)))</f>
        <v>161.66666666666657</v>
      </c>
      <c r="O46" s="14">
        <f>N46*VLOOKUP('Données projet'!$B$9,Paramètres!$A$1:$I$89,3,0)*VLOOKUP('Données projet'!$B$9,Paramètres!$A$1:$I$89,5,0)</f>
        <v>138.70999999999995</v>
      </c>
      <c r="P46" s="14">
        <f t="shared" si="33"/>
        <v>36.00132558429457</v>
      </c>
      <c r="Q46" s="22">
        <f t="shared" si="53"/>
        <v>304.2888920593129</v>
      </c>
      <c r="R46" s="62">
        <f t="shared" si="0"/>
        <v>554.430073525745</v>
      </c>
      <c r="S46" s="62">
        <f ca="1">AVERAGE(OFFSET($R$3,0,0,'Données projet'!$E$9+1,1))-AVERAGE(OFFSET($H$3,0,0,'Données projet'!$E$9+1,1))</f>
        <v>478.11504516179713</v>
      </c>
      <c r="T46" s="62">
        <f t="shared" si="34"/>
        <v>249.93713224442419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9.8199999999999932</v>
      </c>
      <c r="AI46" s="14">
        <f>IF('Données projet'!$A$62&gt;35,AI45+AH46-AQ45,IF(A46&lt;'Données projet'!$A$62,$AF$205^A46,IF(A46='Données projet'!$A$62,'Données projet'!$B$62,AI45+AH46-AQ45)))</f>
        <v>222.55999999999989</v>
      </c>
      <c r="AJ46" s="14">
        <f>AI46*VLOOKUP('Données projet'!$B$10,Paramètres!$A$1:$I$89,3,0)*VLOOKUP('Données projet'!$B$10,Paramètres!$A$1:$I$89,5,0)</f>
        <v>177.06873599999992</v>
      </c>
      <c r="AK46" s="14">
        <f t="shared" si="35"/>
        <v>44.669412059753448</v>
      </c>
      <c r="AL46" s="22">
        <f t="shared" si="4"/>
        <v>386.19394120407043</v>
      </c>
      <c r="AM46" s="62">
        <f t="shared" si="5"/>
        <v>636.33512267050241</v>
      </c>
      <c r="AN46" s="62">
        <f ca="1">AVERAGE(OFFSET($AM$3,0,0,'Données projet'!$E$10+1,1))-AVERAGE(OFFSET($H$3,0,0,'Données projet'!$E$10+1,1))</f>
        <v>394.49874384716014</v>
      </c>
      <c r="AO46" s="62">
        <f t="shared" si="36"/>
        <v>423.72519584013378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9.8199999999999932</v>
      </c>
      <c r="BD46" s="13">
        <f>IF('Données projet'!$A$88&gt;35,BD45+BC46-BL45,IF(A46&lt;'Données projet'!$A$88,$BA$205^A46,IF(A46='Données projet'!$A$88,'Données projet'!$B$88,BD45+BC46-BL45)))</f>
        <v>222.55999999999989</v>
      </c>
      <c r="BE46" s="14">
        <f>BD46*VLOOKUP('Données projet'!$B$11,Paramètres!$A$1:$I$89,3,0)*VLOOKUP('Données projet'!$B$11,Paramètres!$A$1:$I$89,5,0)</f>
        <v>177.06873599999992</v>
      </c>
      <c r="BF46" s="14">
        <f t="shared" si="37"/>
        <v>44.669412059753448</v>
      </c>
      <c r="BG46" s="22">
        <f t="shared" si="7"/>
        <v>386.19394120407043</v>
      </c>
      <c r="BH46" s="62">
        <f t="shared" si="8"/>
        <v>636.33512267050241</v>
      </c>
      <c r="BI46" s="62">
        <f ca="1">AVERAGE(OFFSET($BH$3,0,0,'Données projet'!$E$11+1,1))-AVERAGE(OFFSET($H$3,0,0,'Données projet'!$E$11+1,1))</f>
        <v>394.49874384716014</v>
      </c>
      <c r="BJ46" s="62">
        <f t="shared" si="38"/>
        <v>423.72519584013378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136.56864000000004</v>
      </c>
      <c r="CA46" s="14">
        <f t="shared" si="39"/>
        <v>35.509797430964703</v>
      </c>
      <c r="CB46" s="22">
        <f t="shared" si="10"/>
        <v>299.70327852559694</v>
      </c>
      <c r="CC46" s="62">
        <f t="shared" si="11"/>
        <v>549.84445999202899</v>
      </c>
      <c r="CD46" s="62">
        <f ca="1">AVERAGE(OFFSET($CC$3,0,0,'Données projet'!$E$12+1,1))-AVERAGE(OFFSET($H$3,0,0,'Données projet'!$E$12+1,1))</f>
        <v>496.33873798282525</v>
      </c>
      <c r="CE46" s="62">
        <f t="shared" si="40"/>
        <v>280.25465074992246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6.2820512820512819</v>
      </c>
      <c r="CT46" s="13">
        <f>IF('Données projet'!$A$140&gt;35,CT45+CS46-DB45,IF(A46&lt;'Données projet'!$A$140,$CQ$205^A46,IF(A46='Données projet'!$A$140,'Données projet'!$B$140,CT45+CS46-DB45)))</f>
        <v>179.10256410256406</v>
      </c>
      <c r="CU46" s="18">
        <f>CT46*VLOOKUP('Données projet'!$B$13,Paramètres!$A$1:$I$89,3,0)*VLOOKUP('Données projet'!$B$13,Paramètres!$A$1:$I$89,5,0)</f>
        <v>170.43399999999997</v>
      </c>
      <c r="CV46" s="14">
        <f t="shared" si="41"/>
        <v>43.187210719400916</v>
      </c>
      <c r="CW46" s="22">
        <f t="shared" si="13"/>
        <v>372.05694200295653</v>
      </c>
      <c r="CX46" s="62">
        <f t="shared" si="14"/>
        <v>622.19812346938852</v>
      </c>
      <c r="CY46" s="62">
        <f ca="1">AVERAGE(OFFSET($CX$3,0,0,'Données projet'!$E$13+1,1))-AVERAGE(OFFSET($H$3,0,0,'Données projet'!$E$13+1,1))</f>
        <v>441.15969139782891</v>
      </c>
      <c r="CZ46" s="62">
        <f t="shared" si="42"/>
        <v>315.06466790224783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11.142857142857142</v>
      </c>
      <c r="DO46" s="13">
        <f>IF('Données projet'!$A$166&gt;35,DO45+DN46-DW45,IF(A46&lt;'Données projet'!$A$166,$DL$205^A46,IF(A46='Données projet'!$A$166,'Données projet'!$B$166,DO45+DN46-DW45)))</f>
        <v>218.85714285714278</v>
      </c>
      <c r="DP46" s="18">
        <f>DO46*VLOOKUP('Données projet'!$B$14,Paramètres!$A$1:$I$89,3,0)*VLOOKUP('Données projet'!$B$14,Paramètres!$A$1:$I$89,5,0)</f>
        <v>170.70857142857136</v>
      </c>
      <c r="DQ46" s="14">
        <f t="shared" si="43"/>
        <v>43.248681576985376</v>
      </c>
      <c r="DR46" s="22">
        <f t="shared" si="16"/>
        <v>372.64221565134466</v>
      </c>
      <c r="DS46" s="62">
        <f t="shared" si="17"/>
        <v>622.78339711777676</v>
      </c>
      <c r="DT46" s="62">
        <f ca="1">AVERAGE(OFFSET($DS$3,0,0,'Données projet'!$E$14+1,1))-AVERAGE(OFFSET($H$3,0,0,'Données projet'!$E$14+1,1))</f>
        <v>309.21625451786218</v>
      </c>
      <c r="DU46" s="62">
        <f t="shared" si="44"/>
        <v>302.59481222418219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6.6</v>
      </c>
      <c r="EJ46" s="13">
        <f>IF('Données projet'!$A$192&gt;35,EJ45+EI46-ER45,IF(A46&lt;'Données projet'!$A$192,$EG$205^A46,IF(A46='Données projet'!$A$192,'Données projet'!$B$192,EJ45+EI46-ER45)))</f>
        <v>172.79999999999993</v>
      </c>
      <c r="EK46" s="18">
        <f>EJ46*VLOOKUP('Données projet'!$B$15,Paramètres!$A$1:$I$89,3,0)*VLOOKUP('Données projet'!$B$15,Paramètres!$A$1:$I$89,5,0)</f>
        <v>150.95807999999997</v>
      </c>
      <c r="EL46" s="14">
        <f t="shared" si="45"/>
        <v>38.796231993724774</v>
      </c>
      <c r="EM46" s="22">
        <f t="shared" si="19"/>
        <v>330.48876005573726</v>
      </c>
      <c r="EN46" s="62">
        <f t="shared" si="20"/>
        <v>580.62994152216925</v>
      </c>
      <c r="EO46" s="62">
        <f ca="1">AVERAGE(OFFSET($EN$3,0,0,'Données projet'!$E$15+1,1))-AVERAGE(OFFSET($H$3,0,0,'Données projet'!$E$15+1,1))</f>
        <v>298.56812743477741</v>
      </c>
      <c r="EP46" s="62">
        <f t="shared" si="46"/>
        <v>276.01618888357268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7.5641025641025639</v>
      </c>
      <c r="FE46" s="13">
        <f>IF('Données projet'!$A$218&gt;35,FE45+FD46-FM45,IF(A46&lt;'Données projet'!$A$218,$FB$205^A46,IF(A46='Données projet'!$A$218,'Données projet'!$B$218,FE45+FD46-FM45)))</f>
        <v>211.15384615384625</v>
      </c>
      <c r="FF46" s="18">
        <f>FE46*VLOOKUP('Données projet'!$B$16,Paramètres!$A$1:$I$89,3,0)*VLOOKUP('Données projet'!$B$16,Paramètres!$A$1:$I$89,5,0)</f>
        <v>141.64200000000005</v>
      </c>
      <c r="FG46" s="14">
        <f t="shared" si="47"/>
        <v>36.672908983761502</v>
      </c>
      <c r="FH46" s="22">
        <f t="shared" si="22"/>
        <v>310.56513314671798</v>
      </c>
      <c r="FI46" s="62">
        <f t="shared" si="23"/>
        <v>560.70631461314997</v>
      </c>
      <c r="FJ46" s="62">
        <f ca="1">AVERAGE(OFFSET($FI$3,0,0,'Données projet'!$E$16+1,1))-AVERAGE(OFFSET($H$3,0,0,'Données projet'!$E$16+1,1))</f>
        <v>396.0878652679051</v>
      </c>
      <c r="FK46" s="62">
        <f t="shared" si="48"/>
        <v>327.26339199235406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9">
        <f t="shared" si="1"/>
        <v>183.33333333333334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15.666666666666666</v>
      </c>
      <c r="N47" s="14">
        <f>IF('Données projet'!$A$36&gt;35,N46+M47-V46,IF(A47&lt;'Données projet'!$A$36,$K$205^A47,IF(A47='Données projet'!$A$36,'Données projet'!$B$36,N46+M47-V46)))</f>
        <v>177.33333333333323</v>
      </c>
      <c r="O47" s="14">
        <f>N47*VLOOKUP('Données projet'!$B$9,Paramètres!$A$1:$I$89,3,0)*VLOOKUP('Données projet'!$B$9,Paramètres!$A$1:$I$89,5,0)</f>
        <v>152.15199999999993</v>
      </c>
      <c r="P47" s="14">
        <f t="shared" si="33"/>
        <v>39.067229161930634</v>
      </c>
      <c r="Q47" s="22">
        <f t="shared" si="53"/>
        <v>333.04015745702907</v>
      </c>
      <c r="R47" s="62">
        <f t="shared" si="0"/>
        <v>583.9306261951665</v>
      </c>
      <c r="S47" s="62">
        <f ca="1">AVERAGE(OFFSET($R$3,0,0,'Données projet'!$E$9+1,1))-AVERAGE(OFFSET($H$3,0,0,'Données projet'!$E$9+1,1))</f>
        <v>478.11504516179713</v>
      </c>
      <c r="T47" s="62">
        <f t="shared" si="34"/>
        <v>249.93713224442419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9.8199999999999932</v>
      </c>
      <c r="AI47" s="14">
        <f>IF('Données projet'!$A$62&gt;35,AI46+AH47-AQ46,IF(A47&lt;'Données projet'!$A$62,$AF$205^A47,IF(A47='Données projet'!$A$62,'Données projet'!$B$62,AI46+AH47-AQ46)))</f>
        <v>232.37999999999988</v>
      </c>
      <c r="AJ47" s="14">
        <f>AI47*VLOOKUP('Données projet'!$B$10,Paramètres!$A$1:$I$89,3,0)*VLOOKUP('Données projet'!$B$10,Paramètres!$A$1:$I$89,5,0)</f>
        <v>184.88152799999992</v>
      </c>
      <c r="AK47" s="14">
        <f t="shared" si="35"/>
        <v>46.406539086581006</v>
      </c>
      <c r="AL47" s="22">
        <f t="shared" si="4"/>
        <v>402.82671684246179</v>
      </c>
      <c r="AM47" s="62">
        <f t="shared" si="5"/>
        <v>653.71718558059922</v>
      </c>
      <c r="AN47" s="62">
        <f ca="1">AVERAGE(OFFSET($AM$3,0,0,'Données projet'!$E$10+1,1))-AVERAGE(OFFSET($H$3,0,0,'Données projet'!$E$10+1,1))</f>
        <v>394.49874384716014</v>
      </c>
      <c r="AO47" s="62">
        <f t="shared" si="36"/>
        <v>423.72519584013378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9.8199999999999932</v>
      </c>
      <c r="BD47" s="13">
        <f>IF('Données projet'!$A$88&gt;35,BD46+BC47-BL46,IF(A47&lt;'Données projet'!$A$88,$BA$205^A47,IF(A47='Données projet'!$A$88,'Données projet'!$B$88,BD46+BC47-BL46)))</f>
        <v>232.37999999999988</v>
      </c>
      <c r="BE47" s="14">
        <f>BD47*VLOOKUP('Données projet'!$B$11,Paramètres!$A$1:$I$89,3,0)*VLOOKUP('Données projet'!$B$11,Paramètres!$A$1:$I$89,5,0)</f>
        <v>184.88152799999992</v>
      </c>
      <c r="BF47" s="14">
        <f t="shared" si="37"/>
        <v>46.406539086581006</v>
      </c>
      <c r="BG47" s="22">
        <f t="shared" si="7"/>
        <v>402.82671684246179</v>
      </c>
      <c r="BH47" s="62">
        <f t="shared" si="8"/>
        <v>653.71718558059922</v>
      </c>
      <c r="BI47" s="62">
        <f ca="1">AVERAGE(OFFSET($BH$3,0,0,'Données projet'!$E$11+1,1))-AVERAGE(OFFSET($H$3,0,0,'Données projet'!$E$11+1,1))</f>
        <v>394.49874384716014</v>
      </c>
      <c r="BJ47" s="62">
        <f t="shared" si="38"/>
        <v>423.72519584013378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144.69312000000005</v>
      </c>
      <c r="CA47" s="14">
        <f t="shared" si="39"/>
        <v>37.370061524802772</v>
      </c>
      <c r="CB47" s="22">
        <f t="shared" si="10"/>
        <v>317.09337448903153</v>
      </c>
      <c r="CC47" s="62">
        <f t="shared" si="11"/>
        <v>567.98384322716902</v>
      </c>
      <c r="CD47" s="62">
        <f ca="1">AVERAGE(OFFSET($CC$3,0,0,'Données projet'!$E$12+1,1))-AVERAGE(OFFSET($H$3,0,0,'Données projet'!$E$12+1,1))</f>
        <v>496.33873798282525</v>
      </c>
      <c r="CE47" s="62">
        <f t="shared" si="40"/>
        <v>280.25465074992246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6.2820512820512819</v>
      </c>
      <c r="CT47" s="13">
        <f>IF('Données projet'!$A$140&gt;35,CT46+CS47-DB46,IF(A47&lt;'Données projet'!$A$140,$CQ$205^A47,IF(A47='Données projet'!$A$140,'Données projet'!$B$140,CT46+CS47-DB46)))</f>
        <v>185.38461538461533</v>
      </c>
      <c r="CU47" s="18">
        <f>CT47*VLOOKUP('Données projet'!$B$13,Paramètres!$A$1:$I$89,3,0)*VLOOKUP('Données projet'!$B$13,Paramètres!$A$1:$I$89,5,0)</f>
        <v>176.41199999999995</v>
      </c>
      <c r="CV47" s="14">
        <f t="shared" si="41"/>
        <v>44.522989246723967</v>
      </c>
      <c r="CW47" s="22">
        <f t="shared" si="13"/>
        <v>384.79510627137751</v>
      </c>
      <c r="CX47" s="62">
        <f t="shared" si="14"/>
        <v>635.68557500951488</v>
      </c>
      <c r="CY47" s="62">
        <f ca="1">AVERAGE(OFFSET($CX$3,0,0,'Données projet'!$E$13+1,1))-AVERAGE(OFFSET($H$3,0,0,'Données projet'!$E$13+1,1))</f>
        <v>441.15969139782891</v>
      </c>
      <c r="CZ47" s="62">
        <f t="shared" si="42"/>
        <v>315.06466790224783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>
        <f>VLOOKUP(A47,'Données projet'!$A$165:$I$185,2,0)</f>
        <v>230</v>
      </c>
      <c r="DM47" s="13">
        <f>VLOOKUP(A47,'Données projet'!$A$165:$I$185,9,0)</f>
        <v>11.142857142857142</v>
      </c>
      <c r="DN47" s="13">
        <f t="array" ref="DN47">INDEX(DM:DM,MIN(IF(ISNUMBER(DM47:DM243),ROW(DM47:DM243),"")))</f>
        <v>11.142857142857142</v>
      </c>
      <c r="DO47" s="13">
        <f>IF('Données projet'!$A$166&gt;35,DO46+DN47-DW46,IF(A47&lt;'Données projet'!$A$166,$DL$205^A47,IF(A47='Données projet'!$A$166,'Données projet'!$B$166,DO46+DN47-DW46)))</f>
        <v>229.99999999999991</v>
      </c>
      <c r="DP47" s="18">
        <f>DO47*VLOOKUP('Données projet'!$B$14,Paramètres!$A$1:$I$89,3,0)*VLOOKUP('Données projet'!$B$14,Paramètres!$A$1:$I$89,5,0)</f>
        <v>179.39999999999995</v>
      </c>
      <c r="DQ47" s="14">
        <f t="shared" si="43"/>
        <v>45.188671291872232</v>
      </c>
      <c r="DR47" s="22">
        <f t="shared" si="16"/>
        <v>391.15860250001066</v>
      </c>
      <c r="DS47" s="62">
        <f t="shared" si="17"/>
        <v>642.04907123814814</v>
      </c>
      <c r="DT47" s="62">
        <f ca="1">AVERAGE(OFFSET($DS$3,0,0,'Données projet'!$E$14+1,1))-AVERAGE(OFFSET($H$3,0,0,'Données projet'!$E$14+1,1))</f>
        <v>309.21625451786218</v>
      </c>
      <c r="DU47" s="62">
        <f t="shared" si="44"/>
        <v>302.59481222418219</v>
      </c>
      <c r="DV47" s="16">
        <f>IF(ISNA(VLOOKUP(A47,'Données projet'!$A$165:$I$185,3,0)),0,VLOOKUP(A47,'Données projet'!$A$165:$I$185,3,0))</f>
        <v>5</v>
      </c>
      <c r="DW47" s="16">
        <f>IF(ISNA(VLOOKUP(A47,'Données projet'!$A$165:$I$185,4,0)),0,VLOOKUP(A47,'Données projet'!$A$165:$I$185,4,0))</f>
        <v>43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6.6</v>
      </c>
      <c r="EJ47" s="13">
        <f>IF('Données projet'!$A$192&gt;35,EJ46+EI47-ER46,IF(A47&lt;'Données projet'!$A$192,$EG$205^A47,IF(A47='Données projet'!$A$192,'Données projet'!$B$192,EJ46+EI47-ER46)))</f>
        <v>179.39999999999992</v>
      </c>
      <c r="EK47" s="18">
        <f>EJ47*VLOOKUP('Données projet'!$B$15,Paramètres!$A$1:$I$89,3,0)*VLOOKUP('Données projet'!$B$15,Paramètres!$A$1:$I$89,5,0)</f>
        <v>156.72383999999997</v>
      </c>
      <c r="EL47" s="14">
        <f t="shared" si="45"/>
        <v>40.102680984620484</v>
      </c>
      <c r="EM47" s="22">
        <f t="shared" si="19"/>
        <v>342.80619071488059</v>
      </c>
      <c r="EN47" s="62">
        <f t="shared" si="20"/>
        <v>593.69665945301801</v>
      </c>
      <c r="EO47" s="62">
        <f ca="1">AVERAGE(OFFSET($EN$3,0,0,'Données projet'!$E$15+1,1))-AVERAGE(OFFSET($H$3,0,0,'Données projet'!$E$15+1,1))</f>
        <v>298.56812743477741</v>
      </c>
      <c r="EP47" s="62">
        <f t="shared" si="46"/>
        <v>276.01618888357268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7.5641025641025639</v>
      </c>
      <c r="FE47" s="13">
        <f>IF('Données projet'!$A$218&gt;35,FE46+FD47-FM46,IF(A47&lt;'Données projet'!$A$218,$FB$205^A47,IF(A47='Données projet'!$A$218,'Données projet'!$B$218,FE46+FD47-FM46)))</f>
        <v>218.71794871794881</v>
      </c>
      <c r="FF47" s="18">
        <f>FE47*VLOOKUP('Données projet'!$B$16,Paramètres!$A$1:$I$89,3,0)*VLOOKUP('Données projet'!$B$16,Paramètres!$A$1:$I$89,5,0)</f>
        <v>146.71600000000007</v>
      </c>
      <c r="FG47" s="14">
        <f t="shared" si="47"/>
        <v>37.831326067731702</v>
      </c>
      <c r="FH47" s="22">
        <f t="shared" si="22"/>
        <v>321.41992623463284</v>
      </c>
      <c r="FI47" s="62">
        <f t="shared" si="23"/>
        <v>572.31039497277027</v>
      </c>
      <c r="FJ47" s="62">
        <f ca="1">AVERAGE(OFFSET($FI$3,0,0,'Données projet'!$E$16+1,1))-AVERAGE(OFFSET($H$3,0,0,'Données projet'!$E$16+1,1))</f>
        <v>396.0878652679051</v>
      </c>
      <c r="FK47" s="62">
        <f t="shared" si="48"/>
        <v>327.26339199235406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9">
        <f t="shared" si="1"/>
        <v>183.33333333333334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15.666666666666666</v>
      </c>
      <c r="N48" s="14">
        <f>IF('Données projet'!$A$36&gt;35,N47+M48-V47,IF(A48&lt;'Données projet'!$A$36,$K$205^A48,IF(A48='Données projet'!$A$36,'Données projet'!$B$36,N47+M48-V47)))</f>
        <v>192.99999999999989</v>
      </c>
      <c r="O48" s="14">
        <f>N48*VLOOKUP('Données projet'!$B$9,Paramètres!$A$1:$I$89,3,0)*VLOOKUP('Données projet'!$B$9,Paramètres!$A$1:$I$89,5,0)</f>
        <v>165.59399999999994</v>
      </c>
      <c r="P48" s="14">
        <f t="shared" si="33"/>
        <v>42.101723105196754</v>
      </c>
      <c r="Q48" s="22">
        <f t="shared" si="53"/>
        <v>361.73671774155088</v>
      </c>
      <c r="R48" s="62">
        <f t="shared" si="0"/>
        <v>613.36347529238503</v>
      </c>
      <c r="S48" s="62">
        <f ca="1">AVERAGE(OFFSET($R$3,0,0,'Données projet'!$E$9+1,1))-AVERAGE(OFFSET($H$3,0,0,'Données projet'!$E$9+1,1))</f>
        <v>478.11504516179713</v>
      </c>
      <c r="T48" s="62">
        <f t="shared" si="34"/>
        <v>249.93713224442419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242.2</v>
      </c>
      <c r="AG48" s="13">
        <f>VLOOKUP(A48,'Données projet'!$A$61:$I$81,9,0)</f>
        <v>9.8199999999999932</v>
      </c>
      <c r="AH48" s="13">
        <f t="array" ref="AH48">INDEX(AG:AG,MIN(IF(ISNUMBER(AG48:AG244),ROW(AG48:AG244),"")))</f>
        <v>9.8199999999999932</v>
      </c>
      <c r="AI48" s="14">
        <f>IF('Données projet'!$A$62&gt;35,AI47+AH48-AQ47,IF(A48&lt;'Données projet'!$A$62,$AF$205^A48,IF(A48='Données projet'!$A$62,'Données projet'!$B$62,AI47+AH48-AQ47)))</f>
        <v>242.19999999999987</v>
      </c>
      <c r="AJ48" s="14">
        <f>AI48*VLOOKUP('Données projet'!$B$10,Paramètres!$A$1:$I$89,3,0)*VLOOKUP('Données projet'!$B$10,Paramètres!$A$1:$I$89,5,0)</f>
        <v>192.69431999999989</v>
      </c>
      <c r="AK48" s="14">
        <f t="shared" si="35"/>
        <v>48.13513970479886</v>
      </c>
      <c r="AL48" s="22">
        <f t="shared" si="4"/>
        <v>419.44464231919113</v>
      </c>
      <c r="AM48" s="62">
        <f t="shared" si="5"/>
        <v>671.07139987002529</v>
      </c>
      <c r="AN48" s="62">
        <f ca="1">AVERAGE(OFFSET($AM$3,0,0,'Données projet'!$E$10+1,1))-AVERAGE(OFFSET($H$3,0,0,'Données projet'!$E$10+1,1))</f>
        <v>394.49874384716014</v>
      </c>
      <c r="AO48" s="62">
        <f t="shared" si="36"/>
        <v>423.72519584013378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242.2</v>
      </c>
      <c r="BB48" s="13">
        <f>VLOOKUP(A48,'Données projet'!$A$87:$I$107,9,0)</f>
        <v>9.8199999999999932</v>
      </c>
      <c r="BC48" s="13">
        <f t="array" ref="BC48">INDEX(BB:BB,MIN(IF(ISNUMBER(BB48:BB244),ROW(BB48:BB244),"")))</f>
        <v>9.8199999999999932</v>
      </c>
      <c r="BD48" s="13">
        <f>IF('Données projet'!$A$88&gt;35,BD47+BC48-BL47,IF(A48&lt;'Données projet'!$A$88,$BA$205^A48,IF(A48='Données projet'!$A$88,'Données projet'!$B$88,BD47+BC48-BL47)))</f>
        <v>242.19999999999987</v>
      </c>
      <c r="BE48" s="14">
        <f>BD48*VLOOKUP('Données projet'!$B$11,Paramètres!$A$1:$I$89,3,0)*VLOOKUP('Données projet'!$B$11,Paramètres!$A$1:$I$89,5,0)</f>
        <v>192.69431999999989</v>
      </c>
      <c r="BF48" s="14">
        <f t="shared" si="37"/>
        <v>48.13513970479886</v>
      </c>
      <c r="BG48" s="22">
        <f t="shared" si="7"/>
        <v>419.44464231919113</v>
      </c>
      <c r="BH48" s="62">
        <f t="shared" si="8"/>
        <v>671.07139987002529</v>
      </c>
      <c r="BI48" s="62">
        <f ca="1">AVERAGE(OFFSET($BH$3,0,0,'Données projet'!$E$11+1,1))-AVERAGE(OFFSET($H$3,0,0,'Données projet'!$E$11+1,1))</f>
        <v>394.49874384716014</v>
      </c>
      <c r="BJ48" s="62">
        <f t="shared" si="38"/>
        <v>423.72519584013378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152.81760000000006</v>
      </c>
      <c r="CA48" s="14">
        <f t="shared" si="39"/>
        <v>39.218200171484227</v>
      </c>
      <c r="CB48" s="22">
        <f t="shared" si="10"/>
        <v>334.46235196533513</v>
      </c>
      <c r="CC48" s="62">
        <f t="shared" si="11"/>
        <v>586.08910951616929</v>
      </c>
      <c r="CD48" s="62">
        <f ca="1">AVERAGE(OFFSET($CC$3,0,0,'Données projet'!$E$12+1,1))-AVERAGE(OFFSET($H$3,0,0,'Données projet'!$E$12+1,1))</f>
        <v>496.33873798282525</v>
      </c>
      <c r="CE48" s="62">
        <f t="shared" si="40"/>
        <v>280.25465074992246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191.66666666666666</v>
      </c>
      <c r="CR48" s="13">
        <f>VLOOKUP(A48,'Données projet'!$A$139:$I$159,9,0)</f>
        <v>6.2820512820512819</v>
      </c>
      <c r="CS48" s="13">
        <f t="array" ref="CS48">INDEX(CR:CR,MIN(IF(ISNUMBER(CR48:CR244),ROW(CR48:CR244),"")))</f>
        <v>6.2820512820512819</v>
      </c>
      <c r="CT48" s="13">
        <f>IF('Données projet'!$A$140&gt;35,CT47+CS48-DB47,IF(A48&lt;'Données projet'!$A$140,$CQ$205^A48,IF(A48='Données projet'!$A$140,'Données projet'!$B$140,CT47+CS48-DB47)))</f>
        <v>191.6666666666666</v>
      </c>
      <c r="CU48" s="18">
        <f>CT48*VLOOKUP('Données projet'!$B$13,Paramètres!$A$1:$I$89,3,0)*VLOOKUP('Données projet'!$B$13,Paramètres!$A$1:$I$89,5,0)</f>
        <v>182.38999999999996</v>
      </c>
      <c r="CV48" s="14">
        <f t="shared" si="41"/>
        <v>45.853508245632504</v>
      </c>
      <c r="CW48" s="22">
        <f t="shared" si="13"/>
        <v>397.52411019447646</v>
      </c>
      <c r="CX48" s="62">
        <f t="shared" si="14"/>
        <v>649.15086774531062</v>
      </c>
      <c r="CY48" s="62">
        <f ca="1">AVERAGE(OFFSET($CX$3,0,0,'Données projet'!$E$13+1,1))-AVERAGE(OFFSET($H$3,0,0,'Données projet'!$E$13+1,1))</f>
        <v>441.15969139782891</v>
      </c>
      <c r="CZ48" s="62">
        <f t="shared" si="42"/>
        <v>315.06466790224783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34.615384615384613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10.375</v>
      </c>
      <c r="DO48" s="13">
        <f>IF('Données projet'!$A$166&gt;35,DO47+DN48-DW47,IF(A48&lt;'Données projet'!$A$166,$DL$205^A48,IF(A48='Données projet'!$A$166,'Données projet'!$B$166,DO47+DN48-DW47)))</f>
        <v>197.37499999999991</v>
      </c>
      <c r="DP48" s="18">
        <f>DO48*VLOOKUP('Données projet'!$B$14,Paramètres!$A$1:$I$89,3,0)*VLOOKUP('Données projet'!$B$14,Paramètres!$A$1:$I$89,5,0)</f>
        <v>153.95249999999993</v>
      </c>
      <c r="DQ48" s="14">
        <f t="shared" si="43"/>
        <v>39.475441267837361</v>
      </c>
      <c r="DR48" s="22">
        <f t="shared" si="16"/>
        <v>336.88699770814992</v>
      </c>
      <c r="DS48" s="62">
        <f t="shared" si="17"/>
        <v>588.51375525898402</v>
      </c>
      <c r="DT48" s="62">
        <f ca="1">AVERAGE(OFFSET($DS$3,0,0,'Données projet'!$E$14+1,1))-AVERAGE(OFFSET($H$3,0,0,'Données projet'!$E$14+1,1))</f>
        <v>309.21625451786218</v>
      </c>
      <c r="DU48" s="62">
        <f t="shared" si="44"/>
        <v>302.59481222418219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186</v>
      </c>
      <c r="EH48" s="13">
        <f>VLOOKUP(A48,'Données projet'!$A$191:$I$211,9,0)</f>
        <v>6.6</v>
      </c>
      <c r="EI48" s="13">
        <f t="array" ref="EI48">INDEX(EH:EH,MIN(IF(ISNUMBER(EH48:EH244),ROW(EH48:EH244),"")))</f>
        <v>6.6</v>
      </c>
      <c r="EJ48" s="13">
        <f>IF('Données projet'!$A$192&gt;35,EJ47+EI48-ER47,IF(A48&lt;'Données projet'!$A$192,$EG$205^A48,IF(A48='Données projet'!$A$192,'Données projet'!$B$192,EJ47+EI48-ER47)))</f>
        <v>185.99999999999991</v>
      </c>
      <c r="EK48" s="18">
        <f>EJ48*VLOOKUP('Données projet'!$B$15,Paramètres!$A$1:$I$89,3,0)*VLOOKUP('Données projet'!$B$15,Paramètres!$A$1:$I$89,5,0)</f>
        <v>162.48959999999997</v>
      </c>
      <c r="EL48" s="14">
        <f t="shared" si="45"/>
        <v>41.403546033820696</v>
      </c>
      <c r="EM48" s="22">
        <f t="shared" si="19"/>
        <v>355.11389600890431</v>
      </c>
      <c r="EN48" s="62">
        <f t="shared" si="20"/>
        <v>606.74065355973846</v>
      </c>
      <c r="EO48" s="62">
        <f ca="1">AVERAGE(OFFSET($EN$3,0,0,'Données projet'!$E$15+1,1))-AVERAGE(OFFSET($H$3,0,0,'Données projet'!$E$15+1,1))</f>
        <v>298.56812743477741</v>
      </c>
      <c r="EP48" s="62">
        <f t="shared" si="46"/>
        <v>276.01618888357268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39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226.28205128205127</v>
      </c>
      <c r="FC48" s="13">
        <f>VLOOKUP(A48,'Données projet'!$A$217:$I$237,9,0)</f>
        <v>7.5641025641025639</v>
      </c>
      <c r="FD48" s="13">
        <f t="array" ref="FD48">INDEX(FC:FC,MIN(IF(ISNUMBER(FC48:FC244),ROW(FC48:FC244),"")))</f>
        <v>7.5641025641025639</v>
      </c>
      <c r="FE48" s="13">
        <f>IF('Données projet'!$A$218&gt;35,FE47+FD48-FM47,IF(A48&lt;'Données projet'!$A$218,$FB$205^A48,IF(A48='Données projet'!$A$218,'Données projet'!$B$218,FE47+FD48-FM47)))</f>
        <v>226.28205128205138</v>
      </c>
      <c r="FF48" s="18">
        <f>FE48*VLOOKUP('Données projet'!$B$16,Paramètres!$A$1:$I$89,3,0)*VLOOKUP('Données projet'!$B$16,Paramètres!$A$1:$I$89,5,0)</f>
        <v>151.79000000000005</v>
      </c>
      <c r="FG48" s="14">
        <f t="shared" si="47"/>
        <v>38.985088271202081</v>
      </c>
      <c r="FH48" s="22">
        <f t="shared" si="22"/>
        <v>332.26661207234366</v>
      </c>
      <c r="FI48" s="62">
        <f t="shared" si="23"/>
        <v>583.89336962317782</v>
      </c>
      <c r="FJ48" s="62">
        <f ca="1">AVERAGE(OFFSET($FI$3,0,0,'Données projet'!$E$16+1,1))-AVERAGE(OFFSET($H$3,0,0,'Données projet'!$E$16+1,1))</f>
        <v>396.0878652679051</v>
      </c>
      <c r="FK48" s="62">
        <f t="shared" si="48"/>
        <v>327.26339199235406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9">
        <f t="shared" si="1"/>
        <v>183.33333333333334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15.666666666666666</v>
      </c>
      <c r="N49" s="14">
        <f>IF('Données projet'!$A$36&gt;35,N48+M49-V48,IF(A49&lt;'Données projet'!$A$36,$K$205^A49,IF(A49='Données projet'!$A$36,'Données projet'!$B$36,N48+M49-V48)))</f>
        <v>208.66666666666654</v>
      </c>
      <c r="O49" s="14">
        <f>N49*VLOOKUP('Données projet'!$B$9,Paramètres!$A$1:$I$89,3,0)*VLOOKUP('Données projet'!$B$9,Paramètres!$A$1:$I$89,5,0)</f>
        <v>179.03599999999992</v>
      </c>
      <c r="P49" s="14">
        <f t="shared" si="33"/>
        <v>45.1076469440343</v>
      </c>
      <c r="Q49" s="22">
        <f t="shared" si="53"/>
        <v>390.38351842752627</v>
      </c>
      <c r="R49" s="62">
        <f t="shared" si="0"/>
        <v>642.73379182625195</v>
      </c>
      <c r="S49" s="62">
        <f ca="1">AVERAGE(OFFSET($R$3,0,0,'Données projet'!$E$9+1,1))-AVERAGE(OFFSET($H$3,0,0,'Données projet'!$E$9+1,1))</f>
        <v>478.11504516179713</v>
      </c>
      <c r="T49" s="62">
        <f t="shared" si="34"/>
        <v>249.93713224442419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8.5399999999999974</v>
      </c>
      <c r="AI49" s="14">
        <f>IF('Données projet'!$A$62&gt;35,AI48+AH49-AQ48,IF(A49&lt;'Données projet'!$A$62,$AF$205^A49,IF(A49='Données projet'!$A$62,'Données projet'!$B$62,AI48+AH49-AQ48)))</f>
        <v>250.73999999999987</v>
      </c>
      <c r="AJ49" s="14">
        <f>AI49*VLOOKUP('Données projet'!$B$10,Paramètres!$A$1:$I$89,3,0)*VLOOKUP('Données projet'!$B$10,Paramètres!$A$1:$I$89,5,0)</f>
        <v>199.48874399999991</v>
      </c>
      <c r="AK49" s="14">
        <f t="shared" si="35"/>
        <v>49.631792398634111</v>
      </c>
      <c r="AL49" s="22">
        <f t="shared" si="4"/>
        <v>433.88493422762093</v>
      </c>
      <c r="AM49" s="62">
        <f t="shared" si="5"/>
        <v>686.23520762634655</v>
      </c>
      <c r="AN49" s="62">
        <f ca="1">AVERAGE(OFFSET($AM$3,0,0,'Données projet'!$E$10+1,1))-AVERAGE(OFFSET($H$3,0,0,'Données projet'!$E$10+1,1))</f>
        <v>394.49874384716014</v>
      </c>
      <c r="AO49" s="62">
        <f t="shared" si="36"/>
        <v>423.72519584013378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8.5399999999999974</v>
      </c>
      <c r="BD49" s="13">
        <f>IF('Données projet'!$A$88&gt;35,BD48+BC49-BL48,IF(A49&lt;'Données projet'!$A$88,$BA$205^A49,IF(A49='Données projet'!$A$88,'Données projet'!$B$88,BD48+BC49-BL48)))</f>
        <v>250.73999999999987</v>
      </c>
      <c r="BE49" s="14">
        <f>BD49*VLOOKUP('Données projet'!$B$11,Paramètres!$A$1:$I$89,3,0)*VLOOKUP('Données projet'!$B$11,Paramètres!$A$1:$I$89,5,0)</f>
        <v>199.48874399999991</v>
      </c>
      <c r="BF49" s="14">
        <f t="shared" si="37"/>
        <v>49.631792398634111</v>
      </c>
      <c r="BG49" s="22">
        <f t="shared" si="7"/>
        <v>433.88493422762093</v>
      </c>
      <c r="BH49" s="62">
        <f t="shared" si="8"/>
        <v>686.23520762634655</v>
      </c>
      <c r="BI49" s="62">
        <f ca="1">AVERAGE(OFFSET($BH$3,0,0,'Données projet'!$E$11+1,1))-AVERAGE(OFFSET($H$3,0,0,'Données projet'!$E$11+1,1))</f>
        <v>394.49874384716014</v>
      </c>
      <c r="BJ49" s="62">
        <f t="shared" si="38"/>
        <v>423.72519584013378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160.74864000000005</v>
      </c>
      <c r="CA49" s="14">
        <f t="shared" si="39"/>
        <v>41.011327345272264</v>
      </c>
      <c r="CB49" s="22">
        <f t="shared" si="10"/>
        <v>351.39860979301596</v>
      </c>
      <c r="CC49" s="62">
        <f t="shared" si="11"/>
        <v>603.74888319174158</v>
      </c>
      <c r="CD49" s="62">
        <f ca="1">AVERAGE(OFFSET($CC$3,0,0,'Données projet'!$E$12+1,1))-AVERAGE(OFFSET($H$3,0,0,'Données projet'!$E$12+1,1))</f>
        <v>496.33873798282525</v>
      </c>
      <c r="CE49" s="62">
        <f t="shared" si="40"/>
        <v>280.25465074992246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6.0256410256410273</v>
      </c>
      <c r="CT49" s="13">
        <f>IF('Données projet'!$A$140&gt;35,CT48+CS49-DB48,IF(A49&lt;'Données projet'!$A$140,$CQ$205^A49,IF(A49='Données projet'!$A$140,'Données projet'!$B$140,CT48+CS49-DB48)))</f>
        <v>163.07692307692301</v>
      </c>
      <c r="CU49" s="18">
        <f>CT49*VLOOKUP('Données projet'!$B$13,Paramètres!$A$1:$I$89,3,0)*VLOOKUP('Données projet'!$B$13,Paramètres!$A$1:$I$89,5,0)</f>
        <v>155.18399999999994</v>
      </c>
      <c r="CV49" s="14">
        <f t="shared" si="41"/>
        <v>39.754328566553049</v>
      </c>
      <c r="CW49" s="22">
        <f t="shared" si="13"/>
        <v>339.51758892007979</v>
      </c>
      <c r="CX49" s="62">
        <f t="shared" si="14"/>
        <v>591.86786231880546</v>
      </c>
      <c r="CY49" s="62">
        <f ca="1">AVERAGE(OFFSET($CX$3,0,0,'Données projet'!$E$13+1,1))-AVERAGE(OFFSET($H$3,0,0,'Données projet'!$E$13+1,1))</f>
        <v>441.15969139782891</v>
      </c>
      <c r="CZ49" s="62">
        <f t="shared" si="42"/>
        <v>315.06466790224783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10.375</v>
      </c>
      <c r="DO49" s="13">
        <f>IF('Données projet'!$A$166&gt;35,DO48+DN49-DW48,IF(A49&lt;'Données projet'!$A$166,$DL$205^A49,IF(A49='Données projet'!$A$166,'Données projet'!$B$166,DO48+DN49-DW48)))</f>
        <v>207.74999999999991</v>
      </c>
      <c r="DP49" s="18">
        <f>DO49*VLOOKUP('Données projet'!$B$14,Paramètres!$A$1:$I$89,3,0)*VLOOKUP('Données projet'!$B$14,Paramètres!$A$1:$I$89,5,0)</f>
        <v>162.04499999999993</v>
      </c>
      <c r="DQ49" s="14">
        <f t="shared" si="43"/>
        <v>41.303429372463391</v>
      </c>
      <c r="DR49" s="22">
        <f t="shared" si="16"/>
        <v>354.16518115704025</v>
      </c>
      <c r="DS49" s="62">
        <f t="shared" si="17"/>
        <v>606.51545455576593</v>
      </c>
      <c r="DT49" s="62">
        <f ca="1">AVERAGE(OFFSET($DS$3,0,0,'Données projet'!$E$14+1,1))-AVERAGE(OFFSET($H$3,0,0,'Données projet'!$E$14+1,1))</f>
        <v>309.21625451786218</v>
      </c>
      <c r="DU49" s="62">
        <f t="shared" si="44"/>
        <v>302.59481222418219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5.4</v>
      </c>
      <c r="EJ49" s="13">
        <f>IF('Données projet'!$A$192&gt;35,EJ48+EI49-ER48,IF(A49&lt;'Données projet'!$A$192,$EG$205^A49,IF(A49='Données projet'!$A$192,'Données projet'!$B$192,EJ48+EI49-ER48)))</f>
        <v>152.39999999999992</v>
      </c>
      <c r="EK49" s="18">
        <f>EJ49*VLOOKUP('Données projet'!$B$15,Paramètres!$A$1:$I$89,3,0)*VLOOKUP('Données projet'!$B$15,Paramètres!$A$1:$I$89,5,0)</f>
        <v>133.13663999999994</v>
      </c>
      <c r="EL49" s="14">
        <f t="shared" si="45"/>
        <v>34.720135986247143</v>
      </c>
      <c r="EM49" s="22">
        <f t="shared" si="19"/>
        <v>292.35055150938035</v>
      </c>
      <c r="EN49" s="62">
        <f t="shared" si="20"/>
        <v>544.70082490810603</v>
      </c>
      <c r="EO49" s="62">
        <f ca="1">AVERAGE(OFFSET($EN$3,0,0,'Données projet'!$E$15+1,1))-AVERAGE(OFFSET($H$3,0,0,'Données projet'!$E$15+1,1))</f>
        <v>298.56812743477741</v>
      </c>
      <c r="EP49" s="62">
        <f t="shared" si="46"/>
        <v>276.01618888357268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7.0512820512820555</v>
      </c>
      <c r="FE49" s="13">
        <f>IF('Données projet'!$A$218&gt;35,FE48+FD49-FM48,IF(A49&lt;'Données projet'!$A$218,$FB$205^A49,IF(A49='Données projet'!$A$218,'Données projet'!$B$218,FE48+FD49-FM48)))</f>
        <v>233.33333333333343</v>
      </c>
      <c r="FF49" s="18">
        <f>FE49*VLOOKUP('Données projet'!$B$16,Paramètres!$A$1:$I$89,3,0)*VLOOKUP('Données projet'!$B$16,Paramètres!$A$1:$I$89,5,0)</f>
        <v>156.52000000000007</v>
      </c>
      <c r="FG49" s="14">
        <f t="shared" si="47"/>
        <v>40.056589961286974</v>
      </c>
      <c r="FH49" s="22">
        <f t="shared" si="22"/>
        <v>342.37089418257489</v>
      </c>
      <c r="FI49" s="62">
        <f t="shared" si="23"/>
        <v>594.72116758130051</v>
      </c>
      <c r="FJ49" s="62">
        <f ca="1">AVERAGE(OFFSET($FI$3,0,0,'Données projet'!$E$16+1,1))-AVERAGE(OFFSET($H$3,0,0,'Données projet'!$E$16+1,1))</f>
        <v>396.0878652679051</v>
      </c>
      <c r="FK49" s="62">
        <f t="shared" si="48"/>
        <v>327.26339199235406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9">
        <f t="shared" si="1"/>
        <v>183.33333333333334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15.666666666666666</v>
      </c>
      <c r="N50" s="14">
        <f>IF('Données projet'!$A$36&gt;35,N49+M50-V49,IF(A50&lt;'Données projet'!$A$36,$K$205^A50,IF(A50='Données projet'!$A$36,'Données projet'!$B$36,N49+M50-V49)))</f>
        <v>224.3333333333332</v>
      </c>
      <c r="O50" s="14">
        <f>N50*VLOOKUP('Données projet'!$B$9,Paramètres!$A$1:$I$89,3,0)*VLOOKUP('Données projet'!$B$9,Paramètres!$A$1:$I$89,5,0)</f>
        <v>192.47799999999989</v>
      </c>
      <c r="P50" s="14">
        <f t="shared" si="33"/>
        <v>48.087389626209038</v>
      </c>
      <c r="Q50" s="22">
        <f t="shared" si="53"/>
        <v>418.98472026564724</v>
      </c>
      <c r="R50" s="62">
        <f t="shared" si="0"/>
        <v>672.04595812984257</v>
      </c>
      <c r="S50" s="62">
        <f ca="1">AVERAGE(OFFSET($R$3,0,0,'Données projet'!$E$9+1,1))-AVERAGE(OFFSET($H$3,0,0,'Données projet'!$E$9+1,1))</f>
        <v>478.11504516179713</v>
      </c>
      <c r="T50" s="62">
        <f t="shared" si="34"/>
        <v>249.93713224442419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8.5399999999999974</v>
      </c>
      <c r="AI50" s="14">
        <f>IF('Données projet'!$A$62&gt;35,AI49+AH50-AQ49,IF(A50&lt;'Données projet'!$A$62,$AF$205^A50,IF(A50='Données projet'!$A$62,'Données projet'!$B$62,AI49+AH50-AQ49)))</f>
        <v>259.27999999999986</v>
      </c>
      <c r="AJ50" s="14">
        <f>AI50*VLOOKUP('Données projet'!$B$10,Paramètres!$A$1:$I$89,3,0)*VLOOKUP('Données projet'!$B$10,Paramètres!$A$1:$I$89,5,0)</f>
        <v>206.2831679999999</v>
      </c>
      <c r="AK50" s="14">
        <f t="shared" si="35"/>
        <v>51.122522165494573</v>
      </c>
      <c r="AL50" s="22">
        <f t="shared" si="4"/>
        <v>448.31491037156951</v>
      </c>
      <c r="AM50" s="62">
        <f t="shared" si="5"/>
        <v>701.37614823576496</v>
      </c>
      <c r="AN50" s="62">
        <f ca="1">AVERAGE(OFFSET($AM$3,0,0,'Données projet'!$E$10+1,1))-AVERAGE(OFFSET($H$3,0,0,'Données projet'!$E$10+1,1))</f>
        <v>394.49874384716014</v>
      </c>
      <c r="AO50" s="62">
        <f t="shared" si="36"/>
        <v>423.72519584013378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8.5399999999999974</v>
      </c>
      <c r="BD50" s="13">
        <f>IF('Données projet'!$A$88&gt;35,BD49+BC50-BL49,IF(A50&lt;'Données projet'!$A$88,$BA$205^A50,IF(A50='Données projet'!$A$88,'Données projet'!$B$88,BD49+BC50-BL49)))</f>
        <v>259.27999999999986</v>
      </c>
      <c r="BE50" s="14">
        <f>BD50*VLOOKUP('Données projet'!$B$11,Paramètres!$A$1:$I$89,3,0)*VLOOKUP('Données projet'!$B$11,Paramètres!$A$1:$I$89,5,0)</f>
        <v>206.2831679999999</v>
      </c>
      <c r="BF50" s="14">
        <f t="shared" si="37"/>
        <v>51.122522165494573</v>
      </c>
      <c r="BG50" s="22">
        <f t="shared" si="7"/>
        <v>448.31491037156951</v>
      </c>
      <c r="BH50" s="62">
        <f t="shared" si="8"/>
        <v>701.37614823576496</v>
      </c>
      <c r="BI50" s="62">
        <f ca="1">AVERAGE(OFFSET($BH$3,0,0,'Données projet'!$E$11+1,1))-AVERAGE(OFFSET($H$3,0,0,'Données projet'!$E$11+1,1))</f>
        <v>394.49874384716014</v>
      </c>
      <c r="BJ50" s="62">
        <f t="shared" si="38"/>
        <v>423.72519584013378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168.67968000000002</v>
      </c>
      <c r="CA50" s="14">
        <f t="shared" si="39"/>
        <v>42.794181774227013</v>
      </c>
      <c r="CB50" s="22">
        <f t="shared" si="10"/>
        <v>368.3169759234454</v>
      </c>
      <c r="CC50" s="62">
        <f t="shared" si="11"/>
        <v>621.37821378764079</v>
      </c>
      <c r="CD50" s="62">
        <f ca="1">AVERAGE(OFFSET($CC$3,0,0,'Données projet'!$E$12+1,1))-AVERAGE(OFFSET($H$3,0,0,'Données projet'!$E$12+1,1))</f>
        <v>496.33873798282525</v>
      </c>
      <c r="CE50" s="62">
        <f t="shared" si="40"/>
        <v>280.25465074992246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6.0256410256410273</v>
      </c>
      <c r="CT50" s="13">
        <f>IF('Données projet'!$A$140&gt;35,CT49+CS50-DB49,IF(A50&lt;'Données projet'!$A$140,$CQ$205^A50,IF(A50='Données projet'!$A$140,'Données projet'!$B$140,CT49+CS50-DB49)))</f>
        <v>169.10256410256403</v>
      </c>
      <c r="CU50" s="18">
        <f>CT50*VLOOKUP('Données projet'!$B$13,Paramètres!$A$1:$I$89,3,0)*VLOOKUP('Données projet'!$B$13,Paramètres!$A$1:$I$89,5,0)</f>
        <v>160.91799999999992</v>
      </c>
      <c r="CV50" s="14">
        <f t="shared" si="41"/>
        <v>41.049503875172206</v>
      </c>
      <c r="CW50" s="22">
        <f t="shared" si="13"/>
        <v>351.76006924925809</v>
      </c>
      <c r="CX50" s="62">
        <f t="shared" si="14"/>
        <v>604.82130711345349</v>
      </c>
      <c r="CY50" s="62">
        <f ca="1">AVERAGE(OFFSET($CX$3,0,0,'Données projet'!$E$13+1,1))-AVERAGE(OFFSET($H$3,0,0,'Données projet'!$E$13+1,1))</f>
        <v>441.15969139782891</v>
      </c>
      <c r="CZ50" s="62">
        <f t="shared" si="42"/>
        <v>315.06466790224783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10.375</v>
      </c>
      <c r="DO50" s="13">
        <f>IF('Données projet'!$A$166&gt;35,DO49+DN50-DW49,IF(A50&lt;'Données projet'!$A$166,$DL$205^A50,IF(A50='Données projet'!$A$166,'Données projet'!$B$166,DO49+DN50-DW49)))</f>
        <v>218.12499999999991</v>
      </c>
      <c r="DP50" s="18">
        <f>DO50*VLOOKUP('Données projet'!$B$14,Paramètres!$A$1:$I$89,3,0)*VLOOKUP('Données projet'!$B$14,Paramètres!$A$1:$I$89,5,0)</f>
        <v>170.13749999999993</v>
      </c>
      <c r="DQ50" s="14">
        <f t="shared" si="43"/>
        <v>43.120817562072375</v>
      </c>
      <c r="DR50" s="22">
        <f t="shared" si="16"/>
        <v>371.42490308727588</v>
      </c>
      <c r="DS50" s="62">
        <f t="shared" si="17"/>
        <v>624.48614095147127</v>
      </c>
      <c r="DT50" s="62">
        <f ca="1">AVERAGE(OFFSET($DS$3,0,0,'Données projet'!$E$14+1,1))-AVERAGE(OFFSET($H$3,0,0,'Données projet'!$E$14+1,1))</f>
        <v>309.21625451786218</v>
      </c>
      <c r="DU50" s="62">
        <f t="shared" si="44"/>
        <v>302.59481222418219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5.4</v>
      </c>
      <c r="EJ50" s="13">
        <f>IF('Données projet'!$A$192&gt;35,EJ49+EI50-ER49,IF(A50&lt;'Données projet'!$A$192,$EG$205^A50,IF(A50='Données projet'!$A$192,'Données projet'!$B$192,EJ49+EI50-ER49)))</f>
        <v>157.79999999999993</v>
      </c>
      <c r="EK50" s="18">
        <f>EJ50*VLOOKUP('Données projet'!$B$15,Paramètres!$A$1:$I$89,3,0)*VLOOKUP('Données projet'!$B$15,Paramètres!$A$1:$I$89,5,0)</f>
        <v>137.85407999999995</v>
      </c>
      <c r="EL50" s="14">
        <f t="shared" si="45"/>
        <v>35.804964283629964</v>
      </c>
      <c r="EM50" s="22">
        <f t="shared" si="19"/>
        <v>302.45616879398875</v>
      </c>
      <c r="EN50" s="62">
        <f t="shared" si="20"/>
        <v>555.5174066581842</v>
      </c>
      <c r="EO50" s="62">
        <f ca="1">AVERAGE(OFFSET($EN$3,0,0,'Données projet'!$E$15+1,1))-AVERAGE(OFFSET($H$3,0,0,'Données projet'!$E$15+1,1))</f>
        <v>298.56812743477741</v>
      </c>
      <c r="EP50" s="62">
        <f t="shared" si="46"/>
        <v>276.01618888357268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7.0512820512820555</v>
      </c>
      <c r="FE50" s="13">
        <f>IF('Données projet'!$A$218&gt;35,FE49+FD50-FM49,IF(A50&lt;'Données projet'!$A$218,$FB$205^A50,IF(A50='Données projet'!$A$218,'Données projet'!$B$218,FE49+FD50-FM49)))</f>
        <v>240.38461538461547</v>
      </c>
      <c r="FF50" s="18">
        <f>FE50*VLOOKUP('Données projet'!$B$16,Paramètres!$A$1:$I$89,3,0)*VLOOKUP('Données projet'!$B$16,Paramètres!$A$1:$I$89,5,0)</f>
        <v>161.25000000000006</v>
      </c>
      <c r="FG50" s="14">
        <f t="shared" si="47"/>
        <v>41.124328571986439</v>
      </c>
      <c r="FH50" s="22">
        <f t="shared" si="22"/>
        <v>352.46862226287652</v>
      </c>
      <c r="FI50" s="62">
        <f t="shared" si="23"/>
        <v>605.52986012707197</v>
      </c>
      <c r="FJ50" s="62">
        <f ca="1">AVERAGE(OFFSET($FI$3,0,0,'Données projet'!$E$16+1,1))-AVERAGE(OFFSET($H$3,0,0,'Données projet'!$E$16+1,1))</f>
        <v>396.0878652679051</v>
      </c>
      <c r="FK50" s="62">
        <f t="shared" si="48"/>
        <v>327.26339199235406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9">
        <f t="shared" si="1"/>
        <v>183.33333333333334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240</v>
      </c>
      <c r="L51" s="13">
        <f>VLOOKUP(A51,'Données projet'!$A$35:$I$55,9,0)</f>
        <v>15.666666666666666</v>
      </c>
      <c r="M51" s="13">
        <f t="array" ref="M51">INDEX(L:L,MIN(IF(ISNUMBER(L51:L247),ROW(L51:L247),"")))</f>
        <v>15.666666666666666</v>
      </c>
      <c r="N51" s="14">
        <f>IF('Données projet'!$A$36&gt;35,N50+M51-V50,IF(A51&lt;'Données projet'!$A$36,$K$205^A51,IF(A51='Données projet'!$A$36,'Données projet'!$B$36,N50+M51-V50)))</f>
        <v>239.99999999999986</v>
      </c>
      <c r="O51" s="14">
        <f>N51*VLOOKUP('Données projet'!$B$9,Paramètres!$A$1:$I$89,3,0)*VLOOKUP('Données projet'!$B$9,Paramètres!$A$1:$I$89,5,0)</f>
        <v>205.91999999999993</v>
      </c>
      <c r="P51" s="14">
        <f t="shared" si="33"/>
        <v>51.042987531485686</v>
      </c>
      <c r="Q51" s="22">
        <f t="shared" si="53"/>
        <v>447.5438699506708</v>
      </c>
      <c r="R51" s="62">
        <f t="shared" si="0"/>
        <v>701.30373863633849</v>
      </c>
      <c r="S51" s="62">
        <f ca="1">AVERAGE(OFFSET($R$3,0,0,'Données projet'!$E$9+1,1))-AVERAGE(OFFSET($H$3,0,0,'Données projet'!$E$9+1,1))</f>
        <v>478.11504516179713</v>
      </c>
      <c r="T51" s="62">
        <f t="shared" si="34"/>
        <v>249.93713224442419</v>
      </c>
      <c r="U51" s="16">
        <f>IF(ISNA(VLOOKUP(A51,'Données projet'!$A$35:$I$55,3,0)),0,VLOOKUP(A51,'Données projet'!$A$35:$I$55,3,0))</f>
        <v>5</v>
      </c>
      <c r="V51" s="16">
        <f>IF(ISNA(VLOOKUP(A51,'Données projet'!$A$35:$I$55,4,0)),0,VLOOKUP(A51,'Données projet'!$A$35:$I$55,4,0))</f>
        <v>63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8.5399999999999974</v>
      </c>
      <c r="AI51" s="14">
        <f>IF('Données projet'!$A$62&gt;35,AI50+AH51-AQ50,IF(A51&lt;'Données projet'!$A$62,$AF$205^A51,IF(A51='Données projet'!$A$62,'Données projet'!$B$62,AI50+AH51-AQ50)))</f>
        <v>267.81999999999988</v>
      </c>
      <c r="AJ51" s="14">
        <f>AI51*VLOOKUP('Données projet'!$B$10,Paramètres!$A$1:$I$89,3,0)*VLOOKUP('Données projet'!$B$10,Paramètres!$A$1:$I$89,5,0)</f>
        <v>213.07759199999992</v>
      </c>
      <c r="AK51" s="14">
        <f t="shared" si="35"/>
        <v>52.607546461832449</v>
      </c>
      <c r="AL51" s="22">
        <f t="shared" si="4"/>
        <v>462.73494948769138</v>
      </c>
      <c r="AM51" s="62">
        <f t="shared" si="5"/>
        <v>716.49481817335914</v>
      </c>
      <c r="AN51" s="62">
        <f ca="1">AVERAGE(OFFSET($AM$3,0,0,'Données projet'!$E$10+1,1))-AVERAGE(OFFSET($H$3,0,0,'Données projet'!$E$10+1,1))</f>
        <v>394.49874384716014</v>
      </c>
      <c r="AO51" s="62">
        <f t="shared" si="36"/>
        <v>423.72519584013378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8.5399999999999974</v>
      </c>
      <c r="BD51" s="13">
        <f>IF('Données projet'!$A$88&gt;35,BD50+BC51-BL50,IF(A51&lt;'Données projet'!$A$88,$BA$205^A51,IF(A51='Données projet'!$A$88,'Données projet'!$B$88,BD50+BC51-BL50)))</f>
        <v>267.81999999999988</v>
      </c>
      <c r="BE51" s="14">
        <f>BD51*VLOOKUP('Données projet'!$B$11,Paramètres!$A$1:$I$89,3,0)*VLOOKUP('Données projet'!$B$11,Paramètres!$A$1:$I$89,5,0)</f>
        <v>213.07759199999992</v>
      </c>
      <c r="BF51" s="14">
        <f t="shared" si="37"/>
        <v>52.607546461832449</v>
      </c>
      <c r="BG51" s="22">
        <f t="shared" si="7"/>
        <v>462.73494948769138</v>
      </c>
      <c r="BH51" s="62">
        <f t="shared" si="8"/>
        <v>716.49481817335914</v>
      </c>
      <c r="BI51" s="62">
        <f ca="1">AVERAGE(OFFSET($BH$3,0,0,'Données projet'!$E$11+1,1))-AVERAGE(OFFSET($H$3,0,0,'Données projet'!$E$11+1,1))</f>
        <v>394.49874384716014</v>
      </c>
      <c r="BJ51" s="62">
        <f t="shared" si="38"/>
        <v>423.72519584013378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176.61072000000004</v>
      </c>
      <c r="CA51" s="14">
        <f t="shared" si="39"/>
        <v>44.56730162053563</v>
      </c>
      <c r="CB51" s="22">
        <f t="shared" si="10"/>
        <v>385.21838765576626</v>
      </c>
      <c r="CC51" s="62">
        <f t="shared" si="11"/>
        <v>638.97825634143396</v>
      </c>
      <c r="CD51" s="62">
        <f ca="1">AVERAGE(OFFSET($CC$3,0,0,'Données projet'!$E$12+1,1))-AVERAGE(OFFSET($H$3,0,0,'Données projet'!$E$12+1,1))</f>
        <v>496.33873798282525</v>
      </c>
      <c r="CE51" s="62">
        <f t="shared" si="40"/>
        <v>280.25465074992246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6.0256410256410273</v>
      </c>
      <c r="CT51" s="13">
        <f>IF('Données projet'!$A$140&gt;35,CT50+CS51-DB50,IF(A51&lt;'Données projet'!$A$140,$CQ$205^A51,IF(A51='Données projet'!$A$140,'Données projet'!$B$140,CT50+CS51-DB50)))</f>
        <v>175.12820512820505</v>
      </c>
      <c r="CU51" s="18">
        <f>CT51*VLOOKUP('Données projet'!$B$13,Paramètres!$A$1:$I$89,3,0)*VLOOKUP('Données projet'!$B$13,Paramètres!$A$1:$I$89,5,0)</f>
        <v>166.65199999999993</v>
      </c>
      <c r="CV51" s="14">
        <f t="shared" si="41"/>
        <v>42.339317127801309</v>
      </c>
      <c r="CW51" s="22">
        <f t="shared" si="13"/>
        <v>363.99321066425381</v>
      </c>
      <c r="CX51" s="62">
        <f t="shared" si="14"/>
        <v>617.75307934992156</v>
      </c>
      <c r="CY51" s="62">
        <f ca="1">AVERAGE(OFFSET($CX$3,0,0,'Données projet'!$E$13+1,1))-AVERAGE(OFFSET($H$3,0,0,'Données projet'!$E$13+1,1))</f>
        <v>441.15969139782891</v>
      </c>
      <c r="CZ51" s="62">
        <f t="shared" si="42"/>
        <v>315.06466790224783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10.375</v>
      </c>
      <c r="DO51" s="13">
        <f>IF('Données projet'!$A$166&gt;35,DO50+DN51-DW50,IF(A51&lt;'Données projet'!$A$166,$DL$205^A51,IF(A51='Données projet'!$A$166,'Données projet'!$B$166,DO50+DN51-DW50)))</f>
        <v>228.49999999999991</v>
      </c>
      <c r="DP51" s="18">
        <f>DO51*VLOOKUP('Données projet'!$B$14,Paramètres!$A$1:$I$89,3,0)*VLOOKUP('Données projet'!$B$14,Paramètres!$A$1:$I$89,5,0)</f>
        <v>178.22999999999993</v>
      </c>
      <c r="DQ51" s="14">
        <f t="shared" si="43"/>
        <v>44.928167580487852</v>
      </c>
      <c r="DR51" s="22">
        <f t="shared" si="16"/>
        <v>388.66714186934951</v>
      </c>
      <c r="DS51" s="62">
        <f t="shared" si="17"/>
        <v>642.4270105550172</v>
      </c>
      <c r="DT51" s="62">
        <f ca="1">AVERAGE(OFFSET($DS$3,0,0,'Données projet'!$E$14+1,1))-AVERAGE(OFFSET($H$3,0,0,'Données projet'!$E$14+1,1))</f>
        <v>309.21625451786218</v>
      </c>
      <c r="DU51" s="62">
        <f t="shared" si="44"/>
        <v>302.59481222418219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5.4</v>
      </c>
      <c r="EJ51" s="13">
        <f>IF('Données projet'!$A$192&gt;35,EJ50+EI51-ER50,IF(A51&lt;'Données projet'!$A$192,$EG$205^A51,IF(A51='Données projet'!$A$192,'Données projet'!$B$192,EJ50+EI51-ER50)))</f>
        <v>163.19999999999993</v>
      </c>
      <c r="EK51" s="18">
        <f>EJ51*VLOOKUP('Données projet'!$B$15,Paramètres!$A$1:$I$89,3,0)*VLOOKUP('Données projet'!$B$15,Paramètres!$A$1:$I$89,5,0)</f>
        <v>142.57151999999996</v>
      </c>
      <c r="EL51" s="14">
        <f t="shared" si="45"/>
        <v>36.88547912245555</v>
      </c>
      <c r="EM51" s="22">
        <f t="shared" si="19"/>
        <v>312.55427347160997</v>
      </c>
      <c r="EN51" s="62">
        <f t="shared" si="20"/>
        <v>566.31414215727773</v>
      </c>
      <c r="EO51" s="62">
        <f ca="1">AVERAGE(OFFSET($EN$3,0,0,'Données projet'!$E$15+1,1))-AVERAGE(OFFSET($H$3,0,0,'Données projet'!$E$15+1,1))</f>
        <v>298.56812743477741</v>
      </c>
      <c r="EP51" s="62">
        <f t="shared" si="46"/>
        <v>276.01618888357268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7.0512820512820555</v>
      </c>
      <c r="FE51" s="13">
        <f>IF('Données projet'!$A$218&gt;35,FE50+FD51-FM50,IF(A51&lt;'Données projet'!$A$218,$FB$205^A51,IF(A51='Données projet'!$A$218,'Données projet'!$B$218,FE50+FD51-FM50)))</f>
        <v>247.43589743589752</v>
      </c>
      <c r="FF51" s="18">
        <f>FE51*VLOOKUP('Données projet'!$B$16,Paramètres!$A$1:$I$89,3,0)*VLOOKUP('Données projet'!$B$16,Paramètres!$A$1:$I$89,5,0)</f>
        <v>165.98000000000005</v>
      </c>
      <c r="FG51" s="14">
        <f t="shared" si="47"/>
        <v>42.188427161252903</v>
      </c>
      <c r="FH51" s="22">
        <f t="shared" si="22"/>
        <v>362.56001063918217</v>
      </c>
      <c r="FI51" s="62">
        <f t="shared" si="23"/>
        <v>616.31987932484981</v>
      </c>
      <c r="FJ51" s="62">
        <f ca="1">AVERAGE(OFFSET($FI$3,0,0,'Données projet'!$E$16+1,1))-AVERAGE(OFFSET($H$3,0,0,'Données projet'!$E$16+1,1))</f>
        <v>396.0878652679051</v>
      </c>
      <c r="FK51" s="62">
        <f t="shared" si="48"/>
        <v>327.26339199235406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9">
        <f t="shared" si="1"/>
        <v>183.33333333333334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15.5</v>
      </c>
      <c r="N52" s="14">
        <f>IF('Données projet'!$A$36&gt;35,N51+M52-V51,IF(A52&lt;'Données projet'!$A$36,$K$205^A52,IF(A52='Données projet'!$A$36,'Données projet'!$B$36,N51+M52-V51)))</f>
        <v>192.49999999999986</v>
      </c>
      <c r="O52" s="14">
        <f>N52*VLOOKUP('Données projet'!$B$9,Paramètres!$A$1:$I$89,3,0)*VLOOKUP('Données projet'!$B$9,Paramètres!$A$1:$I$89,5,0)</f>
        <v>165.16499999999991</v>
      </c>
      <c r="P52" s="14">
        <f t="shared" si="33"/>
        <v>42.00533269839395</v>
      </c>
      <c r="Q52" s="22">
        <f t="shared" si="53"/>
        <v>360.82166278303589</v>
      </c>
      <c r="R52" s="62">
        <f t="shared" si="0"/>
        <v>615.26804260732786</v>
      </c>
      <c r="S52" s="62">
        <f ca="1">AVERAGE(OFFSET($R$3,0,0,'Données projet'!$E$9+1,1))-AVERAGE(OFFSET($H$3,0,0,'Données projet'!$E$9+1,1))</f>
        <v>478.11504516179713</v>
      </c>
      <c r="T52" s="62">
        <f t="shared" si="34"/>
        <v>249.93713224442419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8.5399999999999974</v>
      </c>
      <c r="AI52" s="14">
        <f>IF('Données projet'!$A$62&gt;35,AI51+AH52-AQ51,IF(A52&lt;'Données projet'!$A$62,$AF$205^A52,IF(A52='Données projet'!$A$62,'Données projet'!$B$62,AI51+AH52-AQ51)))</f>
        <v>276.3599999999999</v>
      </c>
      <c r="AJ52" s="14">
        <f>AI52*VLOOKUP('Données projet'!$B$10,Paramètres!$A$1:$I$89,3,0)*VLOOKUP('Données projet'!$B$10,Paramètres!$A$1:$I$89,5,0)</f>
        <v>219.87201599999992</v>
      </c>
      <c r="AK52" s="14">
        <f t="shared" si="35"/>
        <v>54.087068088530145</v>
      </c>
      <c r="AL52" s="22">
        <f t="shared" si="4"/>
        <v>477.14540478752315</v>
      </c>
      <c r="AM52" s="62">
        <f t="shared" si="5"/>
        <v>731.59178461181511</v>
      </c>
      <c r="AN52" s="62">
        <f ca="1">AVERAGE(OFFSET($AM$3,0,0,'Données projet'!$E$10+1,1))-AVERAGE(OFFSET($H$3,0,0,'Données projet'!$E$10+1,1))</f>
        <v>394.49874384716014</v>
      </c>
      <c r="AO52" s="62">
        <f t="shared" si="36"/>
        <v>423.72519584013378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8.5399999999999974</v>
      </c>
      <c r="BD52" s="13">
        <f>IF('Données projet'!$A$88&gt;35,BD51+BC52-BL51,IF(A52&lt;'Données projet'!$A$88,$BA$205^A52,IF(A52='Données projet'!$A$88,'Données projet'!$B$88,BD51+BC52-BL51)))</f>
        <v>276.3599999999999</v>
      </c>
      <c r="BE52" s="14">
        <f>BD52*VLOOKUP('Données projet'!$B$11,Paramètres!$A$1:$I$89,3,0)*VLOOKUP('Données projet'!$B$11,Paramètres!$A$1:$I$89,5,0)</f>
        <v>219.87201599999992</v>
      </c>
      <c r="BF52" s="14">
        <f t="shared" si="37"/>
        <v>54.087068088530145</v>
      </c>
      <c r="BG52" s="22">
        <f t="shared" si="7"/>
        <v>477.14540478752315</v>
      </c>
      <c r="BH52" s="62">
        <f t="shared" si="8"/>
        <v>731.59178461181511</v>
      </c>
      <c r="BI52" s="62">
        <f ca="1">AVERAGE(OFFSET($BH$3,0,0,'Données projet'!$E$11+1,1))-AVERAGE(OFFSET($H$3,0,0,'Données projet'!$E$11+1,1))</f>
        <v>394.49874384716014</v>
      </c>
      <c r="BJ52" s="62">
        <f t="shared" si="38"/>
        <v>423.72519584013378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184.54176000000001</v>
      </c>
      <c r="CA52" s="14">
        <f t="shared" si="39"/>
        <v>46.33117397953523</v>
      </c>
      <c r="CB52" s="22">
        <f t="shared" si="10"/>
        <v>402.10369334769052</v>
      </c>
      <c r="CC52" s="62">
        <f t="shared" si="11"/>
        <v>656.55007317198249</v>
      </c>
      <c r="CD52" s="62">
        <f ca="1">AVERAGE(OFFSET($CC$3,0,0,'Données projet'!$E$12+1,1))-AVERAGE(OFFSET($H$3,0,0,'Données projet'!$E$12+1,1))</f>
        <v>496.33873798282525</v>
      </c>
      <c r="CE52" s="62">
        <f t="shared" si="40"/>
        <v>280.25465074992246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6.0256410256410273</v>
      </c>
      <c r="CT52" s="13">
        <f>IF('Données projet'!$A$140&gt;35,CT51+CS52-DB51,IF(A52&lt;'Données projet'!$A$140,$CQ$205^A52,IF(A52='Données projet'!$A$140,'Données projet'!$B$140,CT51+CS52-DB51)))</f>
        <v>181.15384615384608</v>
      </c>
      <c r="CU52" s="18">
        <f>CT52*VLOOKUP('Données projet'!$B$13,Paramètres!$A$1:$I$89,3,0)*VLOOKUP('Données projet'!$B$13,Paramètres!$A$1:$I$89,5,0)</f>
        <v>172.38599999999991</v>
      </c>
      <c r="CV52" s="14">
        <f t="shared" si="41"/>
        <v>43.623973962324399</v>
      </c>
      <c r="CW52" s="22">
        <f t="shared" si="13"/>
        <v>376.21737131771482</v>
      </c>
      <c r="CX52" s="62">
        <f t="shared" si="14"/>
        <v>630.66375114200673</v>
      </c>
      <c r="CY52" s="62">
        <f ca="1">AVERAGE(OFFSET($CX$3,0,0,'Données projet'!$E$13+1,1))-AVERAGE(OFFSET($H$3,0,0,'Données projet'!$E$13+1,1))</f>
        <v>441.15969139782891</v>
      </c>
      <c r="CZ52" s="62">
        <f t="shared" si="42"/>
        <v>315.06466790224783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10.375</v>
      </c>
      <c r="DO52" s="13">
        <f>IF('Données projet'!$A$166&gt;35,DO51+DN52-DW51,IF(A52&lt;'Données projet'!$A$166,$DL$205^A52,IF(A52='Données projet'!$A$166,'Données projet'!$B$166,DO51+DN52-DW51)))</f>
        <v>238.87499999999991</v>
      </c>
      <c r="DP52" s="18">
        <f>DO52*VLOOKUP('Données projet'!$B$14,Paramètres!$A$1:$I$89,3,0)*VLOOKUP('Données projet'!$B$14,Paramètres!$A$1:$I$89,5,0)</f>
        <v>186.32249999999993</v>
      </c>
      <c r="DQ52" s="14">
        <f t="shared" si="43"/>
        <v>46.725987276254116</v>
      </c>
      <c r="DR52" s="22">
        <f t="shared" si="16"/>
        <v>405.8927820061424</v>
      </c>
      <c r="DS52" s="62">
        <f t="shared" si="17"/>
        <v>660.33916183043436</v>
      </c>
      <c r="DT52" s="62">
        <f ca="1">AVERAGE(OFFSET($DS$3,0,0,'Données projet'!$E$14+1,1))-AVERAGE(OFFSET($H$3,0,0,'Données projet'!$E$14+1,1))</f>
        <v>309.21625451786218</v>
      </c>
      <c r="DU52" s="62">
        <f t="shared" si="44"/>
        <v>302.59481222418219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5.4</v>
      </c>
      <c r="EJ52" s="13">
        <f>IF('Données projet'!$A$192&gt;35,EJ51+EI52-ER51,IF(A52&lt;'Données projet'!$A$192,$EG$205^A52,IF(A52='Données projet'!$A$192,'Données projet'!$B$192,EJ51+EI52-ER51)))</f>
        <v>168.59999999999994</v>
      </c>
      <c r="EK52" s="18">
        <f>EJ52*VLOOKUP('Données projet'!$B$15,Paramètres!$A$1:$I$89,3,0)*VLOOKUP('Données projet'!$B$15,Paramètres!$A$1:$I$89,5,0)</f>
        <v>147.28895999999995</v>
      </c>
      <c r="EL52" s="14">
        <f t="shared" si="45"/>
        <v>37.961839593121908</v>
      </c>
      <c r="EM52" s="22">
        <f t="shared" si="19"/>
        <v>322.6451426246872</v>
      </c>
      <c r="EN52" s="62">
        <f t="shared" si="20"/>
        <v>577.09152244897916</v>
      </c>
      <c r="EO52" s="62">
        <f ca="1">AVERAGE(OFFSET($EN$3,0,0,'Données projet'!$E$15+1,1))-AVERAGE(OFFSET($H$3,0,0,'Données projet'!$E$15+1,1))</f>
        <v>298.56812743477741</v>
      </c>
      <c r="EP52" s="62">
        <f t="shared" si="46"/>
        <v>276.01618888357268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7.0512820512820555</v>
      </c>
      <c r="FE52" s="13">
        <f>IF('Données projet'!$A$218&gt;35,FE51+FD52-FM51,IF(A52&lt;'Données projet'!$A$218,$FB$205^A52,IF(A52='Données projet'!$A$218,'Données projet'!$B$218,FE51+FD52-FM51)))</f>
        <v>254.48717948717956</v>
      </c>
      <c r="FF52" s="18">
        <f>FE52*VLOOKUP('Données projet'!$B$16,Paramètres!$A$1:$I$89,3,0)*VLOOKUP('Données projet'!$B$16,Paramètres!$A$1:$I$89,5,0)</f>
        <v>170.71000000000006</v>
      </c>
      <c r="FG52" s="14">
        <f t="shared" si="47"/>
        <v>43.249001374438308</v>
      </c>
      <c r="FH52" s="22">
        <f t="shared" si="22"/>
        <v>372.64526072714688</v>
      </c>
      <c r="FI52" s="62">
        <f t="shared" si="23"/>
        <v>627.09164055143879</v>
      </c>
      <c r="FJ52" s="62">
        <f ca="1">AVERAGE(OFFSET($FI$3,0,0,'Données projet'!$E$16+1,1))-AVERAGE(OFFSET($H$3,0,0,'Données projet'!$E$16+1,1))</f>
        <v>396.0878652679051</v>
      </c>
      <c r="FK52" s="62">
        <f t="shared" si="48"/>
        <v>327.26339199235406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9">
        <f t="shared" si="1"/>
        <v>183.33333333333334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15.5</v>
      </c>
      <c r="N53" s="14">
        <f>IF('Données projet'!$A$36&gt;35,N52+M53-V52,IF(A53&lt;'Données projet'!$A$36,$K$205^A53,IF(A53='Données projet'!$A$36,'Données projet'!$B$36,N52+M53-V52)))</f>
        <v>207.99999999999986</v>
      </c>
      <c r="O53" s="14">
        <f>N53*VLOOKUP('Données projet'!$B$9,Paramètres!$A$1:$I$89,3,0)*VLOOKUP('Données projet'!$B$9,Paramètres!$A$1:$I$89,5,0)</f>
        <v>178.46399999999991</v>
      </c>
      <c r="P53" s="14">
        <f t="shared" si="33"/>
        <v>44.980284206661821</v>
      </c>
      <c r="Q53" s="22">
        <f t="shared" si="53"/>
        <v>389.16546165993583</v>
      </c>
      <c r="R53" s="62">
        <f t="shared" si="0"/>
        <v>644.28644318940587</v>
      </c>
      <c r="S53" s="62">
        <f ca="1">AVERAGE(OFFSET($R$3,0,0,'Données projet'!$E$9+1,1))-AVERAGE(OFFSET($H$3,0,0,'Données projet'!$E$9+1,1))</f>
        <v>478.11504516179713</v>
      </c>
      <c r="T53" s="62">
        <f t="shared" si="34"/>
        <v>249.93713224442419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284.89999999999998</v>
      </c>
      <c r="AG53" s="13">
        <f>VLOOKUP(A53,'Données projet'!$A$61:$I$81,9,0)</f>
        <v>8.5399999999999974</v>
      </c>
      <c r="AH53" s="13">
        <f t="array" ref="AH53">INDEX(AG:AG,MIN(IF(ISNUMBER(AG53:AG249),ROW(AG53:AG249),"")))</f>
        <v>8.5399999999999974</v>
      </c>
      <c r="AI53" s="14">
        <f>IF('Données projet'!$A$62&gt;35,AI52+AH53-AQ52,IF(A53&lt;'Données projet'!$A$62,$AF$205^A53,IF(A53='Données projet'!$A$62,'Données projet'!$B$62,AI52+AH53-AQ52)))</f>
        <v>284.89999999999992</v>
      </c>
      <c r="AJ53" s="14">
        <f>AI53*VLOOKUP('Données projet'!$B$10,Paramètres!$A$1:$I$89,3,0)*VLOOKUP('Données projet'!$B$10,Paramètres!$A$1:$I$89,5,0)</f>
        <v>226.66643999999994</v>
      </c>
      <c r="AK53" s="14">
        <f t="shared" si="35"/>
        <v>55.561276600641385</v>
      </c>
      <c r="AL53" s="22">
        <f t="shared" si="4"/>
        <v>491.5466064127836</v>
      </c>
      <c r="AM53" s="62">
        <f t="shared" si="5"/>
        <v>746.6675879422537</v>
      </c>
      <c r="AN53" s="62">
        <f ca="1">AVERAGE(OFFSET($AM$3,0,0,'Données projet'!$E$10+1,1))-AVERAGE(OFFSET($H$3,0,0,'Données projet'!$E$10+1,1))</f>
        <v>394.49874384716014</v>
      </c>
      <c r="AO53" s="62">
        <f t="shared" si="36"/>
        <v>423.72519584013378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43.099999999999994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284.89999999999998</v>
      </c>
      <c r="BB53" s="13">
        <f>VLOOKUP(A53,'Données projet'!$A$87:$I$107,9,0)</f>
        <v>8.5399999999999974</v>
      </c>
      <c r="BC53" s="13">
        <f t="array" ref="BC53">INDEX(BB:BB,MIN(IF(ISNUMBER(BB53:BB249),ROW(BB53:BB249),"")))</f>
        <v>8.5399999999999974</v>
      </c>
      <c r="BD53" s="13">
        <f>IF('Données projet'!$A$88&gt;35,BD52+BC53-BL52,IF(A53&lt;'Données projet'!$A$88,$BA$205^A53,IF(A53='Données projet'!$A$88,'Données projet'!$B$88,BD52+BC53-BL52)))</f>
        <v>284.89999999999992</v>
      </c>
      <c r="BE53" s="14">
        <f>BD53*VLOOKUP('Données projet'!$B$11,Paramètres!$A$1:$I$89,3,0)*VLOOKUP('Données projet'!$B$11,Paramètres!$A$1:$I$89,5,0)</f>
        <v>226.66643999999994</v>
      </c>
      <c r="BF53" s="14">
        <f t="shared" si="37"/>
        <v>55.561276600641385</v>
      </c>
      <c r="BG53" s="22">
        <f t="shared" si="7"/>
        <v>491.5466064127836</v>
      </c>
      <c r="BH53" s="62">
        <f t="shared" si="8"/>
        <v>746.6675879422537</v>
      </c>
      <c r="BI53" s="62">
        <f ca="1">AVERAGE(OFFSET($BH$3,0,0,'Données projet'!$E$11+1,1))-AVERAGE(OFFSET($H$3,0,0,'Données projet'!$E$11+1,1))</f>
        <v>394.49874384716014</v>
      </c>
      <c r="BJ53" s="62">
        <f t="shared" si="38"/>
        <v>423.72519584013378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43.099999999999994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192.47280000000001</v>
      </c>
      <c r="CA53" s="14">
        <f t="shared" si="39"/>
        <v>48.086241710923829</v>
      </c>
      <c r="CB53" s="22">
        <f t="shared" si="10"/>
        <v>418.97366431319239</v>
      </c>
      <c r="CC53" s="62">
        <f t="shared" si="11"/>
        <v>674.09464584266243</v>
      </c>
      <c r="CD53" s="62">
        <f ca="1">AVERAGE(OFFSET($CC$3,0,0,'Données projet'!$E$12+1,1))-AVERAGE(OFFSET($H$3,0,0,'Données projet'!$E$12+1,1))</f>
        <v>496.33873798282525</v>
      </c>
      <c r="CE53" s="62">
        <f t="shared" si="40"/>
        <v>280.25465074992246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187.17948717948718</v>
      </c>
      <c r="CR53" s="13">
        <f>VLOOKUP(A53,'Données projet'!$A$139:$I$159,9,0)</f>
        <v>6.0256410256410273</v>
      </c>
      <c r="CS53" s="13">
        <f t="array" ref="CS53">INDEX(CR:CR,MIN(IF(ISNUMBER(CR53:CR249),ROW(CR53:CR249),"")))</f>
        <v>6.0256410256410273</v>
      </c>
      <c r="CT53" s="13">
        <f>IF('Données projet'!$A$140&gt;35,CT52+CS53-DB52,IF(A53&lt;'Données projet'!$A$140,$CQ$205^A53,IF(A53='Données projet'!$A$140,'Données projet'!$B$140,CT52+CS53-DB52)))</f>
        <v>187.1794871794871</v>
      </c>
      <c r="CU53" s="18">
        <f>CT53*VLOOKUP('Données projet'!$B$13,Paramètres!$A$1:$I$89,3,0)*VLOOKUP('Données projet'!$B$13,Paramètres!$A$1:$I$89,5,0)</f>
        <v>178.11999999999992</v>
      </c>
      <c r="CV53" s="14">
        <f t="shared" si="41"/>
        <v>44.90366556024162</v>
      </c>
      <c r="CW53" s="22">
        <f t="shared" si="13"/>
        <v>388.4328841840873</v>
      </c>
      <c r="CX53" s="62">
        <f t="shared" si="14"/>
        <v>643.55386571355734</v>
      </c>
      <c r="CY53" s="62">
        <f ca="1">AVERAGE(OFFSET($CX$3,0,0,'Données projet'!$E$13+1,1))-AVERAGE(OFFSET($H$3,0,0,'Données projet'!$E$13+1,1))</f>
        <v>441.15969139782891</v>
      </c>
      <c r="CZ53" s="62">
        <f t="shared" si="42"/>
        <v>315.06466790224783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10.375</v>
      </c>
      <c r="DO53" s="13">
        <f>IF('Données projet'!$A$166&gt;35,DO52+DN53-DW52,IF(A53&lt;'Données projet'!$A$166,$DL$205^A53,IF(A53='Données projet'!$A$166,'Données projet'!$B$166,DO52+DN53-DW52)))</f>
        <v>249.24999999999991</v>
      </c>
      <c r="DP53" s="18">
        <f>DO53*VLOOKUP('Données projet'!$B$14,Paramètres!$A$1:$I$89,3,0)*VLOOKUP('Données projet'!$B$14,Paramètres!$A$1:$I$89,5,0)</f>
        <v>194.41499999999994</v>
      </c>
      <c r="DQ53" s="14">
        <f t="shared" si="43"/>
        <v>48.514737888684927</v>
      </c>
      <c r="DR53" s="22">
        <f t="shared" si="16"/>
        <v>423.10262682279273</v>
      </c>
      <c r="DS53" s="62">
        <f t="shared" si="17"/>
        <v>678.22360835226277</v>
      </c>
      <c r="DT53" s="62">
        <f ca="1">AVERAGE(OFFSET($DS$3,0,0,'Données projet'!$E$14+1,1))-AVERAGE(OFFSET($H$3,0,0,'Données projet'!$E$14+1,1))</f>
        <v>309.21625451786218</v>
      </c>
      <c r="DU53" s="62">
        <f t="shared" si="44"/>
        <v>302.59481222418219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174</v>
      </c>
      <c r="EH53" s="13">
        <f>VLOOKUP(A53,'Données projet'!$A$191:$I$211,9,0)</f>
        <v>5.4</v>
      </c>
      <c r="EI53" s="13">
        <f t="array" ref="EI53">INDEX(EH:EH,MIN(IF(ISNUMBER(EH53:EH249),ROW(EH53:EH249),"")))</f>
        <v>5.4</v>
      </c>
      <c r="EJ53" s="13">
        <f>IF('Données projet'!$A$192&gt;35,EJ52+EI53-ER52,IF(A53&lt;'Données projet'!$A$192,$EG$205^A53,IF(A53='Données projet'!$A$192,'Données projet'!$B$192,EJ52+EI53-ER52)))</f>
        <v>173.99999999999994</v>
      </c>
      <c r="EK53" s="18">
        <f>EJ53*VLOOKUP('Données projet'!$B$15,Paramètres!$A$1:$I$89,3,0)*VLOOKUP('Données projet'!$B$15,Paramètres!$A$1:$I$89,5,0)</f>
        <v>152.00639999999999</v>
      </c>
      <c r="EL53" s="14">
        <f t="shared" si="45"/>
        <v>39.03419401656145</v>
      </c>
      <c r="EM53" s="22">
        <f t="shared" si="19"/>
        <v>332.72903457884451</v>
      </c>
      <c r="EN53" s="62">
        <f t="shared" si="20"/>
        <v>587.85001610831455</v>
      </c>
      <c r="EO53" s="62">
        <f ca="1">AVERAGE(OFFSET($EN$3,0,0,'Données projet'!$E$15+1,1))-AVERAGE(OFFSET($H$3,0,0,'Données projet'!$E$15+1,1))</f>
        <v>298.56812743477741</v>
      </c>
      <c r="EP53" s="62">
        <f t="shared" si="46"/>
        <v>276.01618888357268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261.53846153846155</v>
      </c>
      <c r="FC53" s="13">
        <f>VLOOKUP(A53,'Données projet'!$A$217:$I$237,9,0)</f>
        <v>7.0512820512820555</v>
      </c>
      <c r="FD53" s="13">
        <f t="array" ref="FD53">INDEX(FC:FC,MIN(IF(ISNUMBER(FC53:FC249),ROW(FC53:FC249),"")))</f>
        <v>7.0512820512820555</v>
      </c>
      <c r="FE53" s="13">
        <f>IF('Données projet'!$A$218&gt;35,FE52+FD53-FM52,IF(A53&lt;'Données projet'!$A$218,$FB$205^A53,IF(A53='Données projet'!$A$218,'Données projet'!$B$218,FE52+FD53-FM52)))</f>
        <v>261.5384615384616</v>
      </c>
      <c r="FF53" s="18">
        <f>FE53*VLOOKUP('Données projet'!$B$16,Paramètres!$A$1:$I$89,3,0)*VLOOKUP('Données projet'!$B$16,Paramètres!$A$1:$I$89,5,0)</f>
        <v>175.44000000000003</v>
      </c>
      <c r="FG53" s="14">
        <f t="shared" si="47"/>
        <v>44.306160083661858</v>
      </c>
      <c r="FH53" s="22">
        <f t="shared" si="22"/>
        <v>382.72456214571116</v>
      </c>
      <c r="FI53" s="62">
        <f t="shared" si="23"/>
        <v>637.84554367518126</v>
      </c>
      <c r="FJ53" s="62">
        <f ca="1">AVERAGE(OFFSET($FI$3,0,0,'Données projet'!$E$16+1,1))-AVERAGE(OFFSET($H$3,0,0,'Données projet'!$E$16+1,1))</f>
        <v>396.0878652679051</v>
      </c>
      <c r="FK53" s="62">
        <f t="shared" si="48"/>
        <v>327.26339199235406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36.53846153846154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9">
        <f t="shared" si="1"/>
        <v>183.33333333333334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15.5</v>
      </c>
      <c r="N54" s="14">
        <f>IF('Données projet'!$A$36&gt;35,N53+M54-V53,IF(A54&lt;'Données projet'!$A$36,$K$205^A54,IF(A54='Données projet'!$A$36,'Données projet'!$B$36,N53+M54-V53)))</f>
        <v>223.49999999999986</v>
      </c>
      <c r="O54" s="14">
        <f>N54*VLOOKUP('Données projet'!$B$9,Paramètres!$A$1:$I$89,3,0)*VLOOKUP('Données projet'!$B$9,Paramètres!$A$1:$I$89,5,0)</f>
        <v>191.76299999999989</v>
      </c>
      <c r="P54" s="14">
        <f t="shared" si="33"/>
        <v>47.929517351413239</v>
      </c>
      <c r="Q54" s="22">
        <f t="shared" si="53"/>
        <v>417.46446772037785</v>
      </c>
      <c r="R54" s="62">
        <f t="shared" si="0"/>
        <v>673.24834812362474</v>
      </c>
      <c r="S54" s="62">
        <f ca="1">AVERAGE(OFFSET($R$3,0,0,'Données projet'!$E$9+1,1))-AVERAGE(OFFSET($H$3,0,0,'Données projet'!$E$9+1,1))</f>
        <v>478.11504516179713</v>
      </c>
      <c r="T54" s="62">
        <f t="shared" si="34"/>
        <v>249.93713224442419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7.3600000000000083</v>
      </c>
      <c r="AI54" s="14">
        <f>IF('Données projet'!$A$62&gt;35,AI53+AH54-AQ53,IF(A54&lt;'Données projet'!$A$62,$AF$205^A54,IF(A54='Données projet'!$A$62,'Données projet'!$B$62,AI53+AH54-AQ53)))</f>
        <v>249.15999999999994</v>
      </c>
      <c r="AJ54" s="14">
        <f>AI54*VLOOKUP('Données projet'!$B$10,Paramètres!$A$1:$I$89,3,0)*VLOOKUP('Données projet'!$B$10,Paramètres!$A$1:$I$89,5,0)</f>
        <v>198.23169599999997</v>
      </c>
      <c r="AK54" s="14">
        <f t="shared" si="35"/>
        <v>49.355347391815158</v>
      </c>
      <c r="AL54" s="22">
        <f t="shared" si="4"/>
        <v>431.21410057407803</v>
      </c>
      <c r="AM54" s="62">
        <f t="shared" si="5"/>
        <v>686.99798097732491</v>
      </c>
      <c r="AN54" s="62">
        <f ca="1">AVERAGE(OFFSET($AM$3,0,0,'Données projet'!$E$10+1,1))-AVERAGE(OFFSET($H$3,0,0,'Données projet'!$E$10+1,1))</f>
        <v>394.49874384716014</v>
      </c>
      <c r="AO54" s="62">
        <f t="shared" si="36"/>
        <v>423.72519584013378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7.3600000000000083</v>
      </c>
      <c r="BD54" s="13">
        <f>IF('Données projet'!$A$88&gt;35,BD53+BC54-BL53,IF(A54&lt;'Données projet'!$A$88,$BA$205^A54,IF(A54='Données projet'!$A$88,'Données projet'!$B$88,BD53+BC54-BL53)))</f>
        <v>249.15999999999994</v>
      </c>
      <c r="BE54" s="14">
        <f>BD54*VLOOKUP('Données projet'!$B$11,Paramètres!$A$1:$I$89,3,0)*VLOOKUP('Données projet'!$B$11,Paramètres!$A$1:$I$89,5,0)</f>
        <v>198.23169599999997</v>
      </c>
      <c r="BF54" s="14">
        <f t="shared" si="37"/>
        <v>49.355347391815158</v>
      </c>
      <c r="BG54" s="22">
        <f t="shared" si="7"/>
        <v>431.21410057407803</v>
      </c>
      <c r="BH54" s="62">
        <f t="shared" si="8"/>
        <v>686.99798097732491</v>
      </c>
      <c r="BI54" s="62">
        <f ca="1">AVERAGE(OFFSET($BH$3,0,0,'Données projet'!$E$11+1,1))-AVERAGE(OFFSET($H$3,0,0,'Données projet'!$E$11+1,1))</f>
        <v>394.49874384716014</v>
      </c>
      <c r="BJ54" s="62">
        <f t="shared" si="38"/>
        <v>423.72519584013378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159.58799999999999</v>
      </c>
      <c r="CA54" s="14">
        <f t="shared" si="39"/>
        <v>40.74957371668588</v>
      </c>
      <c r="CB54" s="22">
        <f t="shared" si="10"/>
        <v>348.92127422322784</v>
      </c>
      <c r="CC54" s="62">
        <f t="shared" si="11"/>
        <v>604.70515462647472</v>
      </c>
      <c r="CD54" s="62">
        <f ca="1">AVERAGE(OFFSET($CC$3,0,0,'Données projet'!$E$12+1,1))-AVERAGE(OFFSET($H$3,0,0,'Données projet'!$E$12+1,1))</f>
        <v>496.33873798282525</v>
      </c>
      <c r="CE54" s="62">
        <f t="shared" si="40"/>
        <v>280.25465074992246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5.6410256410256405</v>
      </c>
      <c r="CT54" s="13">
        <f>IF('Données projet'!$A$140&gt;35,CT53+CS54-DB53,IF(A54&lt;'Données projet'!$A$140,$CQ$205^A54,IF(A54='Données projet'!$A$140,'Données projet'!$B$140,CT53+CS54-DB53)))</f>
        <v>192.82051282051273</v>
      </c>
      <c r="CU54" s="18">
        <f>CT54*VLOOKUP('Données projet'!$B$13,Paramètres!$A$1:$I$89,3,0)*VLOOKUP('Données projet'!$B$13,Paramètres!$A$1:$I$89,5,0)</f>
        <v>183.48799999999991</v>
      </c>
      <c r="CV54" s="14">
        <f t="shared" si="41"/>
        <v>46.097332970867861</v>
      </c>
      <c r="CW54" s="22">
        <f t="shared" si="13"/>
        <v>399.86112159092801</v>
      </c>
      <c r="CX54" s="62">
        <f t="shared" si="14"/>
        <v>655.64500199417489</v>
      </c>
      <c r="CY54" s="62">
        <f ca="1">AVERAGE(OFFSET($CX$3,0,0,'Données projet'!$E$13+1,1))-AVERAGE(OFFSET($H$3,0,0,'Données projet'!$E$13+1,1))</f>
        <v>441.15969139782891</v>
      </c>
      <c r="CZ54" s="62">
        <f t="shared" si="42"/>
        <v>315.06466790224783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10.375</v>
      </c>
      <c r="DO54" s="13">
        <f>IF('Données projet'!$A$166&gt;35,DO53+DN54-DW53,IF(A54&lt;'Données projet'!$A$166,$DL$205^A54,IF(A54='Données projet'!$A$166,'Données projet'!$B$166,DO53+DN54-DW53)))</f>
        <v>259.62499999999989</v>
      </c>
      <c r="DP54" s="18">
        <f>DO54*VLOOKUP('Données projet'!$B$14,Paramètres!$A$1:$I$89,3,0)*VLOOKUP('Données projet'!$B$14,Paramètres!$A$1:$I$89,5,0)</f>
        <v>202.50749999999991</v>
      </c>
      <c r="DQ54" s="14">
        <f t="shared" si="43"/>
        <v>50.294840086606349</v>
      </c>
      <c r="DR54" s="22">
        <f t="shared" si="16"/>
        <v>440.29740898417253</v>
      </c>
      <c r="DS54" s="62">
        <f t="shared" si="17"/>
        <v>696.08128938741936</v>
      </c>
      <c r="DT54" s="62">
        <f ca="1">AVERAGE(OFFSET($DS$3,0,0,'Données projet'!$E$14+1,1))-AVERAGE(OFFSET($H$3,0,0,'Données projet'!$E$14+1,1))</f>
        <v>309.21625451786218</v>
      </c>
      <c r="DU54" s="62">
        <f t="shared" si="44"/>
        <v>302.59481222418219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4.8</v>
      </c>
      <c r="EJ54" s="13">
        <f>IF('Données projet'!$A$192&gt;35,EJ53+EI54-ER53,IF(A54&lt;'Données projet'!$A$192,$EG$205^A54,IF(A54='Données projet'!$A$192,'Données projet'!$B$192,EJ53+EI54-ER53)))</f>
        <v>178.79999999999995</v>
      </c>
      <c r="EK54" s="18">
        <f>EJ54*VLOOKUP('Données projet'!$B$15,Paramètres!$A$1:$I$89,3,0)*VLOOKUP('Données projet'!$B$15,Paramètres!$A$1:$I$89,5,0)</f>
        <v>156.19967999999997</v>
      </c>
      <c r="EL54" s="14">
        <f t="shared" si="45"/>
        <v>39.984147088814133</v>
      </c>
      <c r="EM54" s="22">
        <f t="shared" si="19"/>
        <v>341.68683217968459</v>
      </c>
      <c r="EN54" s="62">
        <f t="shared" si="20"/>
        <v>597.47071258293136</v>
      </c>
      <c r="EO54" s="62">
        <f ca="1">AVERAGE(OFFSET($EN$3,0,0,'Données projet'!$E$15+1,1))-AVERAGE(OFFSET($H$3,0,0,'Données projet'!$E$15+1,1))</f>
        <v>298.56812743477741</v>
      </c>
      <c r="EP54" s="62">
        <f t="shared" si="46"/>
        <v>276.01618888357268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6.6666666666666625</v>
      </c>
      <c r="FE54" s="13">
        <f>IF('Données projet'!$A$218&gt;35,FE53+FD54-FM53,IF(A54&lt;'Données projet'!$A$218,$FB$205^A54,IF(A54='Données projet'!$A$218,'Données projet'!$B$218,FE53+FD54-FM53)))</f>
        <v>231.66666666666674</v>
      </c>
      <c r="FF54" s="18">
        <f>FE54*VLOOKUP('Données projet'!$B$16,Paramètres!$A$1:$I$89,3,0)*VLOOKUP('Données projet'!$B$16,Paramètres!$A$1:$I$89,5,0)</f>
        <v>155.40200000000007</v>
      </c>
      <c r="FG54" s="14">
        <f t="shared" si="47"/>
        <v>39.803670275990136</v>
      </c>
      <c r="FH54" s="22">
        <f t="shared" si="22"/>
        <v>339.98320906401625</v>
      </c>
      <c r="FI54" s="62">
        <f t="shared" si="23"/>
        <v>595.76708946726308</v>
      </c>
      <c r="FJ54" s="62">
        <f ca="1">AVERAGE(OFFSET($FI$3,0,0,'Données projet'!$E$16+1,1))-AVERAGE(OFFSET($H$3,0,0,'Données projet'!$E$16+1,1))</f>
        <v>396.0878652679051</v>
      </c>
      <c r="FK54" s="62">
        <f t="shared" si="48"/>
        <v>327.26339199235406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9">
        <f t="shared" si="1"/>
        <v>183.33333333333334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15.5</v>
      </c>
      <c r="N55" s="14">
        <f>IF('Données projet'!$A$36&gt;35,N54+M55-V54,IF(A55&lt;'Données projet'!$A$36,$K$205^A55,IF(A55='Données projet'!$A$36,'Données projet'!$B$36,N54+M55-V54)))</f>
        <v>238.99999999999986</v>
      </c>
      <c r="O55" s="14">
        <f>N55*VLOOKUP('Données projet'!$B$9,Paramètres!$A$1:$I$89,3,0)*VLOOKUP('Données projet'!$B$9,Paramètres!$A$1:$I$89,5,0)</f>
        <v>205.0619999999999</v>
      </c>
      <c r="P55" s="14">
        <f t="shared" si="33"/>
        <v>50.855018623514823</v>
      </c>
      <c r="Q55" s="22">
        <f t="shared" si="53"/>
        <v>445.72214076928805</v>
      </c>
      <c r="R55" s="62">
        <f t="shared" si="0"/>
        <v>702.15742023287135</v>
      </c>
      <c r="S55" s="62">
        <f ca="1">AVERAGE(OFFSET($R$3,0,0,'Données projet'!$E$9+1,1))-AVERAGE(OFFSET($H$3,0,0,'Données projet'!$E$9+1,1))</f>
        <v>478.11504516179713</v>
      </c>
      <c r="T55" s="62">
        <f t="shared" si="34"/>
        <v>249.93713224442419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7.3600000000000083</v>
      </c>
      <c r="AI55" s="14">
        <f>IF('Données projet'!$A$62&gt;35,AI54+AH55-AQ54,IF(A55&lt;'Données projet'!$A$62,$AF$205^A55,IF(A55='Données projet'!$A$62,'Données projet'!$B$62,AI54+AH55-AQ54)))</f>
        <v>256.51999999999992</v>
      </c>
      <c r="AJ55" s="14">
        <f>AI55*VLOOKUP('Données projet'!$B$10,Paramètres!$A$1:$I$89,3,0)*VLOOKUP('Données projet'!$B$10,Paramètres!$A$1:$I$89,5,0)</f>
        <v>204.08731199999997</v>
      </c>
      <c r="AK55" s="14">
        <f t="shared" si="35"/>
        <v>50.641374824638383</v>
      </c>
      <c r="AL55" s="22">
        <f t="shared" si="4"/>
        <v>443.65246288624508</v>
      </c>
      <c r="AM55" s="62">
        <f t="shared" si="5"/>
        <v>700.08774234982843</v>
      </c>
      <c r="AN55" s="62">
        <f ca="1">AVERAGE(OFFSET($AM$3,0,0,'Données projet'!$E$10+1,1))-AVERAGE(OFFSET($H$3,0,0,'Données projet'!$E$10+1,1))</f>
        <v>394.49874384716014</v>
      </c>
      <c r="AO55" s="62">
        <f t="shared" si="36"/>
        <v>423.72519584013378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7.3600000000000083</v>
      </c>
      <c r="BD55" s="13">
        <f>IF('Données projet'!$A$88&gt;35,BD54+BC55-BL54,IF(A55&lt;'Données projet'!$A$88,$BA$205^A55,IF(A55='Données projet'!$A$88,'Données projet'!$B$88,BD54+BC55-BL54)))</f>
        <v>256.51999999999992</v>
      </c>
      <c r="BE55" s="14">
        <f>BD55*VLOOKUP('Données projet'!$B$11,Paramètres!$A$1:$I$89,3,0)*VLOOKUP('Données projet'!$B$11,Paramètres!$A$1:$I$89,5,0)</f>
        <v>204.08731199999997</v>
      </c>
      <c r="BF55" s="14">
        <f t="shared" si="37"/>
        <v>50.641374824638383</v>
      </c>
      <c r="BG55" s="22">
        <f t="shared" si="7"/>
        <v>443.65246288624508</v>
      </c>
      <c r="BH55" s="62">
        <f t="shared" si="8"/>
        <v>700.08774234982843</v>
      </c>
      <c r="BI55" s="62">
        <f ca="1">AVERAGE(OFFSET($BH$3,0,0,'Données projet'!$E$11+1,1))-AVERAGE(OFFSET($H$3,0,0,'Données projet'!$E$11+1,1))</f>
        <v>394.49874384716014</v>
      </c>
      <c r="BJ55" s="62">
        <f t="shared" si="38"/>
        <v>423.72519584013378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167.32560000000001</v>
      </c>
      <c r="CA55" s="14">
        <f t="shared" si="39"/>
        <v>42.490495297127609</v>
      </c>
      <c r="CB55" s="22">
        <f t="shared" si="10"/>
        <v>365.42969930916388</v>
      </c>
      <c r="CC55" s="62">
        <f t="shared" si="11"/>
        <v>621.86497877274724</v>
      </c>
      <c r="CD55" s="62">
        <f ca="1">AVERAGE(OFFSET($CC$3,0,0,'Données projet'!$E$12+1,1))-AVERAGE(OFFSET($H$3,0,0,'Données projet'!$E$12+1,1))</f>
        <v>496.33873798282525</v>
      </c>
      <c r="CE55" s="62">
        <f t="shared" si="40"/>
        <v>280.25465074992246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5.6410256410256405</v>
      </c>
      <c r="CT55" s="13">
        <f>IF('Données projet'!$A$140&gt;35,CT54+CS55-DB54,IF(A55&lt;'Données projet'!$A$140,$CQ$205^A55,IF(A55='Données projet'!$A$140,'Données projet'!$B$140,CT54+CS55-DB54)))</f>
        <v>198.46153846153837</v>
      </c>
      <c r="CU55" s="18">
        <f>CT55*VLOOKUP('Données projet'!$B$13,Paramètres!$A$1:$I$89,3,0)*VLOOKUP('Données projet'!$B$13,Paramètres!$A$1:$I$89,5,0)</f>
        <v>188.85599999999991</v>
      </c>
      <c r="CV55" s="14">
        <f t="shared" si="41"/>
        <v>47.286941864448139</v>
      </c>
      <c r="CW55" s="22">
        <f t="shared" si="13"/>
        <v>411.28229041391364</v>
      </c>
      <c r="CX55" s="62">
        <f t="shared" si="14"/>
        <v>667.717569877497</v>
      </c>
      <c r="CY55" s="62">
        <f ca="1">AVERAGE(OFFSET($CX$3,0,0,'Données projet'!$E$13+1,1))-AVERAGE(OFFSET($H$3,0,0,'Données projet'!$E$13+1,1))</f>
        <v>441.15969139782891</v>
      </c>
      <c r="CZ55" s="62">
        <f t="shared" si="42"/>
        <v>315.06466790224783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270</v>
      </c>
      <c r="DM55" s="13">
        <f>VLOOKUP(A55,'Données projet'!$A$165:$I$185,9,0)</f>
        <v>10.375</v>
      </c>
      <c r="DN55" s="13">
        <f t="array" ref="DN55">INDEX(DM:DM,MIN(IF(ISNUMBER(DM55:DM251),ROW(DM55:DM251),"")))</f>
        <v>10.375</v>
      </c>
      <c r="DO55" s="13">
        <f>IF('Données projet'!$A$166&gt;35,DO54+DN55-DW54,IF(A55&lt;'Données projet'!$A$166,$DL$205^A55,IF(A55='Données projet'!$A$166,'Données projet'!$B$166,DO54+DN55-DW54)))</f>
        <v>269.99999999999989</v>
      </c>
      <c r="DP55" s="18">
        <f>DO55*VLOOKUP('Données projet'!$B$14,Paramètres!$A$1:$I$89,3,0)*VLOOKUP('Données projet'!$B$14,Paramètres!$A$1:$I$89,5,0)</f>
        <v>210.59999999999991</v>
      </c>
      <c r="DQ55" s="14">
        <f t="shared" si="43"/>
        <v>52.066679014659961</v>
      </c>
      <c r="DR55" s="22">
        <f t="shared" si="16"/>
        <v>457.47779928386586</v>
      </c>
      <c r="DS55" s="62">
        <f t="shared" si="17"/>
        <v>713.91307874744916</v>
      </c>
      <c r="DT55" s="62">
        <f ca="1">AVERAGE(OFFSET($DS$3,0,0,'Données projet'!$E$14+1,1))-AVERAGE(OFFSET($H$3,0,0,'Données projet'!$E$14+1,1))</f>
        <v>309.21625451786218</v>
      </c>
      <c r="DU55" s="62">
        <f t="shared" si="44"/>
        <v>302.59481222418219</v>
      </c>
      <c r="DV55" s="16">
        <f>IF(ISNA(VLOOKUP(A55,'Données projet'!$A$165:$I$185,3,0)),0,VLOOKUP(A55,'Données projet'!$A$165:$I$185,3,0))</f>
        <v>6</v>
      </c>
      <c r="DW55" s="16">
        <f>IF(ISNA(VLOOKUP(A55,'Données projet'!$A$165:$I$185,4,0)),0,VLOOKUP(A55,'Données projet'!$A$165:$I$185,4,0))</f>
        <v>48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4.8</v>
      </c>
      <c r="EJ55" s="13">
        <f>IF('Données projet'!$A$192&gt;35,EJ54+EI55-ER54,IF(A55&lt;'Données projet'!$A$192,$EG$205^A55,IF(A55='Données projet'!$A$192,'Données projet'!$B$192,EJ54+EI55-ER54)))</f>
        <v>183.59999999999997</v>
      </c>
      <c r="EK55" s="18">
        <f>EJ55*VLOOKUP('Données projet'!$B$15,Paramètres!$A$1:$I$89,3,0)*VLOOKUP('Données projet'!$B$15,Paramètres!$A$1:$I$89,5,0)</f>
        <v>160.39295999999999</v>
      </c>
      <c r="EL55" s="14">
        <f t="shared" si="45"/>
        <v>40.931135973980041</v>
      </c>
      <c r="EM55" s="22">
        <f t="shared" si="19"/>
        <v>350.63946715468188</v>
      </c>
      <c r="EN55" s="62">
        <f t="shared" si="20"/>
        <v>607.07474661826518</v>
      </c>
      <c r="EO55" s="62">
        <f ca="1">AVERAGE(OFFSET($EN$3,0,0,'Données projet'!$E$15+1,1))-AVERAGE(OFFSET($H$3,0,0,'Données projet'!$E$15+1,1))</f>
        <v>298.56812743477741</v>
      </c>
      <c r="EP55" s="62">
        <f t="shared" si="46"/>
        <v>276.01618888357268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6.6666666666666625</v>
      </c>
      <c r="FE55" s="13">
        <f>IF('Données projet'!$A$218&gt;35,FE54+FD55-FM54,IF(A55&lt;'Données projet'!$A$218,$FB$205^A55,IF(A55='Données projet'!$A$218,'Données projet'!$B$218,FE54+FD55-FM54)))</f>
        <v>238.3333333333334</v>
      </c>
      <c r="FF55" s="18">
        <f>FE55*VLOOKUP('Données projet'!$B$16,Paramètres!$A$1:$I$89,3,0)*VLOOKUP('Données projet'!$B$16,Paramètres!$A$1:$I$89,5,0)</f>
        <v>159.87400000000005</v>
      </c>
      <c r="FG55" s="14">
        <f t="shared" si="47"/>
        <v>40.81409445206225</v>
      </c>
      <c r="FH55" s="22">
        <f t="shared" si="22"/>
        <v>349.53176450400855</v>
      </c>
      <c r="FI55" s="62">
        <f t="shared" si="23"/>
        <v>605.96704396759196</v>
      </c>
      <c r="FJ55" s="62">
        <f ca="1">AVERAGE(OFFSET($FI$3,0,0,'Données projet'!$E$16+1,1))-AVERAGE(OFFSET($H$3,0,0,'Données projet'!$E$16+1,1))</f>
        <v>396.0878652679051</v>
      </c>
      <c r="FK55" s="62">
        <f t="shared" si="48"/>
        <v>327.26339199235406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9">
        <f t="shared" si="1"/>
        <v>183.33333333333334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15.5</v>
      </c>
      <c r="N56" s="14">
        <f>IF('Données projet'!$A$36&gt;35,N55+M56-V55,IF(A56&lt;'Données projet'!$A$36,$K$205^A56,IF(A56='Données projet'!$A$36,'Données projet'!$B$36,N55+M56-V55)))</f>
        <v>254.49999999999986</v>
      </c>
      <c r="O56" s="14">
        <f>N56*VLOOKUP('Données projet'!$B$9,Paramètres!$A$1:$I$89,3,0)*VLOOKUP('Données projet'!$B$9,Paramètres!$A$1:$I$89,5,0)</f>
        <v>218.3609999999999</v>
      </c>
      <c r="P56" s="14">
        <f t="shared" si="33"/>
        <v>53.758502281527136</v>
      </c>
      <c r="Q56" s="22">
        <f t="shared" si="53"/>
        <v>473.94146647365955</v>
      </c>
      <c r="R56" s="62">
        <f t="shared" si="0"/>
        <v>731.01684468019278</v>
      </c>
      <c r="S56" s="62">
        <f ca="1">AVERAGE(OFFSET($R$3,0,0,'Données projet'!$E$9+1,1))-AVERAGE(OFFSET($H$3,0,0,'Données projet'!$E$9+1,1))</f>
        <v>478.11504516179713</v>
      </c>
      <c r="T56" s="62">
        <f t="shared" si="34"/>
        <v>249.93713224442419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7.3600000000000083</v>
      </c>
      <c r="AI56" s="14">
        <f>IF('Données projet'!$A$62&gt;35,AI55+AH56-AQ55,IF(A56&lt;'Données projet'!$A$62,$AF$205^A56,IF(A56='Données projet'!$A$62,'Données projet'!$B$62,AI55+AH56-AQ55)))</f>
        <v>263.87999999999994</v>
      </c>
      <c r="AJ56" s="14">
        <f>AI56*VLOOKUP('Données projet'!$B$10,Paramètres!$A$1:$I$89,3,0)*VLOOKUP('Données projet'!$B$10,Paramètres!$A$1:$I$89,5,0)</f>
        <v>209.94292799999997</v>
      </c>
      <c r="AK56" s="14">
        <f t="shared" si="35"/>
        <v>51.9231138331048</v>
      </c>
      <c r="AL56" s="22">
        <f t="shared" si="4"/>
        <v>456.08335619265745</v>
      </c>
      <c r="AM56" s="62">
        <f t="shared" si="5"/>
        <v>713.15873439919073</v>
      </c>
      <c r="AN56" s="62">
        <f ca="1">AVERAGE(OFFSET($AM$3,0,0,'Données projet'!$E$10+1,1))-AVERAGE(OFFSET($H$3,0,0,'Données projet'!$E$10+1,1))</f>
        <v>394.49874384716014</v>
      </c>
      <c r="AO56" s="62">
        <f t="shared" si="36"/>
        <v>423.72519584013378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7.3600000000000083</v>
      </c>
      <c r="BD56" s="13">
        <f>IF('Données projet'!$A$88&gt;35,BD55+BC56-BL55,IF(A56&lt;'Données projet'!$A$88,$BA$205^A56,IF(A56='Données projet'!$A$88,'Données projet'!$B$88,BD55+BC56-BL55)))</f>
        <v>263.87999999999994</v>
      </c>
      <c r="BE56" s="14">
        <f>BD56*VLOOKUP('Données projet'!$B$11,Paramètres!$A$1:$I$89,3,0)*VLOOKUP('Données projet'!$B$11,Paramètres!$A$1:$I$89,5,0)</f>
        <v>209.94292799999997</v>
      </c>
      <c r="BF56" s="14">
        <f t="shared" si="37"/>
        <v>51.9231138331048</v>
      </c>
      <c r="BG56" s="22">
        <f t="shared" si="7"/>
        <v>456.08335619265745</v>
      </c>
      <c r="BH56" s="62">
        <f t="shared" si="8"/>
        <v>713.15873439919073</v>
      </c>
      <c r="BI56" s="62">
        <f ca="1">AVERAGE(OFFSET($BH$3,0,0,'Données projet'!$E$11+1,1))-AVERAGE(OFFSET($H$3,0,0,'Données projet'!$E$11+1,1))</f>
        <v>394.49874384716014</v>
      </c>
      <c r="BJ56" s="62">
        <f t="shared" si="38"/>
        <v>423.72519584013378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175.06319999999999</v>
      </c>
      <c r="CA56" s="14">
        <f t="shared" si="39"/>
        <v>44.22206774682472</v>
      </c>
      <c r="CB56" s="22">
        <f t="shared" si="10"/>
        <v>381.9218413257197</v>
      </c>
      <c r="CC56" s="62">
        <f t="shared" si="11"/>
        <v>638.99721953225298</v>
      </c>
      <c r="CD56" s="62">
        <f ca="1">AVERAGE(OFFSET($CC$3,0,0,'Données projet'!$E$12+1,1))-AVERAGE(OFFSET($H$3,0,0,'Données projet'!$E$12+1,1))</f>
        <v>496.33873798282525</v>
      </c>
      <c r="CE56" s="62">
        <f t="shared" si="40"/>
        <v>280.25465074992246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5.6410256410256405</v>
      </c>
      <c r="CT56" s="13">
        <f>IF('Données projet'!$A$140&gt;35,CT55+CS56-DB55,IF(A56&lt;'Données projet'!$A$140,$CQ$205^A56,IF(A56='Données projet'!$A$140,'Données projet'!$B$140,CT55+CS56-DB55)))</f>
        <v>204.102564102564</v>
      </c>
      <c r="CU56" s="18">
        <f>CT56*VLOOKUP('Données projet'!$B$13,Paramètres!$A$1:$I$89,3,0)*VLOOKUP('Données projet'!$B$13,Paramètres!$A$1:$I$89,5,0)</f>
        <v>194.2239999999999</v>
      </c>
      <c r="CV56" s="14">
        <f t="shared" si="41"/>
        <v>48.472620849341268</v>
      </c>
      <c r="CW56" s="22">
        <f t="shared" si="13"/>
        <v>422.69661464593588</v>
      </c>
      <c r="CX56" s="62">
        <f t="shared" si="14"/>
        <v>679.77199285246911</v>
      </c>
      <c r="CY56" s="62">
        <f ca="1">AVERAGE(OFFSET($CX$3,0,0,'Données projet'!$E$13+1,1))-AVERAGE(OFFSET($H$3,0,0,'Données projet'!$E$13+1,1))</f>
        <v>441.15969139782891</v>
      </c>
      <c r="CZ56" s="62">
        <f t="shared" si="42"/>
        <v>315.06466790224783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9.375</v>
      </c>
      <c r="DO56" s="13">
        <f>IF('Données projet'!$A$166&gt;35,DO55+DN56-DW55,IF(A56&lt;'Données projet'!$A$166,$DL$205^A56,IF(A56='Données projet'!$A$166,'Données projet'!$B$166,DO55+DN56-DW55)))</f>
        <v>231.37499999999989</v>
      </c>
      <c r="DP56" s="18">
        <f>DO56*VLOOKUP('Données projet'!$B$14,Paramètres!$A$1:$I$89,3,0)*VLOOKUP('Données projet'!$B$14,Paramètres!$A$1:$I$89,5,0)</f>
        <v>180.47249999999991</v>
      </c>
      <c r="DQ56" s="14">
        <f t="shared" si="43"/>
        <v>45.427292666837829</v>
      </c>
      <c r="DR56" s="22">
        <f t="shared" si="16"/>
        <v>393.44213889474241</v>
      </c>
      <c r="DS56" s="62">
        <f t="shared" si="17"/>
        <v>650.51751710127564</v>
      </c>
      <c r="DT56" s="62">
        <f ca="1">AVERAGE(OFFSET($DS$3,0,0,'Données projet'!$E$14+1,1))-AVERAGE(OFFSET($H$3,0,0,'Données projet'!$E$14+1,1))</f>
        <v>309.21625451786218</v>
      </c>
      <c r="DU56" s="62">
        <f t="shared" si="44"/>
        <v>302.59481222418219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4.8</v>
      </c>
      <c r="EJ56" s="13">
        <f>IF('Données projet'!$A$192&gt;35,EJ55+EI56-ER55,IF(A56&lt;'Données projet'!$A$192,$EG$205^A56,IF(A56='Données projet'!$A$192,'Données projet'!$B$192,EJ55+EI56-ER55)))</f>
        <v>188.39999999999998</v>
      </c>
      <c r="EK56" s="18">
        <f>EJ56*VLOOKUP('Données projet'!$B$15,Paramètres!$A$1:$I$89,3,0)*VLOOKUP('Données projet'!$B$15,Paramètres!$A$1:$I$89,5,0)</f>
        <v>164.58624</v>
      </c>
      <c r="EL56" s="14">
        <f t="shared" si="45"/>
        <v>41.875247075991886</v>
      </c>
      <c r="EM56" s="22">
        <f t="shared" si="19"/>
        <v>359.58708999068585</v>
      </c>
      <c r="EN56" s="62">
        <f t="shared" si="20"/>
        <v>616.66246819721914</v>
      </c>
      <c r="EO56" s="62">
        <f ca="1">AVERAGE(OFFSET($EN$3,0,0,'Données projet'!$E$15+1,1))-AVERAGE(OFFSET($H$3,0,0,'Données projet'!$E$15+1,1))</f>
        <v>298.56812743477741</v>
      </c>
      <c r="EP56" s="62">
        <f t="shared" si="46"/>
        <v>276.01618888357268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6.6666666666666625</v>
      </c>
      <c r="FE56" s="13">
        <f>IF('Données projet'!$A$218&gt;35,FE55+FD56-FM55,IF(A56&lt;'Données projet'!$A$218,$FB$205^A56,IF(A56='Données projet'!$A$218,'Données projet'!$B$218,FE55+FD56-FM55)))</f>
        <v>245.00000000000006</v>
      </c>
      <c r="FF56" s="18">
        <f>FE56*VLOOKUP('Données projet'!$B$16,Paramètres!$A$1:$I$89,3,0)*VLOOKUP('Données projet'!$B$16,Paramètres!$A$1:$I$89,5,0)</f>
        <v>164.34600000000003</v>
      </c>
      <c r="FG56" s="14">
        <f t="shared" si="47"/>
        <v>41.821233640915146</v>
      </c>
      <c r="FH56" s="22">
        <f t="shared" si="22"/>
        <v>359.07459859126061</v>
      </c>
      <c r="FI56" s="62">
        <f t="shared" si="23"/>
        <v>616.1499767977939</v>
      </c>
      <c r="FJ56" s="62">
        <f ca="1">AVERAGE(OFFSET($FI$3,0,0,'Données projet'!$E$16+1,1))-AVERAGE(OFFSET($H$3,0,0,'Données projet'!$E$16+1,1))</f>
        <v>396.0878652679051</v>
      </c>
      <c r="FK56" s="62">
        <f t="shared" si="48"/>
        <v>327.26339199235406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9">
        <f t="shared" si="1"/>
        <v>183.33333333333334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270</v>
      </c>
      <c r="L57" s="13">
        <f>VLOOKUP(A57,'Données projet'!$A$35:$I$55,9,0)</f>
        <v>15.5</v>
      </c>
      <c r="M57" s="13">
        <f t="array" ref="M57">INDEX(L:L,MIN(IF(ISNUMBER(L57:L253),ROW(L57:L253),"")))</f>
        <v>15.5</v>
      </c>
      <c r="N57" s="14">
        <f>IF('Données projet'!$A$36&gt;35,N56+M57-V56,IF(A57&lt;'Données projet'!$A$36,$K$205^A57,IF(A57='Données projet'!$A$36,'Données projet'!$B$36,N56+M57-V56)))</f>
        <v>269.99999999999989</v>
      </c>
      <c r="O57" s="14">
        <f>N57*VLOOKUP('Données projet'!$B$9,Paramètres!$A$1:$I$89,3,0)*VLOOKUP('Données projet'!$B$9,Paramètres!$A$1:$I$89,5,0)</f>
        <v>231.65999999999991</v>
      </c>
      <c r="P57" s="14">
        <f t="shared" si="33"/>
        <v>56.641461975682766</v>
      </c>
      <c r="Q57" s="22">
        <f t="shared" si="53"/>
        <v>502.125046274314</v>
      </c>
      <c r="R57" s="62">
        <f t="shared" si="0"/>
        <v>759.82941894165333</v>
      </c>
      <c r="S57" s="62">
        <f ca="1">AVERAGE(OFFSET($R$3,0,0,'Données projet'!$E$9+1,1))-AVERAGE(OFFSET($H$3,0,0,'Données projet'!$E$9+1,1))</f>
        <v>478.11504516179713</v>
      </c>
      <c r="T57" s="62">
        <f t="shared" si="34"/>
        <v>249.93713224442419</v>
      </c>
      <c r="U57" s="16">
        <f>IF(ISNA(VLOOKUP(A57,'Données projet'!$A$35:$I$55,3,0)),0,VLOOKUP(A57,'Données projet'!$A$35:$I$55,3,0))</f>
        <v>6</v>
      </c>
      <c r="V57" s="16">
        <f>IF(ISNA(VLOOKUP(A57,'Données projet'!$A$35:$I$55,4,0)),0,VLOOKUP(A57,'Données projet'!$A$35:$I$55,4,0))</f>
        <v>64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7.3600000000000083</v>
      </c>
      <c r="AI57" s="14">
        <f>IF('Données projet'!$A$62&gt;35,AI56+AH57-AQ56,IF(A57&lt;'Données projet'!$A$62,$AF$205^A57,IF(A57='Données projet'!$A$62,'Données projet'!$B$62,AI56+AH57-AQ56)))</f>
        <v>271.23999999999995</v>
      </c>
      <c r="AJ57" s="14">
        <f>AI57*VLOOKUP('Données projet'!$B$10,Paramètres!$A$1:$I$89,3,0)*VLOOKUP('Données projet'!$B$10,Paramètres!$A$1:$I$89,5,0)</f>
        <v>215.79854399999996</v>
      </c>
      <c r="AK57" s="14">
        <f t="shared" si="35"/>
        <v>53.200697768809484</v>
      </c>
      <c r="AL57" s="22">
        <f t="shared" si="4"/>
        <v>468.50701274734303</v>
      </c>
      <c r="AM57" s="62">
        <f t="shared" si="5"/>
        <v>726.21138541468235</v>
      </c>
      <c r="AN57" s="62">
        <f ca="1">AVERAGE(OFFSET($AM$3,0,0,'Données projet'!$E$10+1,1))-AVERAGE(OFFSET($H$3,0,0,'Données projet'!$E$10+1,1))</f>
        <v>394.49874384716014</v>
      </c>
      <c r="AO57" s="62">
        <f t="shared" si="36"/>
        <v>423.72519584013378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7.3600000000000083</v>
      </c>
      <c r="BD57" s="13">
        <f>IF('Données projet'!$A$88&gt;35,BD56+BC57-BL56,IF(A57&lt;'Données projet'!$A$88,$BA$205^A57,IF(A57='Données projet'!$A$88,'Données projet'!$B$88,BD56+BC57-BL56)))</f>
        <v>271.23999999999995</v>
      </c>
      <c r="BE57" s="14">
        <f>BD57*VLOOKUP('Données projet'!$B$11,Paramètres!$A$1:$I$89,3,0)*VLOOKUP('Données projet'!$B$11,Paramètres!$A$1:$I$89,5,0)</f>
        <v>215.79854399999996</v>
      </c>
      <c r="BF57" s="14">
        <f t="shared" si="37"/>
        <v>53.200697768809484</v>
      </c>
      <c r="BG57" s="22">
        <f t="shared" si="7"/>
        <v>468.50701274734303</v>
      </c>
      <c r="BH57" s="62">
        <f t="shared" si="8"/>
        <v>726.21138541468235</v>
      </c>
      <c r="BI57" s="62">
        <f ca="1">AVERAGE(OFFSET($BH$3,0,0,'Données projet'!$E$11+1,1))-AVERAGE(OFFSET($H$3,0,0,'Données projet'!$E$11+1,1))</f>
        <v>394.49874384716014</v>
      </c>
      <c r="BJ57" s="62">
        <f t="shared" si="38"/>
        <v>423.72519584013378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182.80079999999998</v>
      </c>
      <c r="CA57" s="14">
        <f t="shared" si="39"/>
        <v>45.944751507471658</v>
      </c>
      <c r="CB57" s="22">
        <f t="shared" si="10"/>
        <v>398.39850220884642</v>
      </c>
      <c r="CC57" s="62">
        <f t="shared" si="11"/>
        <v>656.10287487618575</v>
      </c>
      <c r="CD57" s="62">
        <f ca="1">AVERAGE(OFFSET($CC$3,0,0,'Données projet'!$E$12+1,1))-AVERAGE(OFFSET($H$3,0,0,'Données projet'!$E$12+1,1))</f>
        <v>496.33873798282525</v>
      </c>
      <c r="CE57" s="62">
        <f t="shared" si="40"/>
        <v>280.25465074992246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5.6410256410256405</v>
      </c>
      <c r="CT57" s="13">
        <f>IF('Données projet'!$A$140&gt;35,CT56+CS57-DB56,IF(A57&lt;'Données projet'!$A$140,$CQ$205^A57,IF(A57='Données projet'!$A$140,'Données projet'!$B$140,CT56+CS57-DB56)))</f>
        <v>209.74358974358964</v>
      </c>
      <c r="CU57" s="18">
        <f>CT57*VLOOKUP('Données projet'!$B$13,Paramètres!$A$1:$I$89,3,0)*VLOOKUP('Données projet'!$B$13,Paramètres!$A$1:$I$89,5,0)</f>
        <v>199.5919999999999</v>
      </c>
      <c r="CV57" s="14">
        <f t="shared" si="41"/>
        <v>49.654491020353277</v>
      </c>
      <c r="CW57" s="22">
        <f t="shared" si="13"/>
        <v>434.10430519378178</v>
      </c>
      <c r="CX57" s="62">
        <f t="shared" si="14"/>
        <v>691.80867786112117</v>
      </c>
      <c r="CY57" s="62">
        <f ca="1">AVERAGE(OFFSET($CX$3,0,0,'Données projet'!$E$13+1,1))-AVERAGE(OFFSET($H$3,0,0,'Données projet'!$E$13+1,1))</f>
        <v>441.15969139782891</v>
      </c>
      <c r="CZ57" s="62">
        <f t="shared" si="42"/>
        <v>315.06466790224783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9.375</v>
      </c>
      <c r="DO57" s="13">
        <f>IF('Données projet'!$A$166&gt;35,DO56+DN57-DW56,IF(A57&lt;'Données projet'!$A$166,$DL$205^A57,IF(A57='Données projet'!$A$166,'Données projet'!$B$166,DO56+DN57-DW56)))</f>
        <v>240.74999999999989</v>
      </c>
      <c r="DP57" s="18">
        <f>DO57*VLOOKUP('Données projet'!$B$14,Paramètres!$A$1:$I$89,3,0)*VLOOKUP('Données projet'!$B$14,Paramètres!$A$1:$I$89,5,0)</f>
        <v>187.78499999999991</v>
      </c>
      <c r="DQ57" s="14">
        <f t="shared" si="43"/>
        <v>47.049914090154054</v>
      </c>
      <c r="DR57" s="22">
        <f t="shared" si="16"/>
        <v>409.0041420403515</v>
      </c>
      <c r="DS57" s="62">
        <f t="shared" si="17"/>
        <v>666.70851470769082</v>
      </c>
      <c r="DT57" s="62">
        <f ca="1">AVERAGE(OFFSET($DS$3,0,0,'Données projet'!$E$14+1,1))-AVERAGE(OFFSET($H$3,0,0,'Données projet'!$E$14+1,1))</f>
        <v>309.21625451786218</v>
      </c>
      <c r="DU57" s="62">
        <f t="shared" si="44"/>
        <v>302.59481222418219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4.8</v>
      </c>
      <c r="EJ57" s="13">
        <f>IF('Données projet'!$A$192&gt;35,EJ56+EI57-ER56,IF(A57&lt;'Données projet'!$A$192,$EG$205^A57,IF(A57='Données projet'!$A$192,'Données projet'!$B$192,EJ56+EI57-ER56)))</f>
        <v>193.2</v>
      </c>
      <c r="EK57" s="18">
        <f>EJ57*VLOOKUP('Données projet'!$B$15,Paramètres!$A$1:$I$89,3,0)*VLOOKUP('Données projet'!$B$15,Paramètres!$A$1:$I$89,5,0)</f>
        <v>168.77952000000002</v>
      </c>
      <c r="EL57" s="14">
        <f t="shared" si="45"/>
        <v>42.816562145177031</v>
      </c>
      <c r="EM57" s="22">
        <f t="shared" si="19"/>
        <v>368.52984306951663</v>
      </c>
      <c r="EN57" s="62">
        <f t="shared" si="20"/>
        <v>626.23421573685596</v>
      </c>
      <c r="EO57" s="62">
        <f ca="1">AVERAGE(OFFSET($EN$3,0,0,'Données projet'!$E$15+1,1))-AVERAGE(OFFSET($H$3,0,0,'Données projet'!$E$15+1,1))</f>
        <v>298.56812743477741</v>
      </c>
      <c r="EP57" s="62">
        <f t="shared" si="46"/>
        <v>276.01618888357268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6.6666666666666625</v>
      </c>
      <c r="FE57" s="13">
        <f>IF('Données projet'!$A$218&gt;35,FE56+FD57-FM56,IF(A57&lt;'Données projet'!$A$218,$FB$205^A57,IF(A57='Données projet'!$A$218,'Données projet'!$B$218,FE56+FD57-FM56)))</f>
        <v>251.66666666666671</v>
      </c>
      <c r="FF57" s="18">
        <f>FE57*VLOOKUP('Données projet'!$B$16,Paramètres!$A$1:$I$89,3,0)*VLOOKUP('Données projet'!$B$16,Paramètres!$A$1:$I$89,5,0)</f>
        <v>168.81800000000004</v>
      </c>
      <c r="FG57" s="14">
        <f t="shared" si="47"/>
        <v>42.825187501685285</v>
      </c>
      <c r="FH57" s="22">
        <f t="shared" si="22"/>
        <v>368.61188489876866</v>
      </c>
      <c r="FI57" s="62">
        <f t="shared" si="23"/>
        <v>626.31625756610799</v>
      </c>
      <c r="FJ57" s="62">
        <f ca="1">AVERAGE(OFFSET($FI$3,0,0,'Données projet'!$E$16+1,1))-AVERAGE(OFFSET($H$3,0,0,'Données projet'!$E$16+1,1))</f>
        <v>396.0878652679051</v>
      </c>
      <c r="FK57" s="62">
        <f t="shared" si="48"/>
        <v>327.26339199235406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9">
        <f t="shared" si="1"/>
        <v>183.33333333333334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14.833333333333334</v>
      </c>
      <c r="N58" s="14">
        <f>IF('Données projet'!$A$36&gt;35,N57+M58-V57,IF(A58&lt;'Données projet'!$A$36,$K$205^A58,IF(A58='Données projet'!$A$36,'Données projet'!$B$36,N57+M58-V57)))</f>
        <v>220.8333333333332</v>
      </c>
      <c r="O58" s="14">
        <f>N58*VLOOKUP('Données projet'!$B$9,Paramètres!$A$1:$I$89,3,0)*VLOOKUP('Données projet'!$B$9,Paramètres!$A$1:$I$89,5,0)</f>
        <v>189.47499999999991</v>
      </c>
      <c r="P58" s="14">
        <f t="shared" si="33"/>
        <v>47.423864120172716</v>
      </c>
      <c r="Q58" s="22">
        <f t="shared" si="53"/>
        <v>412.59885500930062</v>
      </c>
      <c r="R58" s="62">
        <f t="shared" si="0"/>
        <v>670.92131048977194</v>
      </c>
      <c r="S58" s="62">
        <f ca="1">AVERAGE(OFFSET($R$3,0,0,'Données projet'!$E$9+1,1))-AVERAGE(OFFSET($H$3,0,0,'Données projet'!$E$9+1,1))</f>
        <v>478.11504516179713</v>
      </c>
      <c r="T58" s="62">
        <f t="shared" si="34"/>
        <v>249.93713224442419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278.60000000000002</v>
      </c>
      <c r="AG58" s="13">
        <f>VLOOKUP(A58,'Données projet'!$A$61:$I$81,9,0)</f>
        <v>7.3600000000000083</v>
      </c>
      <c r="AH58" s="13">
        <f t="array" ref="AH58">INDEX(AG:AG,MIN(IF(ISNUMBER(AG58:AG254),ROW(AG58:AG254),"")))</f>
        <v>7.3600000000000083</v>
      </c>
      <c r="AI58" s="14">
        <f>IF('Données projet'!$A$62&gt;35,AI57+AH58-AQ57,IF(A58&lt;'Données projet'!$A$62,$AF$205^A58,IF(A58='Données projet'!$A$62,'Données projet'!$B$62,AI57+AH58-AQ57)))</f>
        <v>278.59999999999997</v>
      </c>
      <c r="AJ58" s="14">
        <f>AI58*VLOOKUP('Données projet'!$B$10,Paramètres!$A$1:$I$89,3,0)*VLOOKUP('Données projet'!$B$10,Paramètres!$A$1:$I$89,5,0)</f>
        <v>221.65415999999999</v>
      </c>
      <c r="AK58" s="14">
        <f t="shared" si="35"/>
        <v>54.474252334510162</v>
      </c>
      <c r="AL58" s="22">
        <f t="shared" si="4"/>
        <v>480.92365148260507</v>
      </c>
      <c r="AM58" s="62">
        <f t="shared" si="5"/>
        <v>739.2461069630765</v>
      </c>
      <c r="AN58" s="62">
        <f ca="1">AVERAGE(OFFSET($AM$3,0,0,'Données projet'!$E$10+1,1))-AVERAGE(OFFSET($H$3,0,0,'Données projet'!$E$10+1,1))</f>
        <v>394.49874384716014</v>
      </c>
      <c r="AO58" s="62">
        <f t="shared" si="36"/>
        <v>423.72519584013378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278.60000000000002</v>
      </c>
      <c r="BB58" s="13">
        <f>VLOOKUP(A58,'Données projet'!$A$87:$I$107,9,0)</f>
        <v>7.3600000000000083</v>
      </c>
      <c r="BC58" s="13">
        <f t="array" ref="BC58">INDEX(BB:BB,MIN(IF(ISNUMBER(BB58:BB254),ROW(BB58:BB254),"")))</f>
        <v>7.3600000000000083</v>
      </c>
      <c r="BD58" s="13">
        <f>IF('Données projet'!$A$88&gt;35,BD57+BC58-BL57,IF(A58&lt;'Données projet'!$A$88,$BA$205^A58,IF(A58='Données projet'!$A$88,'Données projet'!$B$88,BD57+BC58-BL57)))</f>
        <v>278.59999999999997</v>
      </c>
      <c r="BE58" s="14">
        <f>BD58*VLOOKUP('Données projet'!$B$11,Paramètres!$A$1:$I$89,3,0)*VLOOKUP('Données projet'!$B$11,Paramètres!$A$1:$I$89,5,0)</f>
        <v>221.65415999999999</v>
      </c>
      <c r="BF58" s="14">
        <f t="shared" si="37"/>
        <v>54.474252334510162</v>
      </c>
      <c r="BG58" s="22">
        <f t="shared" si="7"/>
        <v>480.92365148260507</v>
      </c>
      <c r="BH58" s="62">
        <f t="shared" si="8"/>
        <v>739.2461069630765</v>
      </c>
      <c r="BI58" s="62">
        <f ca="1">AVERAGE(OFFSET($BH$3,0,0,'Données projet'!$E$11+1,1))-AVERAGE(OFFSET($H$3,0,0,'Données projet'!$E$11+1,1))</f>
        <v>394.49874384716014</v>
      </c>
      <c r="BJ58" s="62">
        <f t="shared" si="38"/>
        <v>423.72519584013378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190.5384</v>
      </c>
      <c r="CA58" s="14">
        <f t="shared" si="39"/>
        <v>47.658965836673829</v>
      </c>
      <c r="CB58" s="22">
        <f t="shared" si="10"/>
        <v>414.86041216554025</v>
      </c>
      <c r="CC58" s="62">
        <f t="shared" si="11"/>
        <v>673.18286764601157</v>
      </c>
      <c r="CD58" s="62">
        <f ca="1">AVERAGE(OFFSET($CC$3,0,0,'Données projet'!$E$12+1,1))-AVERAGE(OFFSET($H$3,0,0,'Données projet'!$E$12+1,1))</f>
        <v>496.33873798282525</v>
      </c>
      <c r="CE58" s="62">
        <f t="shared" si="40"/>
        <v>280.25465074992246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215.38461538461539</v>
      </c>
      <c r="CR58" s="13">
        <f>VLOOKUP(A58,'Données projet'!$A$139:$I$159,9,0)</f>
        <v>5.6410256410256405</v>
      </c>
      <c r="CS58" s="13">
        <f t="array" ref="CS58">INDEX(CR:CR,MIN(IF(ISNUMBER(CR58:CR254),ROW(CR58:CR254),"")))</f>
        <v>5.6410256410256405</v>
      </c>
      <c r="CT58" s="13">
        <f>IF('Données projet'!$A$140&gt;35,CT57+CS58-DB57,IF(A58&lt;'Données projet'!$A$140,$CQ$205^A58,IF(A58='Données projet'!$A$140,'Données projet'!$B$140,CT57+CS58-DB57)))</f>
        <v>215.38461538461527</v>
      </c>
      <c r="CU58" s="18">
        <f>CT58*VLOOKUP('Données projet'!$B$13,Paramètres!$A$1:$I$89,3,0)*VLOOKUP('Données projet'!$B$13,Paramètres!$A$1:$I$89,5,0)</f>
        <v>204.95999999999987</v>
      </c>
      <c r="CV58" s="14">
        <f t="shared" si="41"/>
        <v>50.832666587809335</v>
      </c>
      <c r="CW58" s="22">
        <f t="shared" si="13"/>
        <v>445.50556097376767</v>
      </c>
      <c r="CX58" s="62">
        <f t="shared" si="14"/>
        <v>703.8280164542391</v>
      </c>
      <c r="CY58" s="62">
        <f ca="1">AVERAGE(OFFSET($CX$3,0,0,'Données projet'!$E$13+1,1))-AVERAGE(OFFSET($H$3,0,0,'Données projet'!$E$13+1,1))</f>
        <v>441.15969139782891</v>
      </c>
      <c r="CZ58" s="62">
        <f t="shared" si="42"/>
        <v>315.06466790224783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34.615384615384613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9.375</v>
      </c>
      <c r="DO58" s="13">
        <f>IF('Données projet'!$A$166&gt;35,DO57+DN58-DW57,IF(A58&lt;'Données projet'!$A$166,$DL$205^A58,IF(A58='Données projet'!$A$166,'Données projet'!$B$166,DO57+DN58-DW57)))</f>
        <v>250.12499999999989</v>
      </c>
      <c r="DP58" s="18">
        <f>DO58*VLOOKUP('Données projet'!$B$14,Paramètres!$A$1:$I$89,3,0)*VLOOKUP('Données projet'!$B$14,Paramètres!$A$1:$I$89,5,0)</f>
        <v>195.09749999999991</v>
      </c>
      <c r="DQ58" s="14">
        <f t="shared" si="43"/>
        <v>48.66519532492579</v>
      </c>
      <c r="DR58" s="22">
        <f t="shared" si="16"/>
        <v>424.55336102424553</v>
      </c>
      <c r="DS58" s="62">
        <f t="shared" si="17"/>
        <v>682.87581650471691</v>
      </c>
      <c r="DT58" s="62">
        <f ca="1">AVERAGE(OFFSET($DS$3,0,0,'Données projet'!$E$14+1,1))-AVERAGE(OFFSET($H$3,0,0,'Données projet'!$E$14+1,1))</f>
        <v>309.21625451786218</v>
      </c>
      <c r="DU58" s="62">
        <f t="shared" si="44"/>
        <v>302.59481222418219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198</v>
      </c>
      <c r="EH58" s="13">
        <f>VLOOKUP(A58,'Données projet'!$A$191:$I$211,9,0)</f>
        <v>4.8</v>
      </c>
      <c r="EI58" s="13">
        <f t="array" ref="EI58">INDEX(EH:EH,MIN(IF(ISNUMBER(EH58:EH254),ROW(EH58:EH254),"")))</f>
        <v>4.8</v>
      </c>
      <c r="EJ58" s="13">
        <f>IF('Données projet'!$A$192&gt;35,EJ57+EI58-ER57,IF(A58&lt;'Données projet'!$A$192,$EG$205^A58,IF(A58='Données projet'!$A$192,'Données projet'!$B$192,EJ57+EI58-ER57)))</f>
        <v>198</v>
      </c>
      <c r="EK58" s="18">
        <f>EJ58*VLOOKUP('Données projet'!$B$15,Paramètres!$A$1:$I$89,3,0)*VLOOKUP('Données projet'!$B$15,Paramètres!$A$1:$I$89,5,0)</f>
        <v>172.97280000000003</v>
      </c>
      <c r="EL58" s="14">
        <f t="shared" si="45"/>
        <v>43.75515863819728</v>
      </c>
      <c r="EM58" s="22">
        <f t="shared" si="19"/>
        <v>377.46786129486031</v>
      </c>
      <c r="EN58" s="62">
        <f t="shared" si="20"/>
        <v>635.79031677533169</v>
      </c>
      <c r="EO58" s="62">
        <f ca="1">AVERAGE(OFFSET($EN$3,0,0,'Données projet'!$E$15+1,1))-AVERAGE(OFFSET($H$3,0,0,'Données projet'!$E$15+1,1))</f>
        <v>298.56812743477741</v>
      </c>
      <c r="EP58" s="62">
        <f t="shared" si="46"/>
        <v>276.01618888357268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24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258.33333333333331</v>
      </c>
      <c r="FC58" s="13">
        <f>VLOOKUP(A58,'Données projet'!$A$217:$I$237,9,0)</f>
        <v>6.6666666666666625</v>
      </c>
      <c r="FD58" s="13">
        <f t="array" ref="FD58">INDEX(FC:FC,MIN(IF(ISNUMBER(FC58:FC254),ROW(FC58:FC254),"")))</f>
        <v>6.6666666666666625</v>
      </c>
      <c r="FE58" s="13">
        <f>IF('Données projet'!$A$218&gt;35,FE57+FD58-FM57,IF(A58&lt;'Données projet'!$A$218,$FB$205^A58,IF(A58='Données projet'!$A$218,'Données projet'!$B$218,FE57+FD58-FM57)))</f>
        <v>258.33333333333337</v>
      </c>
      <c r="FF58" s="18">
        <f>FE58*VLOOKUP('Données projet'!$B$16,Paramètres!$A$1:$I$89,3,0)*VLOOKUP('Données projet'!$B$16,Paramètres!$A$1:$I$89,5,0)</f>
        <v>173.29000000000002</v>
      </c>
      <c r="FG58" s="14">
        <f t="shared" si="47"/>
        <v>43.826050112896048</v>
      </c>
      <c r="FH58" s="22">
        <f t="shared" si="22"/>
        <v>378.14378727996063</v>
      </c>
      <c r="FI58" s="62">
        <f t="shared" si="23"/>
        <v>636.46624276043201</v>
      </c>
      <c r="FJ58" s="62">
        <f ca="1">AVERAGE(OFFSET($FI$3,0,0,'Données projet'!$E$16+1,1))-AVERAGE(OFFSET($H$3,0,0,'Données projet'!$E$16+1,1))</f>
        <v>396.0878652679051</v>
      </c>
      <c r="FK58" s="62">
        <f t="shared" si="48"/>
        <v>327.26339199235406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9">
        <f t="shared" si="1"/>
        <v>183.33333333333334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14.833333333333334</v>
      </c>
      <c r="N59" s="14">
        <f>IF('Données projet'!$A$36&gt;35,N58+M59-V58,IF(A59&lt;'Données projet'!$A$36,$K$205^A59,IF(A59='Données projet'!$A$36,'Données projet'!$B$36,N58+M59-V58)))</f>
        <v>235.66666666666654</v>
      </c>
      <c r="O59" s="14">
        <f>N59*VLOOKUP('Données projet'!$B$9,Paramètres!$A$1:$I$89,3,0)*VLOOKUP('Données projet'!$B$9,Paramètres!$A$1:$I$89,5,0)</f>
        <v>202.20199999999994</v>
      </c>
      <c r="P59" s="14">
        <f t="shared" si="33"/>
        <v>50.227791845116698</v>
      </c>
      <c r="Q59" s="22">
        <f t="shared" si="53"/>
        <v>439.6485541302448</v>
      </c>
      <c r="R59" s="62">
        <f t="shared" si="0"/>
        <v>698.57837006886655</v>
      </c>
      <c r="S59" s="62">
        <f ca="1">AVERAGE(OFFSET($R$3,0,0,'Données projet'!$E$9+1,1))-AVERAGE(OFFSET($H$3,0,0,'Données projet'!$E$9+1,1))</f>
        <v>478.11504516179713</v>
      </c>
      <c r="T59" s="62">
        <f t="shared" si="34"/>
        <v>249.93713224442419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6.2799999999999958</v>
      </c>
      <c r="AI59" s="14">
        <f>IF('Données projet'!$A$62&gt;35,AI58+AH59-AQ58,IF(A59&lt;'Données projet'!$A$62,$AF$205^A59,IF(A59='Données projet'!$A$62,'Données projet'!$B$62,AI58+AH59-AQ58)))</f>
        <v>284.87999999999994</v>
      </c>
      <c r="AJ59" s="14">
        <f>AI59*VLOOKUP('Données projet'!$B$10,Paramètres!$A$1:$I$89,3,0)*VLOOKUP('Données projet'!$B$10,Paramètres!$A$1:$I$89,5,0)</f>
        <v>226.65052799999998</v>
      </c>
      <c r="AK59" s="14">
        <f t="shared" si="35"/>
        <v>55.557830188244751</v>
      </c>
      <c r="AL59" s="22">
        <f t="shared" si="4"/>
        <v>491.51289051119289</v>
      </c>
      <c r="AM59" s="62">
        <f t="shared" si="5"/>
        <v>750.44270644981464</v>
      </c>
      <c r="AN59" s="62">
        <f ca="1">AVERAGE(OFFSET($AM$3,0,0,'Données projet'!$E$10+1,1))-AVERAGE(OFFSET($H$3,0,0,'Données projet'!$E$10+1,1))</f>
        <v>394.49874384716014</v>
      </c>
      <c r="AO59" s="62">
        <f t="shared" si="36"/>
        <v>423.72519584013378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6.2799999999999958</v>
      </c>
      <c r="BD59" s="13">
        <f>IF('Données projet'!$A$88&gt;35,BD58+BC59-BL58,IF(A59&lt;'Données projet'!$A$88,$BA$205^A59,IF(A59='Données projet'!$A$88,'Données projet'!$B$88,BD58+BC59-BL58)))</f>
        <v>284.87999999999994</v>
      </c>
      <c r="BE59" s="14">
        <f>BD59*VLOOKUP('Données projet'!$B$11,Paramètres!$A$1:$I$89,3,0)*VLOOKUP('Données projet'!$B$11,Paramètres!$A$1:$I$89,5,0)</f>
        <v>226.65052799999998</v>
      </c>
      <c r="BF59" s="14">
        <f t="shared" si="37"/>
        <v>55.557830188244751</v>
      </c>
      <c r="BG59" s="22">
        <f t="shared" si="7"/>
        <v>491.51289051119289</v>
      </c>
      <c r="BH59" s="62">
        <f t="shared" si="8"/>
        <v>750.44270644981464</v>
      </c>
      <c r="BI59" s="62">
        <f ca="1">AVERAGE(OFFSET($BH$3,0,0,'Données projet'!$E$11+1,1))-AVERAGE(OFFSET($H$3,0,0,'Données projet'!$E$11+1,1))</f>
        <v>394.49874384716014</v>
      </c>
      <c r="BJ59" s="62">
        <f t="shared" si="38"/>
        <v>423.72519584013378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197.88911999999999</v>
      </c>
      <c r="CA59" s="14">
        <f t="shared" si="39"/>
        <v>49.279974103179534</v>
      </c>
      <c r="CB59" s="22">
        <f t="shared" si="10"/>
        <v>430.48617222970438</v>
      </c>
      <c r="CC59" s="62">
        <f t="shared" si="11"/>
        <v>689.41598816832607</v>
      </c>
      <c r="CD59" s="62">
        <f ca="1">AVERAGE(OFFSET($CC$3,0,0,'Données projet'!$E$12+1,1))-AVERAGE(OFFSET($H$3,0,0,'Données projet'!$E$12+1,1))</f>
        <v>496.33873798282525</v>
      </c>
      <c r="CE59" s="62">
        <f t="shared" si="40"/>
        <v>280.25465074992246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5.3846153846153815</v>
      </c>
      <c r="CT59" s="13">
        <f>IF('Données projet'!$A$140&gt;35,CT58+CS59-DB58,IF(A59&lt;'Données projet'!$A$140,$CQ$205^A59,IF(A59='Données projet'!$A$140,'Données projet'!$B$140,CT58+CS59-DB58)))</f>
        <v>186.15384615384605</v>
      </c>
      <c r="CU59" s="18">
        <f>CT59*VLOOKUP('Données projet'!$B$13,Paramètres!$A$1:$I$89,3,0)*VLOOKUP('Données projet'!$B$13,Paramètres!$A$1:$I$89,5,0)</f>
        <v>177.14399999999989</v>
      </c>
      <c r="CV59" s="14">
        <f t="shared" si="41"/>
        <v>44.6861885307368</v>
      </c>
      <c r="CW59" s="22">
        <f t="shared" si="13"/>
        <v>386.35424502436632</v>
      </c>
      <c r="CX59" s="62">
        <f t="shared" si="14"/>
        <v>645.28406096298806</v>
      </c>
      <c r="CY59" s="62">
        <f ca="1">AVERAGE(OFFSET($CX$3,0,0,'Données projet'!$E$13+1,1))-AVERAGE(OFFSET($H$3,0,0,'Données projet'!$E$13+1,1))</f>
        <v>441.15969139782891</v>
      </c>
      <c r="CZ59" s="62">
        <f t="shared" si="42"/>
        <v>315.06466790224783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9.375</v>
      </c>
      <c r="DO59" s="13">
        <f>IF('Données projet'!$A$166&gt;35,DO58+DN59-DW58,IF(A59&lt;'Données projet'!$A$166,$DL$205^A59,IF(A59='Données projet'!$A$166,'Données projet'!$B$166,DO58+DN59-DW58)))</f>
        <v>259.49999999999989</v>
      </c>
      <c r="DP59" s="18">
        <f>DO59*VLOOKUP('Données projet'!$B$14,Paramètres!$A$1:$I$89,3,0)*VLOOKUP('Données projet'!$B$14,Paramètres!$A$1:$I$89,5,0)</f>
        <v>202.40999999999991</v>
      </c>
      <c r="DQ59" s="14">
        <f t="shared" si="43"/>
        <v>50.273442991661817</v>
      </c>
      <c r="DR59" s="22">
        <f t="shared" si="16"/>
        <v>440.09032987714414</v>
      </c>
      <c r="DS59" s="62">
        <f t="shared" si="17"/>
        <v>699.02014581576589</v>
      </c>
      <c r="DT59" s="62">
        <f ca="1">AVERAGE(OFFSET($DS$3,0,0,'Données projet'!$E$14+1,1))-AVERAGE(OFFSET($H$3,0,0,'Données projet'!$E$14+1,1))</f>
        <v>309.21625451786218</v>
      </c>
      <c r="DU59" s="62">
        <f t="shared" si="44"/>
        <v>302.59481222418219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4.2</v>
      </c>
      <c r="EJ59" s="13">
        <f>IF('Données projet'!$A$192&gt;35,EJ58+EI59-ER58,IF(A59&lt;'Données projet'!$A$192,$EG$205^A59,IF(A59='Données projet'!$A$192,'Données projet'!$B$192,EJ58+EI59-ER58)))</f>
        <v>178.2</v>
      </c>
      <c r="EK59" s="18">
        <f>EJ59*VLOOKUP('Données projet'!$B$15,Paramètres!$A$1:$I$89,3,0)*VLOOKUP('Données projet'!$B$15,Paramètres!$A$1:$I$89,5,0)</f>
        <v>155.67552000000001</v>
      </c>
      <c r="EL59" s="14">
        <f t="shared" si="45"/>
        <v>39.865566884055099</v>
      </c>
      <c r="EM59" s="22">
        <f t="shared" si="19"/>
        <v>340.56739298972934</v>
      </c>
      <c r="EN59" s="62">
        <f t="shared" si="20"/>
        <v>599.49720892835103</v>
      </c>
      <c r="EO59" s="62">
        <f ca="1">AVERAGE(OFFSET($EN$3,0,0,'Données projet'!$E$15+1,1))-AVERAGE(OFFSET($H$3,0,0,'Données projet'!$E$15+1,1))</f>
        <v>298.56812743477741</v>
      </c>
      <c r="EP59" s="62">
        <f t="shared" si="46"/>
        <v>276.01618888357268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6.1538461538461551</v>
      </c>
      <c r="FE59" s="13">
        <f>IF('Données projet'!$A$218&gt;35,FE58+FD59-FM58,IF(A59&lt;'Données projet'!$A$218,$FB$205^A59,IF(A59='Données projet'!$A$218,'Données projet'!$B$218,FE58+FD59-FM58)))</f>
        <v>264.4871794871795</v>
      </c>
      <c r="FF59" s="18">
        <f>FE59*VLOOKUP('Données projet'!$B$16,Paramètres!$A$1:$I$89,3,0)*VLOOKUP('Données projet'!$B$16,Paramètres!$A$1:$I$89,5,0)</f>
        <v>177.41800000000001</v>
      </c>
      <c r="FG59" s="14">
        <f t="shared" si="47"/>
        <v>44.747256581968642</v>
      </c>
      <c r="FH59" s="22">
        <f t="shared" si="22"/>
        <v>386.93782188026211</v>
      </c>
      <c r="FI59" s="62">
        <f t="shared" si="23"/>
        <v>645.86763781888385</v>
      </c>
      <c r="FJ59" s="62">
        <f ca="1">AVERAGE(OFFSET($FI$3,0,0,'Données projet'!$E$16+1,1))-AVERAGE(OFFSET($H$3,0,0,'Données projet'!$E$16+1,1))</f>
        <v>396.0878652679051</v>
      </c>
      <c r="FK59" s="62">
        <f t="shared" si="48"/>
        <v>327.26339199235406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9">
        <f t="shared" si="1"/>
        <v>183.33333333333334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14.833333333333334</v>
      </c>
      <c r="N60" s="14">
        <f>IF('Données projet'!$A$36&gt;35,N59+M60-V59,IF(A60&lt;'Données projet'!$A$36,$K$205^A60,IF(A60='Données projet'!$A$36,'Données projet'!$B$36,N59+M60-V59)))</f>
        <v>250.49999999999989</v>
      </c>
      <c r="O60" s="14">
        <f>N60*VLOOKUP('Données projet'!$B$9,Paramètres!$A$1:$I$89,3,0)*VLOOKUP('Données projet'!$B$9,Paramètres!$A$1:$I$89,5,0)</f>
        <v>214.92899999999992</v>
      </c>
      <c r="P60" s="14">
        <f t="shared" si="33"/>
        <v>53.011237531572512</v>
      </c>
      <c r="Q60" s="22">
        <f t="shared" si="53"/>
        <v>466.66258036748872</v>
      </c>
      <c r="R60" s="62">
        <f t="shared" si="0"/>
        <v>726.18922041816643</v>
      </c>
      <c r="S60" s="62">
        <f ca="1">AVERAGE(OFFSET($R$3,0,0,'Données projet'!$E$9+1,1))-AVERAGE(OFFSET($H$3,0,0,'Données projet'!$E$9+1,1))</f>
        <v>478.11504516179713</v>
      </c>
      <c r="T60" s="62">
        <f t="shared" si="34"/>
        <v>249.93713224442419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6.2799999999999958</v>
      </c>
      <c r="AI60" s="14">
        <f>IF('Données projet'!$A$62&gt;35,AI59+AH60-AQ59,IF(A60&lt;'Données projet'!$A$62,$AF$205^A60,IF(A60='Données projet'!$A$62,'Données projet'!$B$62,AI59+AH60-AQ59)))</f>
        <v>291.15999999999991</v>
      </c>
      <c r="AJ60" s="14">
        <f>AI60*VLOOKUP('Données projet'!$B$10,Paramètres!$A$1:$I$89,3,0)*VLOOKUP('Données projet'!$B$10,Paramètres!$A$1:$I$89,5,0)</f>
        <v>231.64689599999994</v>
      </c>
      <c r="AK60" s="14">
        <f t="shared" si="35"/>
        <v>56.63863094599396</v>
      </c>
      <c r="AL60" s="22">
        <f t="shared" si="4"/>
        <v>502.09729276427265</v>
      </c>
      <c r="AM60" s="62">
        <f t="shared" si="5"/>
        <v>761.62393281495042</v>
      </c>
      <c r="AN60" s="62">
        <f ca="1">AVERAGE(OFFSET($AM$3,0,0,'Données projet'!$E$10+1,1))-AVERAGE(OFFSET($H$3,0,0,'Données projet'!$E$10+1,1))</f>
        <v>394.49874384716014</v>
      </c>
      <c r="AO60" s="62">
        <f t="shared" si="36"/>
        <v>423.72519584013378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6.2799999999999958</v>
      </c>
      <c r="BD60" s="13">
        <f>IF('Données projet'!$A$88&gt;35,BD59+BC60-BL59,IF(A60&lt;'Données projet'!$A$88,$BA$205^A60,IF(A60='Données projet'!$A$88,'Données projet'!$B$88,BD59+BC60-BL59)))</f>
        <v>291.15999999999991</v>
      </c>
      <c r="BE60" s="14">
        <f>BD60*VLOOKUP('Données projet'!$B$11,Paramètres!$A$1:$I$89,3,0)*VLOOKUP('Données projet'!$B$11,Paramètres!$A$1:$I$89,5,0)</f>
        <v>231.64689599999994</v>
      </c>
      <c r="BF60" s="14">
        <f t="shared" si="37"/>
        <v>56.63863094599396</v>
      </c>
      <c r="BG60" s="22">
        <f t="shared" si="7"/>
        <v>502.09729276427265</v>
      </c>
      <c r="BH60" s="62">
        <f t="shared" si="8"/>
        <v>761.62393281495042</v>
      </c>
      <c r="BI60" s="62">
        <f ca="1">AVERAGE(OFFSET($BH$3,0,0,'Données projet'!$E$11+1,1))-AVERAGE(OFFSET($H$3,0,0,'Données projet'!$E$11+1,1))</f>
        <v>394.49874384716014</v>
      </c>
      <c r="BJ60" s="62">
        <f t="shared" si="38"/>
        <v>423.72519584013378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205.23983999999999</v>
      </c>
      <c r="CA60" s="14">
        <f t="shared" si="39"/>
        <v>50.893986960458122</v>
      </c>
      <c r="CB60" s="22">
        <f t="shared" si="10"/>
        <v>446.0997486227979</v>
      </c>
      <c r="CC60" s="62">
        <f t="shared" si="11"/>
        <v>705.62638867347562</v>
      </c>
      <c r="CD60" s="62">
        <f ca="1">AVERAGE(OFFSET($CC$3,0,0,'Données projet'!$E$12+1,1))-AVERAGE(OFFSET($H$3,0,0,'Données projet'!$E$12+1,1))</f>
        <v>496.33873798282525</v>
      </c>
      <c r="CE60" s="62">
        <f t="shared" si="40"/>
        <v>280.25465074992246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5.3846153846153815</v>
      </c>
      <c r="CT60" s="13">
        <f>IF('Données projet'!$A$140&gt;35,CT59+CS60-DB59,IF(A60&lt;'Données projet'!$A$140,$CQ$205^A60,IF(A60='Données projet'!$A$140,'Données projet'!$B$140,CT59+CS60-DB59)))</f>
        <v>191.53846153846143</v>
      </c>
      <c r="CU60" s="18">
        <f>CT60*VLOOKUP('Données projet'!$B$13,Paramètres!$A$1:$I$89,3,0)*VLOOKUP('Données projet'!$B$13,Paramètres!$A$1:$I$89,5,0)</f>
        <v>182.26799999999992</v>
      </c>
      <c r="CV60" s="14">
        <f t="shared" si="41"/>
        <v>45.82640608003836</v>
      </c>
      <c r="CW60" s="22">
        <f t="shared" si="13"/>
        <v>397.26442392273333</v>
      </c>
      <c r="CX60" s="62">
        <f t="shared" si="14"/>
        <v>656.79106397341104</v>
      </c>
      <c r="CY60" s="62">
        <f ca="1">AVERAGE(OFFSET($CX$3,0,0,'Données projet'!$E$13+1,1))-AVERAGE(OFFSET($H$3,0,0,'Données projet'!$E$13+1,1))</f>
        <v>441.15969139782891</v>
      </c>
      <c r="CZ60" s="62">
        <f t="shared" si="42"/>
        <v>315.06466790224783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9.375</v>
      </c>
      <c r="DO60" s="13">
        <f>IF('Données projet'!$A$166&gt;35,DO59+DN60-DW59,IF(A60&lt;'Données projet'!$A$166,$DL$205^A60,IF(A60='Données projet'!$A$166,'Données projet'!$B$166,DO59+DN60-DW59)))</f>
        <v>268.87499999999989</v>
      </c>
      <c r="DP60" s="18">
        <f>DO60*VLOOKUP('Données projet'!$B$14,Paramètres!$A$1:$I$89,3,0)*VLOOKUP('Données projet'!$B$14,Paramètres!$A$1:$I$89,5,0)</f>
        <v>209.72249999999991</v>
      </c>
      <c r="DQ60" s="14">
        <f t="shared" si="43"/>
        <v>51.874940300502246</v>
      </c>
      <c r="DR60" s="22">
        <f t="shared" si="16"/>
        <v>455.61554185670792</v>
      </c>
      <c r="DS60" s="62">
        <f t="shared" si="17"/>
        <v>715.14218190738563</v>
      </c>
      <c r="DT60" s="62">
        <f ca="1">AVERAGE(OFFSET($DS$3,0,0,'Données projet'!$E$14+1,1))-AVERAGE(OFFSET($H$3,0,0,'Données projet'!$E$14+1,1))</f>
        <v>309.21625451786218</v>
      </c>
      <c r="DU60" s="62">
        <f t="shared" si="44"/>
        <v>302.59481222418219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4.2</v>
      </c>
      <c r="EJ60" s="13">
        <f>IF('Données projet'!$A$192&gt;35,EJ59+EI60-ER59,IF(A60&lt;'Données projet'!$A$192,$EG$205^A60,IF(A60='Données projet'!$A$192,'Données projet'!$B$192,EJ59+EI60-ER59)))</f>
        <v>182.39999999999998</v>
      </c>
      <c r="EK60" s="18">
        <f>EJ60*VLOOKUP('Données projet'!$B$15,Paramètres!$A$1:$I$89,3,0)*VLOOKUP('Données projet'!$B$15,Paramètres!$A$1:$I$89,5,0)</f>
        <v>159.34464</v>
      </c>
      <c r="EL60" s="14">
        <f t="shared" si="45"/>
        <v>40.694661837553809</v>
      </c>
      <c r="EM60" s="22">
        <f t="shared" si="19"/>
        <v>348.40178403373949</v>
      </c>
      <c r="EN60" s="62">
        <f t="shared" si="20"/>
        <v>607.9284240844172</v>
      </c>
      <c r="EO60" s="62">
        <f ca="1">AVERAGE(OFFSET($EN$3,0,0,'Données projet'!$E$15+1,1))-AVERAGE(OFFSET($H$3,0,0,'Données projet'!$E$15+1,1))</f>
        <v>298.56812743477741</v>
      </c>
      <c r="EP60" s="62">
        <f t="shared" si="46"/>
        <v>276.01618888357268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6.1538461538461551</v>
      </c>
      <c r="FE60" s="13">
        <f>IF('Données projet'!$A$218&gt;35,FE59+FD60-FM59,IF(A60&lt;'Données projet'!$A$218,$FB$205^A60,IF(A60='Données projet'!$A$218,'Données projet'!$B$218,FE59+FD60-FM59)))</f>
        <v>270.64102564102564</v>
      </c>
      <c r="FF60" s="18">
        <f>FE60*VLOOKUP('Données projet'!$B$16,Paramètres!$A$1:$I$89,3,0)*VLOOKUP('Données projet'!$B$16,Paramètres!$A$1:$I$89,5,0)</f>
        <v>181.54599999999999</v>
      </c>
      <c r="FG60" s="14">
        <f t="shared" si="47"/>
        <v>45.665971295569292</v>
      </c>
      <c r="FH60" s="22">
        <f t="shared" si="22"/>
        <v>395.7275166731165</v>
      </c>
      <c r="FI60" s="62">
        <f t="shared" si="23"/>
        <v>655.25415672379427</v>
      </c>
      <c r="FJ60" s="62">
        <f ca="1">AVERAGE(OFFSET($FI$3,0,0,'Données projet'!$E$16+1,1))-AVERAGE(OFFSET($H$3,0,0,'Données projet'!$E$16+1,1))</f>
        <v>396.0878652679051</v>
      </c>
      <c r="FK60" s="62">
        <f t="shared" si="48"/>
        <v>327.26339199235406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9">
        <f t="shared" si="1"/>
        <v>183.33333333333334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14.833333333333334</v>
      </c>
      <c r="N61" s="14">
        <f>IF('Données projet'!$A$36&gt;35,N60+M61-V60,IF(A61&lt;'Données projet'!$A$36,$K$205^A61,IF(A61='Données projet'!$A$36,'Données projet'!$B$36,N60+M61-V60)))</f>
        <v>265.3333333333332</v>
      </c>
      <c r="O61" s="14">
        <f>N61*VLOOKUP('Données projet'!$B$9,Paramètres!$A$1:$I$89,3,0)*VLOOKUP('Données projet'!$B$9,Paramètres!$A$1:$I$89,5,0)</f>
        <v>227.65599999999992</v>
      </c>
      <c r="P61" s="14">
        <f t="shared" si="33"/>
        <v>55.775552165489643</v>
      </c>
      <c r="Q61" s="22">
        <f t="shared" si="53"/>
        <v>493.64328668822759</v>
      </c>
      <c r="R61" s="62">
        <f t="shared" si="0"/>
        <v>753.75639728691601</v>
      </c>
      <c r="S61" s="62">
        <f ca="1">AVERAGE(OFFSET($R$3,0,0,'Données projet'!$E$9+1,1))-AVERAGE(OFFSET($H$3,0,0,'Données projet'!$E$9+1,1))</f>
        <v>478.11504516179713</v>
      </c>
      <c r="T61" s="62">
        <f t="shared" si="34"/>
        <v>249.93713224442419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6.2799999999999958</v>
      </c>
      <c r="AI61" s="14">
        <f>IF('Données projet'!$A$62&gt;35,AI60+AH61-AQ60,IF(A61&lt;'Données projet'!$A$62,$AF$205^A61,IF(A61='Données projet'!$A$62,'Données projet'!$B$62,AI60+AH61-AQ60)))</f>
        <v>297.43999999999988</v>
      </c>
      <c r="AJ61" s="14">
        <f>AI61*VLOOKUP('Données projet'!$B$10,Paramètres!$A$1:$I$89,3,0)*VLOOKUP('Données projet'!$B$10,Paramètres!$A$1:$I$89,5,0)</f>
        <v>236.64326399999993</v>
      </c>
      <c r="AK61" s="14">
        <f t="shared" si="35"/>
        <v>57.716721405473052</v>
      </c>
      <c r="AL61" s="22">
        <f t="shared" si="4"/>
        <v>512.67697458119881</v>
      </c>
      <c r="AM61" s="62">
        <f t="shared" si="5"/>
        <v>772.79008517988723</v>
      </c>
      <c r="AN61" s="62">
        <f ca="1">AVERAGE(OFFSET($AM$3,0,0,'Données projet'!$E$10+1,1))-AVERAGE(OFFSET($H$3,0,0,'Données projet'!$E$10+1,1))</f>
        <v>394.49874384716014</v>
      </c>
      <c r="AO61" s="62">
        <f t="shared" si="36"/>
        <v>423.72519584013378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6.2799999999999958</v>
      </c>
      <c r="BD61" s="13">
        <f>IF('Données projet'!$A$88&gt;35,BD60+BC61-BL60,IF(A61&lt;'Données projet'!$A$88,$BA$205^A61,IF(A61='Données projet'!$A$88,'Données projet'!$B$88,BD60+BC61-BL60)))</f>
        <v>297.43999999999988</v>
      </c>
      <c r="BE61" s="14">
        <f>BD61*VLOOKUP('Données projet'!$B$11,Paramètres!$A$1:$I$89,3,0)*VLOOKUP('Données projet'!$B$11,Paramètres!$A$1:$I$89,5,0)</f>
        <v>236.64326399999993</v>
      </c>
      <c r="BF61" s="14">
        <f t="shared" si="37"/>
        <v>57.716721405473052</v>
      </c>
      <c r="BG61" s="22">
        <f t="shared" si="7"/>
        <v>512.67697458119881</v>
      </c>
      <c r="BH61" s="62">
        <f t="shared" si="8"/>
        <v>772.79008517988723</v>
      </c>
      <c r="BI61" s="62">
        <f ca="1">AVERAGE(OFFSET($BH$3,0,0,'Données projet'!$E$11+1,1))-AVERAGE(OFFSET($H$3,0,0,'Données projet'!$E$11+1,1))</f>
        <v>394.49874384716014</v>
      </c>
      <c r="BJ61" s="62">
        <f t="shared" si="38"/>
        <v>423.72519584013378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212.59055999999998</v>
      </c>
      <c r="CA61" s="14">
        <f t="shared" si="39"/>
        <v>52.501283653296404</v>
      </c>
      <c r="CB61" s="22">
        <f t="shared" si="10"/>
        <v>461.70162769615786</v>
      </c>
      <c r="CC61" s="62">
        <f t="shared" si="11"/>
        <v>721.81473829484628</v>
      </c>
      <c r="CD61" s="62">
        <f ca="1">AVERAGE(OFFSET($CC$3,0,0,'Données projet'!$E$12+1,1))-AVERAGE(OFFSET($H$3,0,0,'Données projet'!$E$12+1,1))</f>
        <v>496.33873798282525</v>
      </c>
      <c r="CE61" s="62">
        <f t="shared" si="40"/>
        <v>280.25465074992246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5.3846153846153815</v>
      </c>
      <c r="CT61" s="13">
        <f>IF('Données projet'!$A$140&gt;35,CT60+CS61-DB60,IF(A61&lt;'Données projet'!$A$140,$CQ$205^A61,IF(A61='Données projet'!$A$140,'Données projet'!$B$140,CT60+CS61-DB60)))</f>
        <v>196.92307692307682</v>
      </c>
      <c r="CU61" s="18">
        <f>CT61*VLOOKUP('Données projet'!$B$13,Paramètres!$A$1:$I$89,3,0)*VLOOKUP('Données projet'!$B$13,Paramètres!$A$1:$I$89,5,0)</f>
        <v>187.39199999999988</v>
      </c>
      <c r="CV61" s="14">
        <f t="shared" si="41"/>
        <v>46.962898087285787</v>
      </c>
      <c r="CW61" s="22">
        <f t="shared" si="13"/>
        <v>408.16811416868921</v>
      </c>
      <c r="CX61" s="62">
        <f t="shared" si="14"/>
        <v>668.28122476737758</v>
      </c>
      <c r="CY61" s="62">
        <f ca="1">AVERAGE(OFFSET($CX$3,0,0,'Données projet'!$E$13+1,1))-AVERAGE(OFFSET($H$3,0,0,'Données projet'!$E$13+1,1))</f>
        <v>441.15969139782891</v>
      </c>
      <c r="CZ61" s="62">
        <f t="shared" si="42"/>
        <v>315.06466790224783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9.375</v>
      </c>
      <c r="DO61" s="13">
        <f>IF('Données projet'!$A$166&gt;35,DO60+DN61-DW60,IF(A61&lt;'Données projet'!$A$166,$DL$205^A61,IF(A61='Données projet'!$A$166,'Données projet'!$B$166,DO60+DN61-DW60)))</f>
        <v>278.24999999999989</v>
      </c>
      <c r="DP61" s="18">
        <f>DO61*VLOOKUP('Données projet'!$B$14,Paramètres!$A$1:$I$89,3,0)*VLOOKUP('Données projet'!$B$14,Paramètres!$A$1:$I$89,5,0)</f>
        <v>217.03499999999991</v>
      </c>
      <c r="DQ61" s="14">
        <f t="shared" si="43"/>
        <v>53.469949591969474</v>
      </c>
      <c r="DR61" s="22">
        <f t="shared" si="16"/>
        <v>471.12945387267996</v>
      </c>
      <c r="DS61" s="62">
        <f t="shared" si="17"/>
        <v>731.24256447136838</v>
      </c>
      <c r="DT61" s="62">
        <f ca="1">AVERAGE(OFFSET($DS$3,0,0,'Données projet'!$E$14+1,1))-AVERAGE(OFFSET($H$3,0,0,'Données projet'!$E$14+1,1))</f>
        <v>309.21625451786218</v>
      </c>
      <c r="DU61" s="62">
        <f t="shared" si="44"/>
        <v>302.59481222418219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4.2</v>
      </c>
      <c r="EJ61" s="13">
        <f>IF('Données projet'!$A$192&gt;35,EJ60+EI61-ER60,IF(A61&lt;'Données projet'!$A$192,$EG$205^A61,IF(A61='Données projet'!$A$192,'Données projet'!$B$192,EJ60+EI61-ER60)))</f>
        <v>186.59999999999997</v>
      </c>
      <c r="EK61" s="18">
        <f>EJ61*VLOOKUP('Données projet'!$B$15,Paramètres!$A$1:$I$89,3,0)*VLOOKUP('Données projet'!$B$15,Paramètres!$A$1:$I$89,5,0)</f>
        <v>163.01375999999999</v>
      </c>
      <c r="EL61" s="14">
        <f t="shared" si="45"/>
        <v>41.521537366475364</v>
      </c>
      <c r="EM61" s="22">
        <f t="shared" si="19"/>
        <v>356.23230957994457</v>
      </c>
      <c r="EN61" s="62">
        <f t="shared" si="20"/>
        <v>616.34542017863305</v>
      </c>
      <c r="EO61" s="62">
        <f ca="1">AVERAGE(OFFSET($EN$3,0,0,'Données projet'!$E$15+1,1))-AVERAGE(OFFSET($H$3,0,0,'Données projet'!$E$15+1,1))</f>
        <v>298.56812743477741</v>
      </c>
      <c r="EP61" s="62">
        <f t="shared" si="46"/>
        <v>276.01618888357268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6.1538461538461551</v>
      </c>
      <c r="FE61" s="13">
        <f>IF('Données projet'!$A$218&gt;35,FE60+FD61-FM60,IF(A61&lt;'Données projet'!$A$218,$FB$205^A61,IF(A61='Données projet'!$A$218,'Données projet'!$B$218,FE60+FD61-FM60)))</f>
        <v>276.79487179487177</v>
      </c>
      <c r="FF61" s="18">
        <f>FE61*VLOOKUP('Données projet'!$B$16,Paramètres!$A$1:$I$89,3,0)*VLOOKUP('Données projet'!$B$16,Paramètres!$A$1:$I$89,5,0)</f>
        <v>185.67399999999998</v>
      </c>
      <c r="FG61" s="14">
        <f t="shared" si="47"/>
        <v>46.582257433649239</v>
      </c>
      <c r="FH61" s="22">
        <f t="shared" si="22"/>
        <v>404.51298169693899</v>
      </c>
      <c r="FI61" s="62">
        <f t="shared" si="23"/>
        <v>664.62609229562736</v>
      </c>
      <c r="FJ61" s="62">
        <f ca="1">AVERAGE(OFFSET($FI$3,0,0,'Données projet'!$E$16+1,1))-AVERAGE(OFFSET($H$3,0,0,'Données projet'!$E$16+1,1))</f>
        <v>396.0878652679051</v>
      </c>
      <c r="FK61" s="62">
        <f t="shared" si="48"/>
        <v>327.26339199235406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9">
        <f t="shared" si="1"/>
        <v>183.33333333333334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14.833333333333334</v>
      </c>
      <c r="N62" s="14">
        <f>IF('Données projet'!$A$36&gt;35,N61+M62-V61,IF(A62&lt;'Données projet'!$A$36,$K$205^A62,IF(A62='Données projet'!$A$36,'Données projet'!$B$36,N61+M62-V61)))</f>
        <v>280.16666666666652</v>
      </c>
      <c r="O62" s="14">
        <f>N62*VLOOKUP('Données projet'!$B$9,Paramètres!$A$1:$I$89,3,0)*VLOOKUP('Données projet'!$B$9,Paramètres!$A$1:$I$89,5,0)</f>
        <v>240.38299999999987</v>
      </c>
      <c r="P62" s="14">
        <f t="shared" si="33"/>
        <v>58.521927148992098</v>
      </c>
      <c r="Q62" s="22">
        <f t="shared" si="53"/>
        <v>520.59274811782768</v>
      </c>
      <c r="R62" s="62">
        <f t="shared" si="0"/>
        <v>781.28215531167052</v>
      </c>
      <c r="S62" s="62">
        <f ca="1">AVERAGE(OFFSET($R$3,0,0,'Données projet'!$E$9+1,1))-AVERAGE(OFFSET($H$3,0,0,'Données projet'!$E$9+1,1))</f>
        <v>478.11504516179713</v>
      </c>
      <c r="T62" s="62">
        <f t="shared" si="34"/>
        <v>249.93713224442419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6.2799999999999958</v>
      </c>
      <c r="AI62" s="14">
        <f>IF('Données projet'!$A$62&gt;35,AI61+AH62-AQ61,IF(A62&lt;'Données projet'!$A$62,$AF$205^A62,IF(A62='Données projet'!$A$62,'Données projet'!$B$62,AI61+AH62-AQ61)))</f>
        <v>303.71999999999986</v>
      </c>
      <c r="AJ62" s="14">
        <f>AI62*VLOOKUP('Données projet'!$B$10,Paramètres!$A$1:$I$89,3,0)*VLOOKUP('Données projet'!$B$10,Paramètres!$A$1:$I$89,5,0)</f>
        <v>241.63963199999992</v>
      </c>
      <c r="AK62" s="14">
        <f t="shared" si="35"/>
        <v>58.792165382566672</v>
      </c>
      <c r="AL62" s="22">
        <f t="shared" si="4"/>
        <v>523.25204710797016</v>
      </c>
      <c r="AM62" s="62">
        <f t="shared" si="5"/>
        <v>783.94145430181288</v>
      </c>
      <c r="AN62" s="62">
        <f ca="1">AVERAGE(OFFSET($AM$3,0,0,'Données projet'!$E$10+1,1))-AVERAGE(OFFSET($H$3,0,0,'Données projet'!$E$10+1,1))</f>
        <v>394.49874384716014</v>
      </c>
      <c r="AO62" s="62">
        <f t="shared" si="36"/>
        <v>423.72519584013378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6.2799999999999958</v>
      </c>
      <c r="BD62" s="13">
        <f>IF('Données projet'!$A$88&gt;35,BD61+BC62-BL61,IF(A62&lt;'Données projet'!$A$88,$BA$205^A62,IF(A62='Données projet'!$A$88,'Données projet'!$B$88,BD61+BC62-BL61)))</f>
        <v>303.71999999999986</v>
      </c>
      <c r="BE62" s="14">
        <f>BD62*VLOOKUP('Données projet'!$B$11,Paramètres!$A$1:$I$89,3,0)*VLOOKUP('Données projet'!$B$11,Paramètres!$A$1:$I$89,5,0)</f>
        <v>241.63963199999992</v>
      </c>
      <c r="BF62" s="14">
        <f t="shared" si="37"/>
        <v>58.792165382566672</v>
      </c>
      <c r="BG62" s="22">
        <f t="shared" si="7"/>
        <v>523.25204710797016</v>
      </c>
      <c r="BH62" s="62">
        <f t="shared" si="8"/>
        <v>783.94145430181288</v>
      </c>
      <c r="BI62" s="62">
        <f ca="1">AVERAGE(OFFSET($BH$3,0,0,'Données projet'!$E$11+1,1))-AVERAGE(OFFSET($H$3,0,0,'Données projet'!$E$11+1,1))</f>
        <v>394.49874384716014</v>
      </c>
      <c r="BJ62" s="62">
        <f t="shared" si="38"/>
        <v>423.72519584013378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219.94127999999995</v>
      </c>
      <c r="CA62" s="14">
        <f t="shared" si="39"/>
        <v>54.102123020446285</v>
      </c>
      <c r="CB62" s="22">
        <f t="shared" si="10"/>
        <v>477.29226026061059</v>
      </c>
      <c r="CC62" s="62">
        <f t="shared" si="11"/>
        <v>737.98166745445337</v>
      </c>
      <c r="CD62" s="62">
        <f ca="1">AVERAGE(OFFSET($CC$3,0,0,'Données projet'!$E$12+1,1))-AVERAGE(OFFSET($H$3,0,0,'Données projet'!$E$12+1,1))</f>
        <v>496.33873798282525</v>
      </c>
      <c r="CE62" s="62">
        <f t="shared" si="40"/>
        <v>280.25465074992246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5.3846153846153815</v>
      </c>
      <c r="CT62" s="13">
        <f>IF('Données projet'!$A$140&gt;35,CT61+CS62-DB61,IF(A62&lt;'Données projet'!$A$140,$CQ$205^A62,IF(A62='Données projet'!$A$140,'Données projet'!$B$140,CT61+CS62-DB61)))</f>
        <v>202.30769230769221</v>
      </c>
      <c r="CU62" s="18">
        <f>CT62*VLOOKUP('Données projet'!$B$13,Paramètres!$A$1:$I$89,3,0)*VLOOKUP('Données projet'!$B$13,Paramètres!$A$1:$I$89,5,0)</f>
        <v>192.51599999999991</v>
      </c>
      <c r="CV62" s="14">
        <f t="shared" si="41"/>
        <v>48.095778128339838</v>
      </c>
      <c r="CW62" s="22">
        <f t="shared" si="13"/>
        <v>419.06551357352504</v>
      </c>
      <c r="CX62" s="62">
        <f t="shared" si="14"/>
        <v>679.75492076736782</v>
      </c>
      <c r="CY62" s="62">
        <f ca="1">AVERAGE(OFFSET($CX$3,0,0,'Données projet'!$E$13+1,1))-AVERAGE(OFFSET($H$3,0,0,'Données projet'!$E$13+1,1))</f>
        <v>441.15969139782891</v>
      </c>
      <c r="CZ62" s="62">
        <f t="shared" si="42"/>
        <v>315.06466790224783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9.375</v>
      </c>
      <c r="DO62" s="13">
        <f>IF('Données projet'!$A$166&gt;35,DO61+DN62-DW61,IF(A62&lt;'Données projet'!$A$166,$DL$205^A62,IF(A62='Données projet'!$A$166,'Données projet'!$B$166,DO61+DN62-DW61)))</f>
        <v>287.62499999999989</v>
      </c>
      <c r="DP62" s="18">
        <f>DO62*VLOOKUP('Données projet'!$B$14,Paramètres!$A$1:$I$89,3,0)*VLOOKUP('Données projet'!$B$14,Paramètres!$A$1:$I$89,5,0)</f>
        <v>224.34749999999991</v>
      </c>
      <c r="DQ62" s="14">
        <f t="shared" si="43"/>
        <v>55.058714525680429</v>
      </c>
      <c r="DR62" s="22">
        <f t="shared" si="16"/>
        <v>486.63249029889329</v>
      </c>
      <c r="DS62" s="62">
        <f t="shared" si="17"/>
        <v>747.32189749273607</v>
      </c>
      <c r="DT62" s="62">
        <f ca="1">AVERAGE(OFFSET($DS$3,0,0,'Données projet'!$E$14+1,1))-AVERAGE(OFFSET($H$3,0,0,'Données projet'!$E$14+1,1))</f>
        <v>309.21625451786218</v>
      </c>
      <c r="DU62" s="62">
        <f t="shared" si="44"/>
        <v>302.59481222418219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4.2</v>
      </c>
      <c r="EJ62" s="13">
        <f>IF('Données projet'!$A$192&gt;35,EJ61+EI62-ER61,IF(A62&lt;'Données projet'!$A$192,$EG$205^A62,IF(A62='Données projet'!$A$192,'Données projet'!$B$192,EJ61+EI62-ER61)))</f>
        <v>190.79999999999995</v>
      </c>
      <c r="EK62" s="18">
        <f>EJ62*VLOOKUP('Données projet'!$B$15,Paramètres!$A$1:$I$89,3,0)*VLOOKUP('Données projet'!$B$15,Paramètres!$A$1:$I$89,5,0)</f>
        <v>166.68287999999998</v>
      </c>
      <c r="EL62" s="14">
        <f t="shared" si="45"/>
        <v>42.346249176975</v>
      </c>
      <c r="EM62" s="22">
        <f t="shared" si="19"/>
        <v>364.05906664989806</v>
      </c>
      <c r="EN62" s="62">
        <f t="shared" si="20"/>
        <v>624.74847384374084</v>
      </c>
      <c r="EO62" s="62">
        <f ca="1">AVERAGE(OFFSET($EN$3,0,0,'Données projet'!$E$15+1,1))-AVERAGE(OFFSET($H$3,0,0,'Données projet'!$E$15+1,1))</f>
        <v>298.56812743477741</v>
      </c>
      <c r="EP62" s="62">
        <f t="shared" si="46"/>
        <v>276.01618888357268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6.1538461538461551</v>
      </c>
      <c r="FE62" s="13">
        <f>IF('Données projet'!$A$218&gt;35,FE61+FD62-FM61,IF(A62&lt;'Données projet'!$A$218,$FB$205^A62,IF(A62='Données projet'!$A$218,'Données projet'!$B$218,FE61+FD62-FM61)))</f>
        <v>282.9487179487179</v>
      </c>
      <c r="FF62" s="18">
        <f>FE62*VLOOKUP('Données projet'!$B$16,Paramètres!$A$1:$I$89,3,0)*VLOOKUP('Données projet'!$B$16,Paramètres!$A$1:$I$89,5,0)</f>
        <v>189.80199999999996</v>
      </c>
      <c r="FG62" s="14">
        <f t="shared" si="47"/>
        <v>47.496175206468138</v>
      </c>
      <c r="FH62" s="22">
        <f t="shared" si="22"/>
        <v>413.29432181793192</v>
      </c>
      <c r="FI62" s="62">
        <f t="shared" si="23"/>
        <v>673.9837290117747</v>
      </c>
      <c r="FJ62" s="62">
        <f ca="1">AVERAGE(OFFSET($FI$3,0,0,'Données projet'!$E$16+1,1))-AVERAGE(OFFSET($H$3,0,0,'Données projet'!$E$16+1,1))</f>
        <v>396.0878652679051</v>
      </c>
      <c r="FK62" s="62">
        <f t="shared" si="48"/>
        <v>327.26339199235406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9">
        <f t="shared" si="1"/>
        <v>183.33333333333334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295</v>
      </c>
      <c r="L63" s="13">
        <f>VLOOKUP(A63,'Données projet'!$A$35:$I$55,9,0)</f>
        <v>14.833333333333334</v>
      </c>
      <c r="M63" s="13">
        <f t="array" ref="M63">INDEX(L:L,MIN(IF(ISNUMBER(L63:L259),ROW(L63:L259),"")))</f>
        <v>14.833333333333334</v>
      </c>
      <c r="N63" s="14">
        <f>IF('Données projet'!$A$36&gt;35,N62+M63-V62,IF(A63&lt;'Données projet'!$A$36,$K$205^A63,IF(A63='Données projet'!$A$36,'Données projet'!$B$36,N62+M63-V62)))</f>
        <v>294.99999999999983</v>
      </c>
      <c r="O63" s="14">
        <f>N63*VLOOKUP('Données projet'!$B$9,Paramètres!$A$1:$I$89,3,0)*VLOOKUP('Données projet'!$B$9,Paramètres!$A$1:$I$89,5,0)</f>
        <v>253.10999999999987</v>
      </c>
      <c r="P63" s="14">
        <f t="shared" si="33"/>
        <v>61.251420602177625</v>
      </c>
      <c r="Q63" s="22">
        <f t="shared" si="53"/>
        <v>547.51280754879247</v>
      </c>
      <c r="R63" s="62">
        <f t="shared" si="0"/>
        <v>808.76851388026989</v>
      </c>
      <c r="S63" s="62">
        <f ca="1">AVERAGE(OFFSET($R$3,0,0,'Données projet'!$E$9+1,1))-AVERAGE(OFFSET($H$3,0,0,'Données projet'!$E$9+1,1))</f>
        <v>478.11504516179713</v>
      </c>
      <c r="T63" s="62">
        <f t="shared" si="34"/>
        <v>249.93713224442419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61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6.2799999999999958</v>
      </c>
      <c r="AH63" s="13">
        <f t="array" ref="AH63">INDEX(AG:AG,MIN(IF(ISNUMBER(AG63:AG259),ROW(AG63:AG259),"")))</f>
        <v>6.2799999999999958</v>
      </c>
      <c r="AI63" s="14">
        <f>IF('Données projet'!$A$62&gt;35,AI62+AH63-AQ62,IF(A63&lt;'Données projet'!$A$62,$AF$205^A63,IF(A63='Données projet'!$A$62,'Données projet'!$B$62,AI62+AH63-AQ62)))</f>
        <v>309.99999999999983</v>
      </c>
      <c r="AJ63" s="14">
        <f>AI63*VLOOKUP('Données projet'!$B$10,Paramètres!$A$1:$I$89,3,0)*VLOOKUP('Données projet'!$B$10,Paramètres!$A$1:$I$89,5,0)</f>
        <v>246.63599999999985</v>
      </c>
      <c r="AK63" s="14">
        <f t="shared" si="35"/>
        <v>59.865023903294535</v>
      </c>
      <c r="AL63" s="22">
        <f t="shared" si="4"/>
        <v>533.8226166315709</v>
      </c>
      <c r="AM63" s="62">
        <f t="shared" si="5"/>
        <v>795.07832296304832</v>
      </c>
      <c r="AN63" s="62">
        <f ca="1">AVERAGE(OFFSET($AM$3,0,0,'Données projet'!$E$10+1,1))-AVERAGE(OFFSET($H$3,0,0,'Données projet'!$E$10+1,1))</f>
        <v>394.49874384716014</v>
      </c>
      <c r="AO63" s="62">
        <f t="shared" si="36"/>
        <v>423.72519584013378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30.2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6.2799999999999958</v>
      </c>
      <c r="BC63" s="13">
        <f t="array" ref="BC63">INDEX(BB:BB,MIN(IF(ISNUMBER(BB63:BB259),ROW(BB63:BB259),"")))</f>
        <v>6.2799999999999958</v>
      </c>
      <c r="BD63" s="13">
        <f>IF('Données projet'!$A$88&gt;35,BD62+BC63-BL62,IF(A63&lt;'Données projet'!$A$88,$BA$205^A63,IF(A63='Données projet'!$A$88,'Données projet'!$B$88,BD62+BC63-BL62)))</f>
        <v>309.99999999999983</v>
      </c>
      <c r="BE63" s="14">
        <f>BD63*VLOOKUP('Données projet'!$B$11,Paramètres!$A$1:$I$89,3,0)*VLOOKUP('Données projet'!$B$11,Paramètres!$A$1:$I$89,5,0)</f>
        <v>246.63599999999985</v>
      </c>
      <c r="BF63" s="14">
        <f t="shared" si="37"/>
        <v>59.865023903294535</v>
      </c>
      <c r="BG63" s="22">
        <f t="shared" si="7"/>
        <v>533.8226166315709</v>
      </c>
      <c r="BH63" s="62">
        <f t="shared" si="8"/>
        <v>795.07832296304832</v>
      </c>
      <c r="BI63" s="62">
        <f ca="1">AVERAGE(OFFSET($BH$3,0,0,'Données projet'!$E$11+1,1))-AVERAGE(OFFSET($H$3,0,0,'Données projet'!$E$11+1,1))</f>
        <v>394.49874384716014</v>
      </c>
      <c r="BJ63" s="62">
        <f t="shared" si="38"/>
        <v>423.72519584013378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30.2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227.292</v>
      </c>
      <c r="CA63" s="14">
        <f t="shared" si="39"/>
        <v>55.6967456174837</v>
      </c>
      <c r="CB63" s="22">
        <f t="shared" si="10"/>
        <v>492.87206528378402</v>
      </c>
      <c r="CC63" s="62">
        <f t="shared" si="11"/>
        <v>754.12777161526151</v>
      </c>
      <c r="CD63" s="62">
        <f ca="1">AVERAGE(OFFSET($CC$3,0,0,'Données projet'!$E$12+1,1))-AVERAGE(OFFSET($H$3,0,0,'Données projet'!$E$12+1,1))</f>
        <v>496.33873798282525</v>
      </c>
      <c r="CE63" s="62">
        <f t="shared" si="40"/>
        <v>280.25465074992246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207.69230769230768</v>
      </c>
      <c r="CR63" s="13">
        <f>VLOOKUP(A63,'Données projet'!$A$139:$I$159,9,0)</f>
        <v>5.3846153846153815</v>
      </c>
      <c r="CS63" s="13">
        <f t="array" ref="CS63">INDEX(CR:CR,MIN(IF(ISNUMBER(CR63:CR259),ROW(CR63:CR259),"")))</f>
        <v>5.3846153846153815</v>
      </c>
      <c r="CT63" s="13">
        <f>IF('Données projet'!$A$140&gt;35,CT62+CS63-DB62,IF(A63&lt;'Données projet'!$A$140,$CQ$205^A63,IF(A63='Données projet'!$A$140,'Données projet'!$B$140,CT62+CS63-DB62)))</f>
        <v>207.69230769230759</v>
      </c>
      <c r="CU63" s="18">
        <f>CT63*VLOOKUP('Données projet'!$B$13,Paramètres!$A$1:$I$89,3,0)*VLOOKUP('Données projet'!$B$13,Paramètres!$A$1:$I$89,5,0)</f>
        <v>197.63999999999993</v>
      </c>
      <c r="CV63" s="14">
        <f t="shared" si="41"/>
        <v>49.22515338895078</v>
      </c>
      <c r="CW63" s="22">
        <f t="shared" si="13"/>
        <v>429.95680881908919</v>
      </c>
      <c r="CX63" s="62">
        <f t="shared" si="14"/>
        <v>691.21251515056667</v>
      </c>
      <c r="CY63" s="62">
        <f ca="1">AVERAGE(OFFSET($CX$3,0,0,'Données projet'!$E$13+1,1))-AVERAGE(OFFSET($H$3,0,0,'Données projet'!$E$13+1,1))</f>
        <v>441.15969139782891</v>
      </c>
      <c r="CZ63" s="62">
        <f t="shared" si="42"/>
        <v>315.06466790224783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297</v>
      </c>
      <c r="DM63" s="13">
        <f>VLOOKUP(A63,'Données projet'!$A$165:$I$185,9,0)</f>
        <v>9.375</v>
      </c>
      <c r="DN63" s="13">
        <f t="array" ref="DN63">INDEX(DM:DM,MIN(IF(ISNUMBER(DM63:DM259),ROW(DM63:DM259),"")))</f>
        <v>9.375</v>
      </c>
      <c r="DO63" s="13">
        <f>IF('Données projet'!$A$166&gt;35,DO62+DN63-DW62,IF(A63&lt;'Données projet'!$A$166,$DL$205^A63,IF(A63='Données projet'!$A$166,'Données projet'!$B$166,DO62+DN63-DW62)))</f>
        <v>296.99999999999989</v>
      </c>
      <c r="DP63" s="18">
        <f>DO63*VLOOKUP('Données projet'!$B$14,Paramètres!$A$1:$I$89,3,0)*VLOOKUP('Données projet'!$B$14,Paramètres!$A$1:$I$89,5,0)</f>
        <v>231.65999999999991</v>
      </c>
      <c r="DQ63" s="14">
        <f t="shared" si="43"/>
        <v>56.641461975682766</v>
      </c>
      <c r="DR63" s="22">
        <f t="shared" si="16"/>
        <v>502.125046274314</v>
      </c>
      <c r="DS63" s="62">
        <f t="shared" si="17"/>
        <v>763.38075260579149</v>
      </c>
      <c r="DT63" s="62">
        <f ca="1">AVERAGE(OFFSET($DS$3,0,0,'Données projet'!$E$14+1,1))-AVERAGE(OFFSET($H$3,0,0,'Données projet'!$E$14+1,1))</f>
        <v>309.21625451786218</v>
      </c>
      <c r="DU63" s="62">
        <f t="shared" si="44"/>
        <v>302.59481222418219</v>
      </c>
      <c r="DV63" s="16">
        <f>IF(ISNA(VLOOKUP(A63,'Données projet'!$A$165:$I$185,3,0)),0,VLOOKUP(A63,'Données projet'!$A$165:$I$185,3,0))</f>
        <v>7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195</v>
      </c>
      <c r="EH63" s="13">
        <f>VLOOKUP(A63,'Données projet'!$A$191:$I$211,9,0)</f>
        <v>4.2</v>
      </c>
      <c r="EI63" s="13">
        <f t="array" ref="EI63">INDEX(EH:EH,MIN(IF(ISNUMBER(EH63:EH259),ROW(EH63:EH259),"")))</f>
        <v>4.2</v>
      </c>
      <c r="EJ63" s="13">
        <f>IF('Données projet'!$A$192&gt;35,EJ62+EI63-ER62,IF(A63&lt;'Données projet'!$A$192,$EG$205^A63,IF(A63='Données projet'!$A$192,'Données projet'!$B$192,EJ62+EI63-ER62)))</f>
        <v>194.99999999999994</v>
      </c>
      <c r="EK63" s="18">
        <f>EJ63*VLOOKUP('Données projet'!$B$15,Paramètres!$A$1:$I$89,3,0)*VLOOKUP('Données projet'!$B$15,Paramètres!$A$1:$I$89,5,0)</f>
        <v>170.35199999999998</v>
      </c>
      <c r="EL63" s="14">
        <f t="shared" si="45"/>
        <v>43.168850382694451</v>
      </c>
      <c r="EM63" s="22">
        <f t="shared" si="19"/>
        <v>371.88214774985937</v>
      </c>
      <c r="EN63" s="62">
        <f t="shared" si="20"/>
        <v>633.13785408133685</v>
      </c>
      <c r="EO63" s="62">
        <f ca="1">AVERAGE(OFFSET($EN$3,0,0,'Données projet'!$E$15+1,1))-AVERAGE(OFFSET($H$3,0,0,'Données projet'!$E$15+1,1))</f>
        <v>298.56812743477741</v>
      </c>
      <c r="EP63" s="62">
        <f t="shared" si="46"/>
        <v>276.01618888357268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289.10256410256409</v>
      </c>
      <c r="FC63" s="13">
        <f>VLOOKUP(A63,'Données projet'!$A$217:$I$237,9,0)</f>
        <v>6.1538461538461551</v>
      </c>
      <c r="FD63" s="13">
        <f t="array" ref="FD63">INDEX(FC:FC,MIN(IF(ISNUMBER(FC63:FC259),ROW(FC63:FC259),"")))</f>
        <v>6.1538461538461551</v>
      </c>
      <c r="FE63" s="13">
        <f>IF('Données projet'!$A$218&gt;35,FE62+FD63-FM62,IF(A63&lt;'Données projet'!$A$218,$FB$205^A63,IF(A63='Données projet'!$A$218,'Données projet'!$B$218,FE62+FD63-FM62)))</f>
        <v>289.10256410256403</v>
      </c>
      <c r="FF63" s="18">
        <f>FE63*VLOOKUP('Données projet'!$B$16,Paramètres!$A$1:$I$89,3,0)*VLOOKUP('Données projet'!$B$16,Paramètres!$A$1:$I$89,5,0)</f>
        <v>193.92999999999995</v>
      </c>
      <c r="FG63" s="14">
        <f t="shared" si="47"/>
        <v>48.407782055683938</v>
      </c>
      <c r="FH63" s="22">
        <f t="shared" si="22"/>
        <v>422.07163708031607</v>
      </c>
      <c r="FI63" s="62">
        <f t="shared" si="23"/>
        <v>683.32734341179355</v>
      </c>
      <c r="FJ63" s="62">
        <f ca="1">AVERAGE(OFFSET($FI$3,0,0,'Données projet'!$E$16+1,1))-AVERAGE(OFFSET($H$3,0,0,'Données projet'!$E$16+1,1))</f>
        <v>396.0878652679051</v>
      </c>
      <c r="FK63" s="62">
        <f t="shared" si="48"/>
        <v>327.26339199235406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35.256410256410255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9">
        <f t="shared" si="1"/>
        <v>183.33333333333334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13.777777777777779</v>
      </c>
      <c r="N64" s="14">
        <f>IF('Données projet'!$A$36&gt;35,N63+M64-V63,IF(A64&lt;'Données projet'!$A$36,$K$205^A64,IF(A64='Données projet'!$A$36,'Données projet'!$B$36,N63+M64-V63)))</f>
        <v>247.7777777777776</v>
      </c>
      <c r="O64" s="14">
        <f>N64*VLOOKUP('Données projet'!$B$9,Paramètres!$A$1:$I$89,3,0)*VLOOKUP('Données projet'!$B$9,Paramètres!$A$1:$I$89,5,0)</f>
        <v>212.59333333333319</v>
      </c>
      <c r="P64" s="14">
        <f t="shared" si="33"/>
        <v>52.501888831663351</v>
      </c>
      <c r="Q64" s="22">
        <f t="shared" si="53"/>
        <v>461.70751193736891</v>
      </c>
      <c r="R64" s="62">
        <f t="shared" si="0"/>
        <v>723.51969338249819</v>
      </c>
      <c r="S64" s="62">
        <f ca="1">AVERAGE(OFFSET($R$3,0,0,'Données projet'!$E$9+1,1))-AVERAGE(OFFSET($H$3,0,0,'Données projet'!$E$9+1,1))</f>
        <v>478.11504516179713</v>
      </c>
      <c r="T64" s="62">
        <f t="shared" si="34"/>
        <v>249.93713224442419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5.2399999999999975</v>
      </c>
      <c r="AI64" s="14">
        <f>IF('Données projet'!$A$62&gt;35,AI63+AH64-AQ63,IF(A64&lt;'Données projet'!$A$62,$AF$205^A64,IF(A64='Données projet'!$A$62,'Données projet'!$B$62,AI63+AH64-AQ63)))</f>
        <v>285.03999999999985</v>
      </c>
      <c r="AJ64" s="14">
        <f>AI64*VLOOKUP('Données projet'!$B$10,Paramètres!$A$1:$I$89,3,0)*VLOOKUP('Données projet'!$B$10,Paramètres!$A$1:$I$89,5,0)</f>
        <v>226.7778239999999</v>
      </c>
      <c r="AK64" s="14">
        <f t="shared" si="35"/>
        <v>55.585400699018884</v>
      </c>
      <c r="AL64" s="22">
        <f t="shared" si="4"/>
        <v>491.78261635079099</v>
      </c>
      <c r="AM64" s="62">
        <f t="shared" si="5"/>
        <v>753.59479779592039</v>
      </c>
      <c r="AN64" s="62">
        <f ca="1">AVERAGE(OFFSET($AM$3,0,0,'Données projet'!$E$10+1,1))-AVERAGE(OFFSET($H$3,0,0,'Données projet'!$E$10+1,1))</f>
        <v>394.49874384716014</v>
      </c>
      <c r="AO64" s="62">
        <f t="shared" si="36"/>
        <v>423.72519584013378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5.2399999999999975</v>
      </c>
      <c r="BD64" s="13">
        <f>IF('Données projet'!$A$88&gt;35,BD63+BC64-BL63,IF(A64&lt;'Données projet'!$A$88,$BA$205^A64,IF(A64='Données projet'!$A$88,'Données projet'!$B$88,BD63+BC64-BL63)))</f>
        <v>285.03999999999985</v>
      </c>
      <c r="BE64" s="14">
        <f>BD64*VLOOKUP('Données projet'!$B$11,Paramètres!$A$1:$I$89,3,0)*VLOOKUP('Données projet'!$B$11,Paramètres!$A$1:$I$89,5,0)</f>
        <v>226.7778239999999</v>
      </c>
      <c r="BF64" s="14">
        <f t="shared" si="37"/>
        <v>55.585400699018884</v>
      </c>
      <c r="BG64" s="22">
        <f t="shared" si="7"/>
        <v>491.78261635079099</v>
      </c>
      <c r="BH64" s="62">
        <f t="shared" si="8"/>
        <v>753.59479779592039</v>
      </c>
      <c r="BI64" s="62">
        <f ca="1">AVERAGE(OFFSET($BH$3,0,0,'Données projet'!$E$11+1,1))-AVERAGE(OFFSET($H$3,0,0,'Données projet'!$E$11+1,1))</f>
        <v>394.49874384716014</v>
      </c>
      <c r="BJ64" s="62">
        <f t="shared" si="38"/>
        <v>423.72519584013378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193.63343999999998</v>
      </c>
      <c r="CA64" s="14">
        <f t="shared" si="39"/>
        <v>48.342367086681229</v>
      </c>
      <c r="CB64" s="22">
        <f t="shared" si="10"/>
        <v>421.44119734263637</v>
      </c>
      <c r="CC64" s="62">
        <f t="shared" si="11"/>
        <v>683.25337878776577</v>
      </c>
      <c r="CD64" s="62">
        <f ca="1">AVERAGE(OFFSET($CC$3,0,0,'Données projet'!$E$12+1,1))-AVERAGE(OFFSET($H$3,0,0,'Données projet'!$E$12+1,1))</f>
        <v>496.33873798282525</v>
      </c>
      <c r="CE64" s="62">
        <f t="shared" si="40"/>
        <v>280.25465074992246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</v>
      </c>
      <c r="CT64" s="13">
        <f>IF('Données projet'!$A$140&gt;35,CT63+CS64-DB63,IF(A64&lt;'Données projet'!$A$140,$CQ$205^A64,IF(A64='Données projet'!$A$140,'Données projet'!$B$140,CT63+CS64-DB63)))</f>
        <v>212.69230769230759</v>
      </c>
      <c r="CU64" s="18">
        <f>CT64*VLOOKUP('Données projet'!$B$13,Paramètres!$A$1:$I$89,3,0)*VLOOKUP('Données projet'!$B$13,Paramètres!$A$1:$I$89,5,0)</f>
        <v>202.39799999999991</v>
      </c>
      <c r="CV64" s="14">
        <f t="shared" si="41"/>
        <v>50.270809420148282</v>
      </c>
      <c r="CW64" s="22">
        <f t="shared" si="13"/>
        <v>440.06484307342475</v>
      </c>
      <c r="CX64" s="62">
        <f t="shared" si="14"/>
        <v>701.87702451855409</v>
      </c>
      <c r="CY64" s="62">
        <f ca="1">AVERAGE(OFFSET($CX$3,0,0,'Données projet'!$E$13+1,1))-AVERAGE(OFFSET($H$3,0,0,'Données projet'!$E$13+1,1))</f>
        <v>441.15969139782891</v>
      </c>
      <c r="CZ64" s="62">
        <f t="shared" si="42"/>
        <v>315.06466790224783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8.6666666666666661</v>
      </c>
      <c r="DO64" s="13">
        <f>IF('Données projet'!$A$166&gt;35,DO63+DN64-DW63,IF(A64&lt;'Données projet'!$A$166,$DL$205^A64,IF(A64='Données projet'!$A$166,'Données projet'!$B$166,DO63+DN64-DW63)))</f>
        <v>258.66666666666657</v>
      </c>
      <c r="DP64" s="18">
        <f>DO64*VLOOKUP('Données projet'!$B$14,Paramètres!$A$1:$I$89,3,0)*VLOOKUP('Données projet'!$B$14,Paramètres!$A$1:$I$89,5,0)</f>
        <v>201.75999999999993</v>
      </c>
      <c r="DQ64" s="14">
        <f t="shared" si="43"/>
        <v>50.130765000424169</v>
      </c>
      <c r="DR64" s="22">
        <f t="shared" si="16"/>
        <v>438.70974904240529</v>
      </c>
      <c r="DS64" s="62">
        <f t="shared" si="17"/>
        <v>700.52193048753463</v>
      </c>
      <c r="DT64" s="62">
        <f ca="1">AVERAGE(OFFSET($DS$3,0,0,'Données projet'!$E$14+1,1))-AVERAGE(OFFSET($H$3,0,0,'Données projet'!$E$14+1,1))</f>
        <v>309.21625451786218</v>
      </c>
      <c r="DU64" s="62">
        <f t="shared" si="44"/>
        <v>302.59481222418219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3.2</v>
      </c>
      <c r="EJ64" s="13">
        <f>IF('Données projet'!$A$192&gt;35,EJ63+EI64-ER63,IF(A64&lt;'Données projet'!$A$192,$EG$205^A64,IF(A64='Données projet'!$A$192,'Données projet'!$B$192,EJ63+EI64-ER63)))</f>
        <v>198.19999999999993</v>
      </c>
      <c r="EK64" s="18">
        <f>EJ64*VLOOKUP('Données projet'!$B$15,Paramètres!$A$1:$I$89,3,0)*VLOOKUP('Données projet'!$B$15,Paramètres!$A$1:$I$89,5,0)</f>
        <v>173.14751999999996</v>
      </c>
      <c r="EL64" s="14">
        <f t="shared" si="45"/>
        <v>43.794208927254033</v>
      </c>
      <c r="EM64" s="22">
        <f t="shared" si="19"/>
        <v>377.84017788163402</v>
      </c>
      <c r="EN64" s="62">
        <f t="shared" si="20"/>
        <v>639.65235932676342</v>
      </c>
      <c r="EO64" s="62">
        <f ca="1">AVERAGE(OFFSET($EN$3,0,0,'Données projet'!$E$15+1,1))-AVERAGE(OFFSET($H$3,0,0,'Données projet'!$E$15+1,1))</f>
        <v>298.56812743477741</v>
      </c>
      <c r="EP64" s="62">
        <f t="shared" si="46"/>
        <v>276.01618888357268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5.7692307692307683</v>
      </c>
      <c r="FE64" s="13">
        <f>IF('Données projet'!$A$218&gt;35,FE63+FD64-FM63,IF(A64&lt;'Données projet'!$A$218,$FB$205^A64,IF(A64='Données projet'!$A$218,'Données projet'!$B$218,FE63+FD64-FM63)))</f>
        <v>259.61538461538453</v>
      </c>
      <c r="FF64" s="18">
        <f>FE64*VLOOKUP('Données projet'!$B$16,Paramètres!$A$1:$I$89,3,0)*VLOOKUP('Données projet'!$B$16,Paramètres!$A$1:$I$89,5,0)</f>
        <v>174.14999999999995</v>
      </c>
      <c r="FG64" s="14">
        <f t="shared" si="47"/>
        <v>44.018176829931868</v>
      </c>
      <c r="FH64" s="22">
        <f t="shared" si="22"/>
        <v>379.97624131213121</v>
      </c>
      <c r="FI64" s="62">
        <f t="shared" si="23"/>
        <v>641.78842275726061</v>
      </c>
      <c r="FJ64" s="62">
        <f ca="1">AVERAGE(OFFSET($FI$3,0,0,'Données projet'!$E$16+1,1))-AVERAGE(OFFSET($H$3,0,0,'Données projet'!$E$16+1,1))</f>
        <v>396.0878652679051</v>
      </c>
      <c r="FK64" s="62">
        <f t="shared" si="48"/>
        <v>327.26339199235406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9">
        <f t="shared" si="1"/>
        <v>183.33333333333334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13.777777777777779</v>
      </c>
      <c r="N65" s="14">
        <f>IF('Données projet'!$A$36&gt;35,N64+M65-V64,IF(A65&lt;'Données projet'!$A$36,$K$205^A65,IF(A65='Données projet'!$A$36,'Données projet'!$B$36,N64+M65-V64)))</f>
        <v>261.55555555555537</v>
      </c>
      <c r="O65" s="14">
        <f>N65*VLOOKUP('Données projet'!$B$9,Paramètres!$A$1:$I$89,3,0)*VLOOKUP('Données projet'!$B$9,Paramètres!$A$1:$I$89,5,0)</f>
        <v>224.41466666666653</v>
      </c>
      <c r="P65" s="14">
        <f t="shared" si="33"/>
        <v>55.073279400945509</v>
      </c>
      <c r="Q65" s="22">
        <f t="shared" si="53"/>
        <v>486.77483940109096</v>
      </c>
      <c r="R65" s="62">
        <f t="shared" si="0"/>
        <v>749.13384236074228</v>
      </c>
      <c r="S65" s="62">
        <f ca="1">AVERAGE(OFFSET($R$3,0,0,'Données projet'!$E$9+1,1))-AVERAGE(OFFSET($H$3,0,0,'Données projet'!$E$9+1,1))</f>
        <v>478.11504516179713</v>
      </c>
      <c r="T65" s="62">
        <f t="shared" si="34"/>
        <v>249.93713224442419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5.2399999999999975</v>
      </c>
      <c r="AI65" s="14">
        <f>IF('Données projet'!$A$62&gt;35,AI64+AH65-AQ64,IF(A65&lt;'Données projet'!$A$62,$AF$205^A65,IF(A65='Données projet'!$A$62,'Données projet'!$B$62,AI64+AH65-AQ64)))</f>
        <v>290.27999999999986</v>
      </c>
      <c r="AJ65" s="14">
        <f>AI65*VLOOKUP('Données projet'!$B$10,Paramètres!$A$1:$I$89,3,0)*VLOOKUP('Données projet'!$B$10,Paramètres!$A$1:$I$89,5,0)</f>
        <v>230.94676799999991</v>
      </c>
      <c r="AK65" s="14">
        <f t="shared" si="35"/>
        <v>56.487345939251334</v>
      </c>
      <c r="AL65" s="22">
        <f t="shared" si="4"/>
        <v>500.61441511086258</v>
      </c>
      <c r="AM65" s="62">
        <f t="shared" si="5"/>
        <v>762.97341807051384</v>
      </c>
      <c r="AN65" s="62">
        <f ca="1">AVERAGE(OFFSET($AM$3,0,0,'Données projet'!$E$10+1,1))-AVERAGE(OFFSET($H$3,0,0,'Données projet'!$E$10+1,1))</f>
        <v>394.49874384716014</v>
      </c>
      <c r="AO65" s="62">
        <f t="shared" si="36"/>
        <v>423.72519584013378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5.2399999999999975</v>
      </c>
      <c r="BD65" s="13">
        <f>IF('Données projet'!$A$88&gt;35,BD64+BC65-BL64,IF(A65&lt;'Données projet'!$A$88,$BA$205^A65,IF(A65='Données projet'!$A$88,'Données projet'!$B$88,BD64+BC65-BL64)))</f>
        <v>290.27999999999986</v>
      </c>
      <c r="BE65" s="14">
        <f>BD65*VLOOKUP('Données projet'!$B$11,Paramètres!$A$1:$I$89,3,0)*VLOOKUP('Données projet'!$B$11,Paramètres!$A$1:$I$89,5,0)</f>
        <v>230.94676799999991</v>
      </c>
      <c r="BF65" s="14">
        <f t="shared" si="37"/>
        <v>56.487345939251334</v>
      </c>
      <c r="BG65" s="22">
        <f t="shared" si="7"/>
        <v>500.61441511086258</v>
      </c>
      <c r="BH65" s="62">
        <f t="shared" si="8"/>
        <v>762.97341807051384</v>
      </c>
      <c r="BI65" s="62">
        <f ca="1">AVERAGE(OFFSET($BH$3,0,0,'Données projet'!$E$11+1,1))-AVERAGE(OFFSET($H$3,0,0,'Données projet'!$E$11+1,1))</f>
        <v>394.49874384716014</v>
      </c>
      <c r="BJ65" s="62">
        <f t="shared" si="38"/>
        <v>423.72519584013378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200.59727999999996</v>
      </c>
      <c r="CA65" s="14">
        <f t="shared" si="39"/>
        <v>49.875409002022977</v>
      </c>
      <c r="CB65" s="22">
        <f t="shared" si="10"/>
        <v>436.23993334518991</v>
      </c>
      <c r="CC65" s="62">
        <f t="shared" si="11"/>
        <v>698.59893630484123</v>
      </c>
      <c r="CD65" s="62">
        <f ca="1">AVERAGE(OFFSET($CC$3,0,0,'Données projet'!$E$12+1,1))-AVERAGE(OFFSET($H$3,0,0,'Données projet'!$E$12+1,1))</f>
        <v>496.33873798282525</v>
      </c>
      <c r="CE65" s="62">
        <f t="shared" si="40"/>
        <v>280.25465074992246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</v>
      </c>
      <c r="CT65" s="13">
        <f>IF('Données projet'!$A$140&gt;35,CT64+CS65-DB64,IF(A65&lt;'Données projet'!$A$140,$CQ$205^A65,IF(A65='Données projet'!$A$140,'Données projet'!$B$140,CT64+CS65-DB64)))</f>
        <v>217.69230769230759</v>
      </c>
      <c r="CU65" s="18">
        <f>CT65*VLOOKUP('Données projet'!$B$13,Paramètres!$A$1:$I$89,3,0)*VLOOKUP('Données projet'!$B$13,Paramètres!$A$1:$I$89,5,0)</f>
        <v>207.15599999999989</v>
      </c>
      <c r="CV65" s="14">
        <f t="shared" si="41"/>
        <v>51.313607806372978</v>
      </c>
      <c r="CW65" s="22">
        <f t="shared" si="13"/>
        <v>450.16790026276612</v>
      </c>
      <c r="CX65" s="62">
        <f t="shared" si="14"/>
        <v>712.52690322241745</v>
      </c>
      <c r="CY65" s="62">
        <f ca="1">AVERAGE(OFFSET($CX$3,0,0,'Données projet'!$E$13+1,1))-AVERAGE(OFFSET($H$3,0,0,'Données projet'!$E$13+1,1))</f>
        <v>441.15969139782891</v>
      </c>
      <c r="CZ65" s="62">
        <f t="shared" si="42"/>
        <v>315.06466790224783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8.6666666666666661</v>
      </c>
      <c r="DO65" s="13">
        <f>IF('Données projet'!$A$166&gt;35,DO64+DN65-DW64,IF(A65&lt;'Données projet'!$A$166,$DL$205^A65,IF(A65='Données projet'!$A$166,'Données projet'!$B$166,DO64+DN65-DW64)))</f>
        <v>267.33333333333326</v>
      </c>
      <c r="DP65" s="18">
        <f>DO65*VLOOKUP('Données projet'!$B$14,Paramètres!$A$1:$I$89,3,0)*VLOOKUP('Données projet'!$B$14,Paramètres!$A$1:$I$89,5,0)</f>
        <v>208.51999999999995</v>
      </c>
      <c r="DQ65" s="14">
        <f t="shared" si="43"/>
        <v>51.612035456318459</v>
      </c>
      <c r="DR65" s="22">
        <f t="shared" si="16"/>
        <v>453.06329508642119</v>
      </c>
      <c r="DS65" s="62">
        <f t="shared" si="17"/>
        <v>715.42229804607246</v>
      </c>
      <c r="DT65" s="62">
        <f ca="1">AVERAGE(OFFSET($DS$3,0,0,'Données projet'!$E$14+1,1))-AVERAGE(OFFSET($H$3,0,0,'Données projet'!$E$14+1,1))</f>
        <v>309.21625451786218</v>
      </c>
      <c r="DU65" s="62">
        <f t="shared" si="44"/>
        <v>302.59481222418219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3.2</v>
      </c>
      <c r="EJ65" s="13">
        <f>IF('Données projet'!$A$192&gt;35,EJ64+EI65-ER64,IF(A65&lt;'Données projet'!$A$192,$EG$205^A65,IF(A65='Données projet'!$A$192,'Données projet'!$B$192,EJ64+EI65-ER64)))</f>
        <v>201.39999999999992</v>
      </c>
      <c r="EK65" s="18">
        <f>EJ65*VLOOKUP('Données projet'!$B$15,Paramètres!$A$1:$I$89,3,0)*VLOOKUP('Données projet'!$B$15,Paramètres!$A$1:$I$89,5,0)</f>
        <v>175.94303999999994</v>
      </c>
      <c r="EL65" s="14">
        <f t="shared" si="45"/>
        <v>44.418393276556458</v>
      </c>
      <c r="EM65" s="22">
        <f t="shared" si="19"/>
        <v>383.79616295666898</v>
      </c>
      <c r="EN65" s="62">
        <f t="shared" si="20"/>
        <v>646.15516591632036</v>
      </c>
      <c r="EO65" s="62">
        <f ca="1">AVERAGE(OFFSET($EN$3,0,0,'Données projet'!$E$15+1,1))-AVERAGE(OFFSET($H$3,0,0,'Données projet'!$E$15+1,1))</f>
        <v>298.56812743477741</v>
      </c>
      <c r="EP65" s="62">
        <f t="shared" si="46"/>
        <v>276.01618888357268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5.7692307692307683</v>
      </c>
      <c r="FE65" s="13">
        <f>IF('Données projet'!$A$218&gt;35,FE64+FD65-FM64,IF(A65&lt;'Données projet'!$A$218,$FB$205^A65,IF(A65='Données projet'!$A$218,'Données projet'!$B$218,FE64+FD65-FM64)))</f>
        <v>265.3846153846153</v>
      </c>
      <c r="FF65" s="18">
        <f>FE65*VLOOKUP('Données projet'!$B$16,Paramètres!$A$1:$I$89,3,0)*VLOOKUP('Données projet'!$B$16,Paramètres!$A$1:$I$89,5,0)</f>
        <v>178.01999999999995</v>
      </c>
      <c r="FG65" s="14">
        <f t="shared" si="47"/>
        <v>44.881389467952083</v>
      </c>
      <c r="FH65" s="22">
        <f t="shared" si="22"/>
        <v>388.21991999001648</v>
      </c>
      <c r="FI65" s="62">
        <f t="shared" si="23"/>
        <v>650.5789229496678</v>
      </c>
      <c r="FJ65" s="62">
        <f ca="1">AVERAGE(OFFSET($FI$3,0,0,'Données projet'!$E$16+1,1))-AVERAGE(OFFSET($H$3,0,0,'Données projet'!$E$16+1,1))</f>
        <v>396.0878652679051</v>
      </c>
      <c r="FK65" s="62">
        <f t="shared" si="48"/>
        <v>327.26339199235406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9">
        <f t="shared" si="1"/>
        <v>183.33333333333334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13.777777777777779</v>
      </c>
      <c r="N66" s="14">
        <f>IF('Données projet'!$A$36&gt;35,N65+M66-V65,IF(A66&lt;'Données projet'!$A$36,$K$205^A66,IF(A66='Données projet'!$A$36,'Données projet'!$B$36,N65+M66-V65)))</f>
        <v>275.33333333333314</v>
      </c>
      <c r="O66" s="14">
        <f>N66*VLOOKUP('Données projet'!$B$9,Paramètres!$A$1:$I$89,3,0)*VLOOKUP('Données projet'!$B$9,Paramètres!$A$1:$I$89,5,0)</f>
        <v>236.23599999999988</v>
      </c>
      <c r="P66" s="14">
        <f t="shared" si="33"/>
        <v>57.628943995616872</v>
      </c>
      <c r="Q66" s="22">
        <f t="shared" si="53"/>
        <v>511.81477745903248</v>
      </c>
      <c r="R66" s="62">
        <f t="shared" si="0"/>
        <v>774.7111158024386</v>
      </c>
      <c r="S66" s="62">
        <f ca="1">AVERAGE(OFFSET($R$3,0,0,'Données projet'!$E$9+1,1))-AVERAGE(OFFSET($H$3,0,0,'Données projet'!$E$9+1,1))</f>
        <v>478.11504516179713</v>
      </c>
      <c r="T66" s="62">
        <f t="shared" si="34"/>
        <v>249.93713224442419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5.2399999999999975</v>
      </c>
      <c r="AI66" s="14">
        <f>IF('Données projet'!$A$62&gt;35,AI65+AH66-AQ65,IF(A66&lt;'Données projet'!$A$62,$AF$205^A66,IF(A66='Données projet'!$A$62,'Données projet'!$B$62,AI65+AH66-AQ65)))</f>
        <v>295.51999999999987</v>
      </c>
      <c r="AJ66" s="14">
        <f>AI66*VLOOKUP('Données projet'!$B$10,Paramètres!$A$1:$I$89,3,0)*VLOOKUP('Données projet'!$B$10,Paramètres!$A$1:$I$89,5,0)</f>
        <v>235.11571199999989</v>
      </c>
      <c r="AK66" s="14">
        <f t="shared" si="35"/>
        <v>57.387397894153374</v>
      </c>
      <c r="AL66" s="22">
        <f t="shared" si="4"/>
        <v>509.44291639898364</v>
      </c>
      <c r="AM66" s="62">
        <f t="shared" si="5"/>
        <v>772.33925474238981</v>
      </c>
      <c r="AN66" s="62">
        <f ca="1">AVERAGE(OFFSET($AM$3,0,0,'Données projet'!$E$10+1,1))-AVERAGE(OFFSET($H$3,0,0,'Données projet'!$E$10+1,1))</f>
        <v>394.49874384716014</v>
      </c>
      <c r="AO66" s="62">
        <f t="shared" si="36"/>
        <v>423.72519584013378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5.2399999999999975</v>
      </c>
      <c r="BD66" s="13">
        <f>IF('Données projet'!$A$88&gt;35,BD65+BC66-BL65,IF(A66&lt;'Données projet'!$A$88,$BA$205^A66,IF(A66='Données projet'!$A$88,'Données projet'!$B$88,BD65+BC66-BL65)))</f>
        <v>295.51999999999987</v>
      </c>
      <c r="BE66" s="14">
        <f>BD66*VLOOKUP('Données projet'!$B$11,Paramètres!$A$1:$I$89,3,0)*VLOOKUP('Données projet'!$B$11,Paramètres!$A$1:$I$89,5,0)</f>
        <v>235.11571199999989</v>
      </c>
      <c r="BF66" s="14">
        <f t="shared" si="37"/>
        <v>57.387397894153374</v>
      </c>
      <c r="BG66" s="22">
        <f t="shared" si="7"/>
        <v>509.44291639898364</v>
      </c>
      <c r="BH66" s="62">
        <f t="shared" si="8"/>
        <v>772.33925474238981</v>
      </c>
      <c r="BI66" s="62">
        <f ca="1">AVERAGE(OFFSET($BH$3,0,0,'Données projet'!$E$11+1,1))-AVERAGE(OFFSET($H$3,0,0,'Données projet'!$E$11+1,1))</f>
        <v>394.49874384716014</v>
      </c>
      <c r="BJ66" s="62">
        <f t="shared" si="38"/>
        <v>423.72519584013378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207.56111999999996</v>
      </c>
      <c r="CA66" s="14">
        <f t="shared" si="39"/>
        <v>51.40226725537714</v>
      </c>
      <c r="CB66" s="22">
        <f t="shared" si="10"/>
        <v>451.02789946978169</v>
      </c>
      <c r="CC66" s="62">
        <f t="shared" si="11"/>
        <v>713.9242378131878</v>
      </c>
      <c r="CD66" s="62">
        <f ca="1">AVERAGE(OFFSET($CC$3,0,0,'Données projet'!$E$12+1,1))-AVERAGE(OFFSET($H$3,0,0,'Données projet'!$E$12+1,1))</f>
        <v>496.33873798282525</v>
      </c>
      <c r="CE66" s="62">
        <f t="shared" si="40"/>
        <v>280.25465074992246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</v>
      </c>
      <c r="CT66" s="13">
        <f>IF('Données projet'!$A$140&gt;35,CT65+CS66-DB65,IF(A66&lt;'Données projet'!$A$140,$CQ$205^A66,IF(A66='Données projet'!$A$140,'Données projet'!$B$140,CT65+CS66-DB65)))</f>
        <v>222.69230769230759</v>
      </c>
      <c r="CU66" s="18">
        <f>CT66*VLOOKUP('Données projet'!$B$13,Paramètres!$A$1:$I$89,3,0)*VLOOKUP('Données projet'!$B$13,Paramètres!$A$1:$I$89,5,0)</f>
        <v>211.9139999999999</v>
      </c>
      <c r="CV66" s="14">
        <f t="shared" si="41"/>
        <v>52.353621737631663</v>
      </c>
      <c r="CW66" s="22">
        <f t="shared" si="13"/>
        <v>460.26610785970826</v>
      </c>
      <c r="CX66" s="62">
        <f t="shared" si="14"/>
        <v>723.16244620311431</v>
      </c>
      <c r="CY66" s="62">
        <f ca="1">AVERAGE(OFFSET($CX$3,0,0,'Données projet'!$E$13+1,1))-AVERAGE(OFFSET($H$3,0,0,'Données projet'!$E$13+1,1))</f>
        <v>441.15969139782891</v>
      </c>
      <c r="CZ66" s="62">
        <f t="shared" si="42"/>
        <v>315.06466790224783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8.6666666666666661</v>
      </c>
      <c r="DO66" s="13">
        <f>IF('Données projet'!$A$166&gt;35,DO65+DN66-DW65,IF(A66&lt;'Données projet'!$A$166,$DL$205^A66,IF(A66='Données projet'!$A$166,'Données projet'!$B$166,DO65+DN66-DW65)))</f>
        <v>275.99999999999994</v>
      </c>
      <c r="DP66" s="18">
        <f>DO66*VLOOKUP('Données projet'!$B$14,Paramètres!$A$1:$I$89,3,0)*VLOOKUP('Données projet'!$B$14,Paramètres!$A$1:$I$89,5,0)</f>
        <v>215.27999999999997</v>
      </c>
      <c r="DQ66" s="14">
        <f t="shared" si="43"/>
        <v>53.087725740853138</v>
      </c>
      <c r="DR66" s="22">
        <f t="shared" si="16"/>
        <v>467.40712233198587</v>
      </c>
      <c r="DS66" s="62">
        <f t="shared" si="17"/>
        <v>730.30346067539199</v>
      </c>
      <c r="DT66" s="62">
        <f ca="1">AVERAGE(OFFSET($DS$3,0,0,'Données projet'!$E$14+1,1))-AVERAGE(OFFSET($H$3,0,0,'Données projet'!$E$14+1,1))</f>
        <v>309.21625451786218</v>
      </c>
      <c r="DU66" s="62">
        <f t="shared" si="44"/>
        <v>302.59481222418219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3.2</v>
      </c>
      <c r="EJ66" s="13">
        <f>IF('Données projet'!$A$192&gt;35,EJ65+EI66-ER65,IF(A66&lt;'Données projet'!$A$192,$EG$205^A66,IF(A66='Données projet'!$A$192,'Données projet'!$B$192,EJ65+EI66-ER65)))</f>
        <v>204.59999999999991</v>
      </c>
      <c r="EK66" s="18">
        <f>EJ66*VLOOKUP('Données projet'!$B$15,Paramètres!$A$1:$I$89,3,0)*VLOOKUP('Données projet'!$B$15,Paramètres!$A$1:$I$89,5,0)</f>
        <v>178.73855999999995</v>
      </c>
      <c r="EL66" s="14">
        <f t="shared" si="45"/>
        <v>45.041424241265332</v>
      </c>
      <c r="EM66" s="22">
        <f t="shared" si="19"/>
        <v>389.75013922020366</v>
      </c>
      <c r="EN66" s="62">
        <f t="shared" si="20"/>
        <v>652.64647756360978</v>
      </c>
      <c r="EO66" s="62">
        <f ca="1">AVERAGE(OFFSET($EN$3,0,0,'Données projet'!$E$15+1,1))-AVERAGE(OFFSET($H$3,0,0,'Données projet'!$E$15+1,1))</f>
        <v>298.56812743477741</v>
      </c>
      <c r="EP66" s="62">
        <f t="shared" si="46"/>
        <v>276.01618888357268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5.7692307692307683</v>
      </c>
      <c r="FE66" s="13">
        <f>IF('Données projet'!$A$218&gt;35,FE65+FD66-FM65,IF(A66&lt;'Données projet'!$A$218,$FB$205^A66,IF(A66='Données projet'!$A$218,'Données projet'!$B$218,FE65+FD66-FM65)))</f>
        <v>271.15384615384608</v>
      </c>
      <c r="FF66" s="18">
        <f>FE66*VLOOKUP('Données projet'!$B$16,Paramètres!$A$1:$I$89,3,0)*VLOOKUP('Données projet'!$B$16,Paramètres!$A$1:$I$89,5,0)</f>
        <v>181.88999999999996</v>
      </c>
      <c r="FG66" s="14">
        <f t="shared" si="47"/>
        <v>45.742420382341599</v>
      </c>
      <c r="FH66" s="22">
        <f t="shared" si="22"/>
        <v>396.4597988325782</v>
      </c>
      <c r="FI66" s="62">
        <f t="shared" si="23"/>
        <v>659.35613717598426</v>
      </c>
      <c r="FJ66" s="62">
        <f ca="1">AVERAGE(OFFSET($FI$3,0,0,'Données projet'!$E$16+1,1))-AVERAGE(OFFSET($H$3,0,0,'Données projet'!$E$16+1,1))</f>
        <v>396.0878652679051</v>
      </c>
      <c r="FK66" s="62">
        <f t="shared" si="48"/>
        <v>327.26339199235406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9">
        <f t="shared" si="1"/>
        <v>183.33333333333334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13.777777777777779</v>
      </c>
      <c r="N67" s="14">
        <f>IF('Données projet'!$A$36&gt;35,N66+M67-V66,IF(A67&lt;'Données projet'!$A$36,$K$205^A67,IF(A67='Données projet'!$A$36,'Données projet'!$B$36,N66+M67-V66)))</f>
        <v>289.11111111111092</v>
      </c>
      <c r="O67" s="14">
        <f>N67*VLOOKUP('Données projet'!$B$9,Paramètres!$A$1:$I$89,3,0)*VLOOKUP('Données projet'!$B$9,Paramètres!$A$1:$I$89,5,0)</f>
        <v>248.05733333333319</v>
      </c>
      <c r="P67" s="14">
        <f t="shared" si="33"/>
        <v>60.169759343876592</v>
      </c>
      <c r="Q67" s="22">
        <f t="shared" ref="Q67:Q98" si="54">(O67+P67)*0.475*44/12</f>
        <v>536.82885307947356</v>
      </c>
      <c r="R67" s="62">
        <f t="shared" ref="R67:R130" si="55">Q67+(I67+J67)*44/12</f>
        <v>800.25320523902838</v>
      </c>
      <c r="S67" s="62">
        <f ca="1">AVERAGE(OFFSET($R$3,0,0,'Données projet'!$E$9+1,1))-AVERAGE(OFFSET($H$3,0,0,'Données projet'!$E$9+1,1))</f>
        <v>478.11504516179713</v>
      </c>
      <c r="T67" s="62">
        <f t="shared" si="34"/>
        <v>249.93713224442419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5.2399999999999975</v>
      </c>
      <c r="AI67" s="14">
        <f>IF('Données projet'!$A$62&gt;35,AI66+AH67-AQ66,IF(A67&lt;'Données projet'!$A$62,$AF$205^A67,IF(A67='Données projet'!$A$62,'Données projet'!$B$62,AI66+AH67-AQ66)))</f>
        <v>300.75999999999988</v>
      </c>
      <c r="AJ67" s="14">
        <f>AI67*VLOOKUP('Données projet'!$B$10,Paramètres!$A$1:$I$89,3,0)*VLOOKUP('Données projet'!$B$10,Paramètres!$A$1:$I$89,5,0)</f>
        <v>239.2846559999999</v>
      </c>
      <c r="AK67" s="14">
        <f t="shared" si="35"/>
        <v>58.285594007367486</v>
      </c>
      <c r="AL67" s="22">
        <f t="shared" si="4"/>
        <v>518.2681854294982</v>
      </c>
      <c r="AM67" s="62">
        <f t="shared" si="5"/>
        <v>781.69253758905302</v>
      </c>
      <c r="AN67" s="62">
        <f ca="1">AVERAGE(OFFSET($AM$3,0,0,'Données projet'!$E$10+1,1))-AVERAGE(OFFSET($H$3,0,0,'Données projet'!$E$10+1,1))</f>
        <v>394.49874384716014</v>
      </c>
      <c r="AO67" s="62">
        <f t="shared" si="36"/>
        <v>423.72519584013378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5.2399999999999975</v>
      </c>
      <c r="BD67" s="13">
        <f>IF('Données projet'!$A$88&gt;35,BD66+BC67-BL66,IF(A67&lt;'Données projet'!$A$88,$BA$205^A67,IF(A67='Données projet'!$A$88,'Données projet'!$B$88,BD66+BC67-BL66)))</f>
        <v>300.75999999999988</v>
      </c>
      <c r="BE67" s="14">
        <f>BD67*VLOOKUP('Données projet'!$B$11,Paramètres!$A$1:$I$89,3,0)*VLOOKUP('Données projet'!$B$11,Paramètres!$A$1:$I$89,5,0)</f>
        <v>239.2846559999999</v>
      </c>
      <c r="BF67" s="14">
        <f t="shared" si="37"/>
        <v>58.285594007367486</v>
      </c>
      <c r="BG67" s="22">
        <f t="shared" si="7"/>
        <v>518.2681854294982</v>
      </c>
      <c r="BH67" s="62">
        <f t="shared" si="8"/>
        <v>781.69253758905302</v>
      </c>
      <c r="BI67" s="62">
        <f ca="1">AVERAGE(OFFSET($BH$3,0,0,'Données projet'!$E$11+1,1))-AVERAGE(OFFSET($H$3,0,0,'Données projet'!$E$11+1,1))</f>
        <v>394.49874384716014</v>
      </c>
      <c r="BJ67" s="62">
        <f t="shared" si="38"/>
        <v>423.72519584013378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214.52495999999994</v>
      </c>
      <c r="CA67" s="14">
        <f t="shared" si="39"/>
        <v>52.923173099085716</v>
      </c>
      <c r="CB67" s="22">
        <f t="shared" si="10"/>
        <v>465.80549848090754</v>
      </c>
      <c r="CC67" s="62">
        <f t="shared" si="11"/>
        <v>729.22985064046225</v>
      </c>
      <c r="CD67" s="62">
        <f ca="1">AVERAGE(OFFSET($CC$3,0,0,'Données projet'!$E$12+1,1))-AVERAGE(OFFSET($H$3,0,0,'Données projet'!$E$12+1,1))</f>
        <v>496.33873798282525</v>
      </c>
      <c r="CE67" s="62">
        <f t="shared" si="40"/>
        <v>280.25465074992246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</v>
      </c>
      <c r="CT67" s="13">
        <f>IF('Données projet'!$A$140&gt;35,CT66+CS67-DB66,IF(A67&lt;'Données projet'!$A$140,$CQ$205^A67,IF(A67='Données projet'!$A$140,'Données projet'!$B$140,CT66+CS67-DB66)))</f>
        <v>227.69230769230759</v>
      </c>
      <c r="CU67" s="18">
        <f>CT67*VLOOKUP('Données projet'!$B$13,Paramètres!$A$1:$I$89,3,0)*VLOOKUP('Données projet'!$B$13,Paramètres!$A$1:$I$89,5,0)</f>
        <v>216.67199999999991</v>
      </c>
      <c r="CV67" s="14">
        <f t="shared" si="41"/>
        <v>53.390920929716366</v>
      </c>
      <c r="CW67" s="22">
        <f t="shared" si="13"/>
        <v>470.35958728592249</v>
      </c>
      <c r="CX67" s="62">
        <f t="shared" si="14"/>
        <v>733.78393944547724</v>
      </c>
      <c r="CY67" s="62">
        <f ca="1">AVERAGE(OFFSET($CX$3,0,0,'Données projet'!$E$13+1,1))-AVERAGE(OFFSET($H$3,0,0,'Données projet'!$E$13+1,1))</f>
        <v>441.15969139782891</v>
      </c>
      <c r="CZ67" s="62">
        <f t="shared" si="42"/>
        <v>315.06466790224783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8.6666666666666661</v>
      </c>
      <c r="DO67" s="13">
        <f>IF('Données projet'!$A$166&gt;35,DO66+DN67-DW66,IF(A67&lt;'Données projet'!$A$166,$DL$205^A67,IF(A67='Données projet'!$A$166,'Données projet'!$B$166,DO66+DN67-DW66)))</f>
        <v>284.66666666666663</v>
      </c>
      <c r="DP67" s="18">
        <f>DO67*VLOOKUP('Données projet'!$B$14,Paramètres!$A$1:$I$89,3,0)*VLOOKUP('Données projet'!$B$14,Paramètres!$A$1:$I$89,5,0)</f>
        <v>222.04</v>
      </c>
      <c r="DQ67" s="14">
        <f t="shared" si="43"/>
        <v>54.558031180803546</v>
      </c>
      <c r="DR67" s="22">
        <f t="shared" si="16"/>
        <v>481.74157097323285</v>
      </c>
      <c r="DS67" s="62">
        <f t="shared" si="17"/>
        <v>745.16592313278761</v>
      </c>
      <c r="DT67" s="62">
        <f ca="1">AVERAGE(OFFSET($DS$3,0,0,'Données projet'!$E$14+1,1))-AVERAGE(OFFSET($H$3,0,0,'Données projet'!$E$14+1,1))</f>
        <v>309.21625451786218</v>
      </c>
      <c r="DU67" s="62">
        <f t="shared" si="44"/>
        <v>302.59481222418219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3.2</v>
      </c>
      <c r="EJ67" s="13">
        <f>IF('Données projet'!$A$192&gt;35,EJ66+EI67-ER66,IF(A67&lt;'Données projet'!$A$192,$EG$205^A67,IF(A67='Données projet'!$A$192,'Données projet'!$B$192,EJ66+EI67-ER66)))</f>
        <v>207.7999999999999</v>
      </c>
      <c r="EK67" s="18">
        <f>EJ67*VLOOKUP('Données projet'!$B$15,Paramètres!$A$1:$I$89,3,0)*VLOOKUP('Données projet'!$B$15,Paramètres!$A$1:$I$89,5,0)</f>
        <v>181.53407999999993</v>
      </c>
      <c r="EL67" s="14">
        <f t="shared" si="45"/>
        <v>45.663321943731859</v>
      </c>
      <c r="EM67" s="22">
        <f t="shared" si="19"/>
        <v>395.70214171866616</v>
      </c>
      <c r="EN67" s="62">
        <f t="shared" si="20"/>
        <v>659.12649387822091</v>
      </c>
      <c r="EO67" s="62">
        <f ca="1">AVERAGE(OFFSET($EN$3,0,0,'Données projet'!$E$15+1,1))-AVERAGE(OFFSET($H$3,0,0,'Données projet'!$E$15+1,1))</f>
        <v>298.56812743477741</v>
      </c>
      <c r="EP67" s="62">
        <f t="shared" si="46"/>
        <v>276.01618888357268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5.7692307692307683</v>
      </c>
      <c r="FE67" s="13">
        <f>IF('Données projet'!$A$218&gt;35,FE66+FD67-FM66,IF(A67&lt;'Données projet'!$A$218,$FB$205^A67,IF(A67='Données projet'!$A$218,'Données projet'!$B$218,FE66+FD67-FM66)))</f>
        <v>276.92307692307685</v>
      </c>
      <c r="FF67" s="18">
        <f>FE67*VLOOKUP('Données projet'!$B$16,Paramètres!$A$1:$I$89,3,0)*VLOOKUP('Données projet'!$B$16,Paramètres!$A$1:$I$89,5,0)</f>
        <v>185.75999999999993</v>
      </c>
      <c r="FG67" s="14">
        <f t="shared" si="47"/>
        <v>46.601321339767978</v>
      </c>
      <c r="FH67" s="22">
        <f t="shared" si="22"/>
        <v>404.69596800009577</v>
      </c>
      <c r="FI67" s="62">
        <f t="shared" si="23"/>
        <v>668.12032015965053</v>
      </c>
      <c r="FJ67" s="62">
        <f ca="1">AVERAGE(OFFSET($FI$3,0,0,'Données projet'!$E$16+1,1))-AVERAGE(OFFSET($H$3,0,0,'Données projet'!$E$16+1,1))</f>
        <v>396.0878652679051</v>
      </c>
      <c r="FK67" s="62">
        <f t="shared" si="48"/>
        <v>327.26339199235406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9">
        <f t="shared" ref="H68:H131" si="56">(B68+E68+F68)*44/12+(C68+D68)*0.475*44/12</f>
        <v>183.33333333333334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13.777777777777779</v>
      </c>
      <c r="N68" s="14">
        <f>IF('Données projet'!$A$36&gt;35,N67+M68-V67,IF(A68&lt;'Données projet'!$A$36,$K$205^A68,IF(A68='Données projet'!$A$36,'Données projet'!$B$36,N67+M68-V67)))</f>
        <v>302.88888888888869</v>
      </c>
      <c r="O68" s="14">
        <f>N68*VLOOKUP('Données projet'!$B$9,Paramètres!$A$1:$I$89,3,0)*VLOOKUP('Données projet'!$B$9,Paramètres!$A$1:$I$89,5,0)</f>
        <v>259.8786666666665</v>
      </c>
      <c r="P68" s="14">
        <f t="shared" si="33"/>
        <v>62.69651389011603</v>
      </c>
      <c r="Q68" s="22">
        <f t="shared" si="54"/>
        <v>561.81843946972958</v>
      </c>
      <c r="R68" s="62">
        <f t="shared" si="55"/>
        <v>825.76164558618484</v>
      </c>
      <c r="S68" s="62">
        <f ca="1">AVERAGE(OFFSET($R$3,0,0,'Données projet'!$E$9+1,1))-AVERAGE(OFFSET($H$3,0,0,'Données projet'!$E$9+1,1))</f>
        <v>478.11504516179713</v>
      </c>
      <c r="T68" s="62">
        <f t="shared" si="34"/>
        <v>249.93713224442419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5.2399999999999975</v>
      </c>
      <c r="AH68" s="13">
        <f t="array" ref="AH68">INDEX(AG:AG,MIN(IF(ISNUMBER(AG68:AG264),ROW(AG68:AG264),"")))</f>
        <v>5.2399999999999975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243.45359999999991</v>
      </c>
      <c r="AK68" s="14">
        <f t="shared" si="35"/>
        <v>59.181970343065267</v>
      </c>
      <c r="AL68" s="22">
        <f t="shared" ref="AL68:AL131" si="58">(AJ68+AK68)*0.475*44/12</f>
        <v>527.09028501417185</v>
      </c>
      <c r="AM68" s="62">
        <f t="shared" ref="AM68:AM131" si="59">AL68+(AD68+AE68)*44/12</f>
        <v>791.033491130627</v>
      </c>
      <c r="AN68" s="62">
        <f ca="1">AVERAGE(OFFSET($AM$3,0,0,'Données projet'!$E$10+1,1))-AVERAGE(OFFSET($H$3,0,0,'Données projet'!$E$10+1,1))</f>
        <v>394.49874384716014</v>
      </c>
      <c r="AO68" s="62">
        <f t="shared" si="36"/>
        <v>423.72519584013378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5.2399999999999975</v>
      </c>
      <c r="BC68" s="13">
        <f t="array" ref="BC68">INDEX(BB:BB,MIN(IF(ISNUMBER(BB68:BB264),ROW(BB68:BB264),"")))</f>
        <v>5.2399999999999975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243.45359999999991</v>
      </c>
      <c r="BF68" s="14">
        <f t="shared" si="37"/>
        <v>59.181970343065267</v>
      </c>
      <c r="BG68" s="22">
        <f t="shared" ref="BG68:BG131" si="61">(BE68+BF68)*0.475*44/12</f>
        <v>527.09028501417185</v>
      </c>
      <c r="BH68" s="62">
        <f t="shared" ref="BH68:BH131" si="62">BG68+(AY68+AZ68)*44/12</f>
        <v>791.033491130627</v>
      </c>
      <c r="BI68" s="62">
        <f ca="1">AVERAGE(OFFSET($BH$3,0,0,'Données projet'!$E$11+1,1))-AVERAGE(OFFSET($H$3,0,0,'Données projet'!$E$11+1,1))</f>
        <v>394.49874384716014</v>
      </c>
      <c r="BJ68" s="62">
        <f t="shared" si="38"/>
        <v>423.72519584013378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221.48879999999991</v>
      </c>
      <c r="CA68" s="14">
        <f t="shared" si="39"/>
        <v>54.43834191952984</v>
      </c>
      <c r="CB68" s="22">
        <f t="shared" ref="CB68:CB131" si="64">(BZ68+CA68)*0.475*44/12</f>
        <v>480.57310550984766</v>
      </c>
      <c r="CC68" s="62">
        <f t="shared" ref="CC68:CC131" si="65">CB68+(BT68+BU68)*44/12</f>
        <v>744.51631162630292</v>
      </c>
      <c r="CD68" s="62">
        <f ca="1">AVERAGE(OFFSET($CC$3,0,0,'Données projet'!$E$12+1,1))-AVERAGE(OFFSET($H$3,0,0,'Données projet'!$E$12+1,1))</f>
        <v>496.33873798282525</v>
      </c>
      <c r="CE68" s="62">
        <f t="shared" si="40"/>
        <v>280.25465074992246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232.69230769230768</v>
      </c>
      <c r="CR68" s="13">
        <f>VLOOKUP(A68,'Données projet'!$A$139:$I$159,9,0)</f>
        <v>5</v>
      </c>
      <c r="CS68" s="13">
        <f t="array" ref="CS68">INDEX(CR:CR,MIN(IF(ISNUMBER(CR68:CR264),ROW(CR68:CR264),"")))</f>
        <v>5</v>
      </c>
      <c r="CT68" s="13">
        <f>IF('Données projet'!$A$140&gt;35,CT67+CS68-DB67,IF(A68&lt;'Données projet'!$A$140,$CQ$205^A68,IF(A68='Données projet'!$A$140,'Données projet'!$B$140,CT67+CS68-DB67)))</f>
        <v>232.69230769230759</v>
      </c>
      <c r="CU68" s="18">
        <f>CT68*VLOOKUP('Données projet'!$B$13,Paramètres!$A$1:$I$89,3,0)*VLOOKUP('Données projet'!$B$13,Paramètres!$A$1:$I$89,5,0)</f>
        <v>221.42999999999989</v>
      </c>
      <c r="CV68" s="14">
        <f t="shared" si="41"/>
        <v>54.425571861733111</v>
      </c>
      <c r="CW68" s="22">
        <f t="shared" ref="CW68:CW131" si="67">(CU68+CV68)*0.475*44/12</f>
        <v>480.44845432585157</v>
      </c>
      <c r="CX68" s="62">
        <f t="shared" ref="CX68:CX131" si="68">CW68+(CO68+CP68)*44/12</f>
        <v>744.39166044230683</v>
      </c>
      <c r="CY68" s="62">
        <f ca="1">AVERAGE(OFFSET($CX$3,0,0,'Données projet'!$E$13+1,1))-AVERAGE(OFFSET($H$3,0,0,'Données projet'!$E$13+1,1))</f>
        <v>441.15969139782891</v>
      </c>
      <c r="CZ68" s="62">
        <f t="shared" si="42"/>
        <v>315.06466790224783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32.692307692307693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8.6666666666666661</v>
      </c>
      <c r="DO68" s="13">
        <f>IF('Données projet'!$A$166&gt;35,DO67+DN68-DW67,IF(A68&lt;'Données projet'!$A$166,$DL$205^A68,IF(A68='Données projet'!$A$166,'Données projet'!$B$166,DO67+DN68-DW67)))</f>
        <v>293.33333333333331</v>
      </c>
      <c r="DP68" s="18">
        <f>DO68*VLOOKUP('Données projet'!$B$14,Paramètres!$A$1:$I$89,3,0)*VLOOKUP('Données projet'!$B$14,Paramètres!$A$1:$I$89,5,0)</f>
        <v>228.79999999999998</v>
      </c>
      <c r="DQ68" s="14">
        <f t="shared" si="43"/>
        <v>56.023134533701196</v>
      </c>
      <c r="DR68" s="22">
        <f t="shared" ref="DR68:DR131" si="70">(DP68+DQ68)*0.475*44/12</f>
        <v>496.06695931286293</v>
      </c>
      <c r="DS68" s="62">
        <f t="shared" ref="DS68:DS131" si="71">DR68+(DJ68+DK68)*44/12</f>
        <v>760.01016542931814</v>
      </c>
      <c r="DT68" s="62">
        <f ca="1">AVERAGE(OFFSET($DS$3,0,0,'Données projet'!$E$14+1,1))-AVERAGE(OFFSET($H$3,0,0,'Données projet'!$E$14+1,1))</f>
        <v>309.21625451786218</v>
      </c>
      <c r="DU68" s="62">
        <f t="shared" si="44"/>
        <v>302.59481222418219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211</v>
      </c>
      <c r="EH68" s="13">
        <f>VLOOKUP(A68,'Données projet'!$A$191:$I$211,9,0)</f>
        <v>3.2</v>
      </c>
      <c r="EI68" s="13">
        <f t="array" ref="EI68">INDEX(EH:EH,MIN(IF(ISNUMBER(EH68:EH264),ROW(EH68:EH264),"")))</f>
        <v>3.2</v>
      </c>
      <c r="EJ68" s="13">
        <f>IF('Données projet'!$A$192&gt;35,EJ67+EI68-ER67,IF(A68&lt;'Données projet'!$A$192,$EG$205^A68,IF(A68='Données projet'!$A$192,'Données projet'!$B$192,EJ67+EI68-ER67)))</f>
        <v>210.99999999999989</v>
      </c>
      <c r="EK68" s="18">
        <f>EJ68*VLOOKUP('Données projet'!$B$15,Paramètres!$A$1:$I$89,3,0)*VLOOKUP('Données projet'!$B$15,Paramètres!$A$1:$I$89,5,0)</f>
        <v>184.32959999999994</v>
      </c>
      <c r="EL68" s="14">
        <f t="shared" si="45"/>
        <v>46.284105851003062</v>
      </c>
      <c r="EM68" s="22">
        <f t="shared" ref="EM68:EM131" si="73">(EK68+EL68)*0.475*44/12</f>
        <v>401.65220435716355</v>
      </c>
      <c r="EN68" s="62">
        <f t="shared" ref="EN68:EN131" si="74">EM68+(EE68+EF68)*44/12</f>
        <v>665.59541047361881</v>
      </c>
      <c r="EO68" s="62">
        <f ca="1">AVERAGE(OFFSET($EN$3,0,0,'Données projet'!$E$15+1,1))-AVERAGE(OFFSET($H$3,0,0,'Données projet'!$E$15+1,1))</f>
        <v>298.56812743477741</v>
      </c>
      <c r="EP68" s="62">
        <f t="shared" si="46"/>
        <v>276.01618888357268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17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282.69230769230768</v>
      </c>
      <c r="FC68" s="13">
        <f>VLOOKUP(A68,'Données projet'!$A$217:$I$237,9,0)</f>
        <v>5.7692307692307683</v>
      </c>
      <c r="FD68" s="13">
        <f t="array" ref="FD68">INDEX(FC:FC,MIN(IF(ISNUMBER(FC68:FC264),ROW(FC68:FC264),"")))</f>
        <v>5.7692307692307683</v>
      </c>
      <c r="FE68" s="13">
        <f>IF('Données projet'!$A$218&gt;35,FE67+FD68-FM67,IF(A68&lt;'Données projet'!$A$218,$FB$205^A68,IF(A68='Données projet'!$A$218,'Données projet'!$B$218,FE67+FD68-FM67)))</f>
        <v>282.69230769230762</v>
      </c>
      <c r="FF68" s="18">
        <f>FE68*VLOOKUP('Données projet'!$B$16,Paramètres!$A$1:$I$89,3,0)*VLOOKUP('Données projet'!$B$16,Paramètres!$A$1:$I$89,5,0)</f>
        <v>189.62999999999997</v>
      </c>
      <c r="FG68" s="14">
        <f t="shared" si="47"/>
        <v>47.458141826690017</v>
      </c>
      <c r="FH68" s="22">
        <f t="shared" ref="FH68:FH131" si="76">(FF68+FG68)*0.475*44/12</f>
        <v>412.92851368148507</v>
      </c>
      <c r="FI68" s="62">
        <f t="shared" ref="FI68:FI131" si="77">FH68+(EZ68+FA68)*44/12</f>
        <v>676.87171979794027</v>
      </c>
      <c r="FJ68" s="62">
        <f ca="1">AVERAGE(OFFSET($FI$3,0,0,'Données projet'!$E$16+1,1))-AVERAGE(OFFSET($H$3,0,0,'Données projet'!$E$16+1,1))</f>
        <v>396.0878652679051</v>
      </c>
      <c r="FK68" s="62">
        <f t="shared" si="48"/>
        <v>327.26339199235406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9">
        <f t="shared" si="56"/>
        <v>183.33333333333334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13.777777777777779</v>
      </c>
      <c r="N69" s="14">
        <f>IF('Données projet'!$A$36&gt;35,N68+M69-V68,IF(A69&lt;'Données projet'!$A$36,$K$205^A69,IF(A69='Données projet'!$A$36,'Données projet'!$B$36,N68+M69-V68)))</f>
        <v>316.66666666666646</v>
      </c>
      <c r="O69" s="14">
        <f>N69*VLOOKUP('Données projet'!$B$9,Paramètres!$A$1:$I$89,3,0)*VLOOKUP('Données projet'!$B$9,Paramètres!$A$1:$I$89,5,0)</f>
        <v>271.69999999999987</v>
      </c>
      <c r="P69" s="14">
        <f t="shared" ref="P69:P132" si="87">EXP(-1.0587+0.8836*LN(O69)+0.284)</f>
        <v>65.209920294809322</v>
      </c>
      <c r="Q69" s="22">
        <f t="shared" si="54"/>
        <v>586.78477784679262</v>
      </c>
      <c r="R69" s="62">
        <f t="shared" si="55"/>
        <v>851.2378369639797</v>
      </c>
      <c r="S69" s="62">
        <f ca="1">AVERAGE(OFFSET($R$3,0,0,'Données projet'!$E$9+1,1))-AVERAGE(OFFSET($H$3,0,0,'Données projet'!$E$9+1,1))</f>
        <v>478.11504516179713</v>
      </c>
      <c r="T69" s="62">
        <f t="shared" ref="T69:T132" si="88">$T$3</f>
        <v>249.93713224442419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</v>
      </c>
      <c r="AI69" s="14">
        <f>IF('Données projet'!$A$62&gt;35,AI68+AH69-AQ68,IF(A69&lt;'Données projet'!$A$62,$AF$205^A69,IF(A69='Données projet'!$A$62,'Données projet'!$B$62,AI68+AH69-AQ68)))</f>
        <v>310.49999999999989</v>
      </c>
      <c r="AJ69" s="14">
        <f>AI69*VLOOKUP('Données projet'!$B$10,Paramètres!$A$1:$I$89,3,0)*VLOOKUP('Données projet'!$B$10,Paramètres!$A$1:$I$89,5,0)</f>
        <v>247.0337999999999</v>
      </c>
      <c r="AK69" s="14">
        <f t="shared" ref="AK69:AK132" si="89">EXP(-1.0587+0.8836*LN(AJ69)+0.284)</f>
        <v>59.950333213989722</v>
      </c>
      <c r="AL69" s="22">
        <f t="shared" si="58"/>
        <v>534.66403201436515</v>
      </c>
      <c r="AM69" s="62">
        <f t="shared" si="59"/>
        <v>799.11709113155223</v>
      </c>
      <c r="AN69" s="62">
        <f ca="1">AVERAGE(OFFSET($AM$3,0,0,'Données projet'!$E$10+1,1))-AVERAGE(OFFSET($H$3,0,0,'Données projet'!$E$10+1,1))</f>
        <v>394.49874384716014</v>
      </c>
      <c r="AO69" s="62">
        <f t="shared" ref="AO69:AO132" si="90">$AO$3</f>
        <v>423.72519584013378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</v>
      </c>
      <c r="BD69" s="13">
        <f>IF('Données projet'!$A$88&gt;35,BD68+BC69-BL68,IF(A69&lt;'Données projet'!$A$88,$BA$205^A69,IF(A69='Données projet'!$A$88,'Données projet'!$B$88,BD68+BC69-BL68)))</f>
        <v>310.49999999999989</v>
      </c>
      <c r="BE69" s="14">
        <f>BD69*VLOOKUP('Données projet'!$B$11,Paramètres!$A$1:$I$89,3,0)*VLOOKUP('Données projet'!$B$11,Paramètres!$A$1:$I$89,5,0)</f>
        <v>247.0337999999999</v>
      </c>
      <c r="BF69" s="14">
        <f t="shared" ref="BF69:BF132" si="91">EXP(-1.0587+0.8836*LN(BE69)+0.284)</f>
        <v>59.950333213989722</v>
      </c>
      <c r="BG69" s="22">
        <f t="shared" si="61"/>
        <v>534.66403201436515</v>
      </c>
      <c r="BH69" s="62">
        <f t="shared" si="62"/>
        <v>799.11709113155223</v>
      </c>
      <c r="BI69" s="62">
        <f ca="1">AVERAGE(OFFSET($BH$3,0,0,'Données projet'!$E$11+1,1))-AVERAGE(OFFSET($H$3,0,0,'Données projet'!$E$11+1,1))</f>
        <v>394.49874384716014</v>
      </c>
      <c r="BJ69" s="62">
        <f t="shared" ref="BJ69:BJ132" si="92">$BJ$3</f>
        <v>423.72519584013378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228.06575999999993</v>
      </c>
      <c r="CA69" s="14">
        <f t="shared" ref="CA69:CA132" si="93">EXP(-1.0587+0.8836*LN(BZ69)+0.284)</f>
        <v>55.864248276798108</v>
      </c>
      <c r="CB69" s="22">
        <f t="shared" si="64"/>
        <v>494.51143108208981</v>
      </c>
      <c r="CC69" s="62">
        <f t="shared" si="65"/>
        <v>758.96449019927695</v>
      </c>
      <c r="CD69" s="62">
        <f ca="1">AVERAGE(OFFSET($CC$3,0,0,'Données projet'!$E$12+1,1))-AVERAGE(OFFSET($H$3,0,0,'Données projet'!$E$12+1,1))</f>
        <v>496.33873798282525</v>
      </c>
      <c r="CE69" s="62">
        <f t="shared" ref="CE69:CE132" si="94">$CE$3</f>
        <v>280.25465074992246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4.7435897435897401</v>
      </c>
      <c r="CT69" s="13">
        <f>IF('Données projet'!$A$140&gt;35,CT68+CS69-DB68,IF(A69&lt;'Données projet'!$A$140,$CQ$205^A69,IF(A69='Données projet'!$A$140,'Données projet'!$B$140,CT68+CS69-DB68)))</f>
        <v>204.74358974358967</v>
      </c>
      <c r="CU69" s="18">
        <f>CT69*VLOOKUP('Données projet'!$B$13,Paramètres!$A$1:$I$89,3,0)*VLOOKUP('Données projet'!$B$13,Paramètres!$A$1:$I$89,5,0)</f>
        <v>194.83399999999995</v>
      </c>
      <c r="CV69" s="14">
        <f t="shared" ref="CV69:CV132" si="95">EXP(-1.0587+0.8836*LN(CU69)+0.284)</f>
        <v>48.607113902081203</v>
      </c>
      <c r="CW69" s="22">
        <f t="shared" si="67"/>
        <v>423.993273379458</v>
      </c>
      <c r="CX69" s="62">
        <f t="shared" si="68"/>
        <v>688.44633249664503</v>
      </c>
      <c r="CY69" s="62">
        <f ca="1">AVERAGE(OFFSET($CX$3,0,0,'Données projet'!$E$13+1,1))-AVERAGE(OFFSET($H$3,0,0,'Données projet'!$E$13+1,1))</f>
        <v>441.15969139782891</v>
      </c>
      <c r="CZ69" s="62">
        <f t="shared" ref="CZ69:CZ132" si="96">$CZ$3</f>
        <v>315.06466790224783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8.6666666666666661</v>
      </c>
      <c r="DO69" s="13">
        <f>IF('Données projet'!$A$166&gt;35,DO68+DN69-DW68,IF(A69&lt;'Données projet'!$A$166,$DL$205^A69,IF(A69='Données projet'!$A$166,'Données projet'!$B$166,DO68+DN69-DW68)))</f>
        <v>302</v>
      </c>
      <c r="DP69" s="18">
        <f>DO69*VLOOKUP('Données projet'!$B$14,Paramètres!$A$1:$I$89,3,0)*VLOOKUP('Données projet'!$B$14,Paramètres!$A$1:$I$89,5,0)</f>
        <v>235.56</v>
      </c>
      <c r="DQ69" s="14">
        <f t="shared" ref="DQ69:DQ132" si="97">EXP(-1.0587+0.8836*LN(DP69)+0.284)</f>
        <v>57.483207143847721</v>
      </c>
      <c r="DR69" s="22">
        <f t="shared" si="70"/>
        <v>510.38358577553481</v>
      </c>
      <c r="DS69" s="62">
        <f t="shared" si="71"/>
        <v>774.83664489272189</v>
      </c>
      <c r="DT69" s="62">
        <f ca="1">AVERAGE(OFFSET($DS$3,0,0,'Données projet'!$E$14+1,1))-AVERAGE(OFFSET($H$3,0,0,'Données projet'!$E$14+1,1))</f>
        <v>309.21625451786218</v>
      </c>
      <c r="DU69" s="62">
        <f t="shared" ref="DU69:DU132" si="98">$DU$3</f>
        <v>302.59481222418219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</v>
      </c>
      <c r="EJ69" s="13">
        <f>IF('Données projet'!$A$192&gt;35,EJ68+EI69-ER68,IF(A69&lt;'Données projet'!$A$192,$EG$205^A69,IF(A69='Données projet'!$A$192,'Données projet'!$B$192,EJ68+EI69-ER68)))</f>
        <v>196.99999999999989</v>
      </c>
      <c r="EK69" s="18">
        <f>EJ69*VLOOKUP('Données projet'!$B$15,Paramètres!$A$1:$I$89,3,0)*VLOOKUP('Données projet'!$B$15,Paramètres!$A$1:$I$89,5,0)</f>
        <v>172.09919999999994</v>
      </c>
      <c r="EL69" s="14">
        <f t="shared" ref="EL69:EL132" si="99">EXP(-1.0587+0.8836*LN(EK69)+0.284)</f>
        <v>43.559838214506954</v>
      </c>
      <c r="EM69" s="22">
        <f t="shared" si="73"/>
        <v>375.60615822359949</v>
      </c>
      <c r="EN69" s="62">
        <f t="shared" si="74"/>
        <v>640.05921734078652</v>
      </c>
      <c r="EO69" s="62">
        <f ca="1">AVERAGE(OFFSET($EN$3,0,0,'Données projet'!$E$15+1,1))-AVERAGE(OFFSET($H$3,0,0,'Données projet'!$E$15+1,1))</f>
        <v>298.56812743477741</v>
      </c>
      <c r="EP69" s="62">
        <f t="shared" ref="EP69:EP132" si="100">$EP$3</f>
        <v>276.01618888357268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5.2564102564102537</v>
      </c>
      <c r="FE69" s="13">
        <f>IF('Données projet'!$A$218&gt;35,FE68+FD69-FM68,IF(A69&lt;'Données projet'!$A$218,$FB$205^A69,IF(A69='Données projet'!$A$218,'Données projet'!$B$218,FE68+FD69-FM68)))</f>
        <v>287.9487179487179</v>
      </c>
      <c r="FF69" s="18">
        <f>FE69*VLOOKUP('Données projet'!$B$16,Paramètres!$A$1:$I$89,3,0)*VLOOKUP('Données projet'!$B$16,Paramètres!$A$1:$I$89,5,0)</f>
        <v>193.15599999999998</v>
      </c>
      <c r="FG69" s="14">
        <f t="shared" ref="FG69:FG132" si="101">EXP(-1.0587+0.8836*LN(FF69)+0.284)</f>
        <v>48.237029240325811</v>
      </c>
      <c r="FH69" s="22">
        <f t="shared" si="76"/>
        <v>420.42619259356735</v>
      </c>
      <c r="FI69" s="62">
        <f t="shared" si="77"/>
        <v>684.87925171075449</v>
      </c>
      <c r="FJ69" s="62">
        <f ca="1">AVERAGE(OFFSET($FI$3,0,0,'Données projet'!$E$16+1,1))-AVERAGE(OFFSET($H$3,0,0,'Données projet'!$E$16+1,1))</f>
        <v>396.0878652679051</v>
      </c>
      <c r="FK69" s="62">
        <f t="shared" ref="FK69:FK132" si="102">$FK$3</f>
        <v>327.26339199235406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9">
        <f t="shared" si="56"/>
        <v>183.33333333333334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13.777777777777779</v>
      </c>
      <c r="N70" s="14">
        <f>IF('Données projet'!$A$36&gt;35,N69+M70-V69,IF(A70&lt;'Données projet'!$A$36,$K$205^A70,IF(A70='Données projet'!$A$36,'Données projet'!$B$36,N69+M70-V69)))</f>
        <v>330.44444444444423</v>
      </c>
      <c r="O70" s="14">
        <f>N70*VLOOKUP('Données projet'!$B$9,Paramètres!$A$1:$I$89,3,0)*VLOOKUP('Données projet'!$B$9,Paramètres!$A$1:$I$89,5,0)</f>
        <v>283.52133333333319</v>
      </c>
      <c r="P70" s="14">
        <f t="shared" si="87"/>
        <v>67.71062569759917</v>
      </c>
      <c r="Q70" s="22">
        <f t="shared" si="54"/>
        <v>611.72899531220708</v>
      </c>
      <c r="R70" s="62">
        <f t="shared" si="55"/>
        <v>876.68306262042393</v>
      </c>
      <c r="S70" s="62">
        <f ca="1">AVERAGE(OFFSET($R$3,0,0,'Données projet'!$E$9+1,1))-AVERAGE(OFFSET($H$3,0,0,'Données projet'!$E$9+1,1))</f>
        <v>478.11504516179713</v>
      </c>
      <c r="T70" s="62">
        <f t="shared" si="88"/>
        <v>249.93713224442419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</v>
      </c>
      <c r="AI70" s="14">
        <f>IF('Données projet'!$A$62&gt;35,AI69+AH70-AQ69,IF(A70&lt;'Données projet'!$A$62,$AF$205^A70,IF(A70='Données projet'!$A$62,'Données projet'!$B$62,AI69+AH70-AQ69)))</f>
        <v>314.99999999999989</v>
      </c>
      <c r="AJ70" s="14">
        <f>AI70*VLOOKUP('Données projet'!$B$10,Paramètres!$A$1:$I$89,3,0)*VLOOKUP('Données projet'!$B$10,Paramètres!$A$1:$I$89,5,0)</f>
        <v>250.61399999999992</v>
      </c>
      <c r="AK70" s="14">
        <f t="shared" si="89"/>
        <v>60.717400934916043</v>
      </c>
      <c r="AL70" s="22">
        <f t="shared" si="58"/>
        <v>542.23552329497863</v>
      </c>
      <c r="AM70" s="62">
        <f t="shared" si="59"/>
        <v>807.18959060319548</v>
      </c>
      <c r="AN70" s="62">
        <f ca="1">AVERAGE(OFFSET($AM$3,0,0,'Données projet'!$E$10+1,1))-AVERAGE(OFFSET($H$3,0,0,'Données projet'!$E$10+1,1))</f>
        <v>394.49874384716014</v>
      </c>
      <c r="AO70" s="62">
        <f t="shared" si="90"/>
        <v>423.72519584013378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</v>
      </c>
      <c r="BD70" s="13">
        <f>IF('Données projet'!$A$88&gt;35,BD69+BC70-BL69,IF(A70&lt;'Données projet'!$A$88,$BA$205^A70,IF(A70='Données projet'!$A$88,'Données projet'!$B$88,BD69+BC70-BL69)))</f>
        <v>314.99999999999989</v>
      </c>
      <c r="BE70" s="14">
        <f>BD70*VLOOKUP('Données projet'!$B$11,Paramètres!$A$1:$I$89,3,0)*VLOOKUP('Données projet'!$B$11,Paramètres!$A$1:$I$89,5,0)</f>
        <v>250.61399999999992</v>
      </c>
      <c r="BF70" s="14">
        <f t="shared" si="91"/>
        <v>60.717400934916043</v>
      </c>
      <c r="BG70" s="22">
        <f t="shared" si="61"/>
        <v>542.23552329497863</v>
      </c>
      <c r="BH70" s="62">
        <f t="shared" si="62"/>
        <v>807.18959060319548</v>
      </c>
      <c r="BI70" s="62">
        <f ca="1">AVERAGE(OFFSET($BH$3,0,0,'Données projet'!$E$11+1,1))-AVERAGE(OFFSET($H$3,0,0,'Données projet'!$E$11+1,1))</f>
        <v>394.49874384716014</v>
      </c>
      <c r="BJ70" s="62">
        <f t="shared" si="92"/>
        <v>423.72519584013378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234.64271999999994</v>
      </c>
      <c r="CA70" s="14">
        <f t="shared" si="93"/>
        <v>57.285375557336316</v>
      </c>
      <c r="CB70" s="22">
        <f t="shared" si="64"/>
        <v>508.44143309569387</v>
      </c>
      <c r="CC70" s="62">
        <f t="shared" si="65"/>
        <v>773.39550040391077</v>
      </c>
      <c r="CD70" s="62">
        <f ca="1">AVERAGE(OFFSET($CC$3,0,0,'Données projet'!$E$12+1,1))-AVERAGE(OFFSET($H$3,0,0,'Données projet'!$E$12+1,1))</f>
        <v>496.33873798282525</v>
      </c>
      <c r="CE70" s="62">
        <f t="shared" si="94"/>
        <v>280.25465074992246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4.7435897435897401</v>
      </c>
      <c r="CT70" s="13">
        <f>IF('Données projet'!$A$140&gt;35,CT69+CS70-DB69,IF(A70&lt;'Données projet'!$A$140,$CQ$205^A70,IF(A70='Données projet'!$A$140,'Données projet'!$B$140,CT69+CS70-DB69)))</f>
        <v>209.48717948717942</v>
      </c>
      <c r="CU70" s="18">
        <f>CT70*VLOOKUP('Données projet'!$B$13,Paramètres!$A$1:$I$89,3,0)*VLOOKUP('Données projet'!$B$13,Paramètres!$A$1:$I$89,5,0)</f>
        <v>199.34799999999993</v>
      </c>
      <c r="CV70" s="14">
        <f t="shared" si="95"/>
        <v>49.600850639748678</v>
      </c>
      <c r="CW70" s="22">
        <f t="shared" si="67"/>
        <v>433.58591486422876</v>
      </c>
      <c r="CX70" s="62">
        <f t="shared" si="68"/>
        <v>698.53998217244566</v>
      </c>
      <c r="CY70" s="62">
        <f ca="1">AVERAGE(OFFSET($CX$3,0,0,'Données projet'!$E$13+1,1))-AVERAGE(OFFSET($H$3,0,0,'Données projet'!$E$13+1,1))</f>
        <v>441.15969139782891</v>
      </c>
      <c r="CZ70" s="62">
        <f t="shared" si="96"/>
        <v>315.06466790224783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8.6666666666666661</v>
      </c>
      <c r="DO70" s="13">
        <f>IF('Données projet'!$A$166&gt;35,DO69+DN70-DW69,IF(A70&lt;'Données projet'!$A$166,$DL$205^A70,IF(A70='Données projet'!$A$166,'Données projet'!$B$166,DO69+DN70-DW69)))</f>
        <v>310.66666666666669</v>
      </c>
      <c r="DP70" s="18">
        <f>DO70*VLOOKUP('Données projet'!$B$14,Paramètres!$A$1:$I$89,3,0)*VLOOKUP('Données projet'!$B$14,Paramètres!$A$1:$I$89,5,0)</f>
        <v>242.32000000000002</v>
      </c>
      <c r="DQ70" s="14">
        <f t="shared" si="97"/>
        <v>58.938409961900859</v>
      </c>
      <c r="DR70" s="22">
        <f t="shared" si="70"/>
        <v>524.69173068364398</v>
      </c>
      <c r="DS70" s="62">
        <f t="shared" si="71"/>
        <v>789.64579799186095</v>
      </c>
      <c r="DT70" s="62">
        <f ca="1">AVERAGE(OFFSET($DS$3,0,0,'Données projet'!$E$14+1,1))-AVERAGE(OFFSET($H$3,0,0,'Données projet'!$E$14+1,1))</f>
        <v>309.21625451786218</v>
      </c>
      <c r="DU70" s="62">
        <f t="shared" si="98"/>
        <v>302.59481222418219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</v>
      </c>
      <c r="EJ70" s="13">
        <f>IF('Données projet'!$A$192&gt;35,EJ69+EI70-ER69,IF(A70&lt;'Données projet'!$A$192,$EG$205^A70,IF(A70='Données projet'!$A$192,'Données projet'!$B$192,EJ69+EI70-ER69)))</f>
        <v>199.99999999999989</v>
      </c>
      <c r="EK70" s="18">
        <f>EJ70*VLOOKUP('Données projet'!$B$15,Paramètres!$A$1:$I$89,3,0)*VLOOKUP('Données projet'!$B$15,Paramètres!$A$1:$I$89,5,0)</f>
        <v>174.71999999999991</v>
      </c>
      <c r="EL70" s="14">
        <f t="shared" si="99"/>
        <v>44.145455754865203</v>
      </c>
      <c r="EM70" s="22">
        <f t="shared" si="73"/>
        <v>381.19066877305676</v>
      </c>
      <c r="EN70" s="62">
        <f t="shared" si="74"/>
        <v>646.14473608127366</v>
      </c>
      <c r="EO70" s="62">
        <f ca="1">AVERAGE(OFFSET($EN$3,0,0,'Données projet'!$E$15+1,1))-AVERAGE(OFFSET($H$3,0,0,'Données projet'!$E$15+1,1))</f>
        <v>298.56812743477741</v>
      </c>
      <c r="EP70" s="62">
        <f t="shared" si="100"/>
        <v>276.01618888357268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5.2564102564102537</v>
      </c>
      <c r="FE70" s="13">
        <f>IF('Données projet'!$A$218&gt;35,FE69+FD70-FM69,IF(A70&lt;'Données projet'!$A$218,$FB$205^A70,IF(A70='Données projet'!$A$218,'Données projet'!$B$218,FE69+FD70-FM69)))</f>
        <v>293.20512820512818</v>
      </c>
      <c r="FF70" s="18">
        <f>FE70*VLOOKUP('Données projet'!$B$16,Paramètres!$A$1:$I$89,3,0)*VLOOKUP('Données projet'!$B$16,Paramètres!$A$1:$I$89,5,0)</f>
        <v>196.68199999999999</v>
      </c>
      <c r="FG70" s="14">
        <f t="shared" si="101"/>
        <v>49.014263299588542</v>
      </c>
      <c r="FH70" s="22">
        <f t="shared" si="76"/>
        <v>427.92099191345005</v>
      </c>
      <c r="FI70" s="62">
        <f t="shared" si="77"/>
        <v>692.87505922166702</v>
      </c>
      <c r="FJ70" s="62">
        <f ca="1">AVERAGE(OFFSET($FI$3,0,0,'Données projet'!$E$16+1,1))-AVERAGE(OFFSET($H$3,0,0,'Données projet'!$E$16+1,1))</f>
        <v>396.0878652679051</v>
      </c>
      <c r="FK70" s="62">
        <f t="shared" si="102"/>
        <v>327.26339199235406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9">
        <f t="shared" si="56"/>
        <v>183.33333333333334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13.777777777777779</v>
      </c>
      <c r="N71" s="14">
        <f>IF('Données projet'!$A$36&gt;35,N70+M71-V70,IF(A71&lt;'Données projet'!$A$36,$K$205^A71,IF(A71='Données projet'!$A$36,'Données projet'!$B$36,N70+M71-V70)))</f>
        <v>344.222222222222</v>
      </c>
      <c r="O71" s="14">
        <f>N71*VLOOKUP('Données projet'!$B$9,Paramètres!$A$1:$I$89,3,0)*VLOOKUP('Données projet'!$B$9,Paramètres!$A$1:$I$89,5,0)</f>
        <v>295.3426666666665</v>
      </c>
      <c r="P71" s="14">
        <f t="shared" si="87"/>
        <v>70.199220220485287</v>
      </c>
      <c r="Q71" s="22">
        <f t="shared" si="54"/>
        <v>636.65211966178947</v>
      </c>
      <c r="R71" s="62">
        <f t="shared" si="55"/>
        <v>902.0985037890083</v>
      </c>
      <c r="S71" s="62">
        <f ca="1">AVERAGE(OFFSET($R$3,0,0,'Données projet'!$E$9+1,1))-AVERAGE(OFFSET($H$3,0,0,'Données projet'!$E$9+1,1))</f>
        <v>478.11504516179713</v>
      </c>
      <c r="T71" s="62">
        <f t="shared" si="88"/>
        <v>249.93713224442419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</v>
      </c>
      <c r="AI71" s="14">
        <f>IF('Données projet'!$A$62&gt;35,AI70+AH71-AQ70,IF(A71&lt;'Données projet'!$A$62,$AF$205^A71,IF(A71='Données projet'!$A$62,'Données projet'!$B$62,AI70+AH71-AQ70)))</f>
        <v>319.49999999999989</v>
      </c>
      <c r="AJ71" s="14">
        <f>AI71*VLOOKUP('Données projet'!$B$10,Paramètres!$A$1:$I$89,3,0)*VLOOKUP('Données projet'!$B$10,Paramètres!$A$1:$I$89,5,0)</f>
        <v>254.19419999999991</v>
      </c>
      <c r="AK71" s="14">
        <f t="shared" si="89"/>
        <v>61.483194145885243</v>
      </c>
      <c r="AL71" s="22">
        <f t="shared" si="58"/>
        <v>549.80479480408326</v>
      </c>
      <c r="AM71" s="62">
        <f t="shared" si="59"/>
        <v>815.25117893130209</v>
      </c>
      <c r="AN71" s="62">
        <f ca="1">AVERAGE(OFFSET($AM$3,0,0,'Données projet'!$E$10+1,1))-AVERAGE(OFFSET($H$3,0,0,'Données projet'!$E$10+1,1))</f>
        <v>394.49874384716014</v>
      </c>
      <c r="AO71" s="62">
        <f t="shared" si="90"/>
        <v>423.72519584013378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</v>
      </c>
      <c r="BD71" s="13">
        <f>IF('Données projet'!$A$88&gt;35,BD70+BC71-BL70,IF(A71&lt;'Données projet'!$A$88,$BA$205^A71,IF(A71='Données projet'!$A$88,'Données projet'!$B$88,BD70+BC71-BL70)))</f>
        <v>319.49999999999989</v>
      </c>
      <c r="BE71" s="14">
        <f>BD71*VLOOKUP('Données projet'!$B$11,Paramètres!$A$1:$I$89,3,0)*VLOOKUP('Données projet'!$B$11,Paramètres!$A$1:$I$89,5,0)</f>
        <v>254.19419999999991</v>
      </c>
      <c r="BF71" s="14">
        <f t="shared" si="91"/>
        <v>61.483194145885243</v>
      </c>
      <c r="BG71" s="22">
        <f t="shared" si="61"/>
        <v>549.80479480408326</v>
      </c>
      <c r="BH71" s="62">
        <f t="shared" si="62"/>
        <v>815.25117893130209</v>
      </c>
      <c r="BI71" s="62">
        <f ca="1">AVERAGE(OFFSET($BH$3,0,0,'Données projet'!$E$11+1,1))-AVERAGE(OFFSET($H$3,0,0,'Données projet'!$E$11+1,1))</f>
        <v>394.49874384716014</v>
      </c>
      <c r="BJ71" s="62">
        <f t="shared" si="92"/>
        <v>423.72519584013378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241.21967999999995</v>
      </c>
      <c r="CA71" s="14">
        <f t="shared" si="93"/>
        <v>58.701873105526744</v>
      </c>
      <c r="CB71" s="22">
        <f t="shared" si="64"/>
        <v>522.36337165879229</v>
      </c>
      <c r="CC71" s="62">
        <f t="shared" si="65"/>
        <v>787.80975578601112</v>
      </c>
      <c r="CD71" s="62">
        <f ca="1">AVERAGE(OFFSET($CC$3,0,0,'Données projet'!$E$12+1,1))-AVERAGE(OFFSET($H$3,0,0,'Données projet'!$E$12+1,1))</f>
        <v>496.33873798282525</v>
      </c>
      <c r="CE71" s="62">
        <f t="shared" si="94"/>
        <v>280.25465074992246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4.7435897435897401</v>
      </c>
      <c r="CT71" s="13">
        <f>IF('Données projet'!$A$140&gt;35,CT70+CS71-DB70,IF(A71&lt;'Données projet'!$A$140,$CQ$205^A71,IF(A71='Données projet'!$A$140,'Données projet'!$B$140,CT70+CS71-DB70)))</f>
        <v>214.23076923076917</v>
      </c>
      <c r="CU71" s="18">
        <f>CT71*VLOOKUP('Données projet'!$B$13,Paramètres!$A$1:$I$89,3,0)*VLOOKUP('Données projet'!$B$13,Paramètres!$A$1:$I$89,5,0)</f>
        <v>203.86199999999994</v>
      </c>
      <c r="CV71" s="14">
        <f t="shared" si="95"/>
        <v>50.591971357727658</v>
      </c>
      <c r="CW71" s="22">
        <f t="shared" si="67"/>
        <v>443.17400011470886</v>
      </c>
      <c r="CX71" s="62">
        <f t="shared" si="68"/>
        <v>708.6203842419277</v>
      </c>
      <c r="CY71" s="62">
        <f ca="1">AVERAGE(OFFSET($CX$3,0,0,'Données projet'!$E$13+1,1))-AVERAGE(OFFSET($H$3,0,0,'Données projet'!$E$13+1,1))</f>
        <v>441.15969139782891</v>
      </c>
      <c r="CZ71" s="62">
        <f t="shared" si="96"/>
        <v>315.06466790224783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8.6666666666666661</v>
      </c>
      <c r="DO71" s="13">
        <f>IF('Données projet'!$A$166&gt;35,DO70+DN71-DW70,IF(A71&lt;'Données projet'!$A$166,$DL$205^A71,IF(A71='Données projet'!$A$166,'Données projet'!$B$166,DO70+DN71-DW70)))</f>
        <v>319.33333333333337</v>
      </c>
      <c r="DP71" s="18">
        <f>DO71*VLOOKUP('Données projet'!$B$14,Paramètres!$A$1:$I$89,3,0)*VLOOKUP('Données projet'!$B$14,Paramètres!$A$1:$I$89,5,0)</f>
        <v>249.08000000000004</v>
      </c>
      <c r="DQ71" s="14">
        <f t="shared" si="97"/>
        <v>60.388894447487807</v>
      </c>
      <c r="DR71" s="22">
        <f t="shared" si="70"/>
        <v>538.99165782937473</v>
      </c>
      <c r="DS71" s="62">
        <f t="shared" si="71"/>
        <v>804.43804195659357</v>
      </c>
      <c r="DT71" s="62">
        <f ca="1">AVERAGE(OFFSET($DS$3,0,0,'Données projet'!$E$14+1,1))-AVERAGE(OFFSET($H$3,0,0,'Données projet'!$E$14+1,1))</f>
        <v>309.21625451786218</v>
      </c>
      <c r="DU71" s="62">
        <f t="shared" si="98"/>
        <v>302.59481222418219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</v>
      </c>
      <c r="EJ71" s="13">
        <f>IF('Données projet'!$A$192&gt;35,EJ70+EI71-ER70,IF(A71&lt;'Données projet'!$A$192,$EG$205^A71,IF(A71='Données projet'!$A$192,'Données projet'!$B$192,EJ70+EI71-ER70)))</f>
        <v>202.99999999999989</v>
      </c>
      <c r="EK71" s="18">
        <f>EJ71*VLOOKUP('Données projet'!$B$15,Paramètres!$A$1:$I$89,3,0)*VLOOKUP('Données projet'!$B$15,Paramètres!$A$1:$I$89,5,0)</f>
        <v>177.34079999999992</v>
      </c>
      <c r="EL71" s="14">
        <f t="shared" si="99"/>
        <v>44.73005165860306</v>
      </c>
      <c r="EM71" s="22">
        <f t="shared" si="73"/>
        <v>386.7733999720669</v>
      </c>
      <c r="EN71" s="62">
        <f t="shared" si="74"/>
        <v>652.21978409928579</v>
      </c>
      <c r="EO71" s="62">
        <f ca="1">AVERAGE(OFFSET($EN$3,0,0,'Données projet'!$E$15+1,1))-AVERAGE(OFFSET($H$3,0,0,'Données projet'!$E$15+1,1))</f>
        <v>298.56812743477741</v>
      </c>
      <c r="EP71" s="62">
        <f t="shared" si="100"/>
        <v>276.01618888357268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5.2564102564102537</v>
      </c>
      <c r="FE71" s="13">
        <f>IF('Données projet'!$A$218&gt;35,FE70+FD71-FM70,IF(A71&lt;'Données projet'!$A$218,$FB$205^A71,IF(A71='Données projet'!$A$218,'Données projet'!$B$218,FE70+FD71-FM70)))</f>
        <v>298.46153846153845</v>
      </c>
      <c r="FF71" s="18">
        <f>FE71*VLOOKUP('Données projet'!$B$16,Paramètres!$A$1:$I$89,3,0)*VLOOKUP('Données projet'!$B$16,Paramètres!$A$1:$I$89,5,0)</f>
        <v>200.208</v>
      </c>
      <c r="FG71" s="14">
        <f t="shared" si="101"/>
        <v>49.789877064057393</v>
      </c>
      <c r="FH71" s="22">
        <f t="shared" si="76"/>
        <v>435.41296921989988</v>
      </c>
      <c r="FI71" s="62">
        <f t="shared" si="77"/>
        <v>700.85935334711871</v>
      </c>
      <c r="FJ71" s="62">
        <f ca="1">AVERAGE(OFFSET($FI$3,0,0,'Données projet'!$E$16+1,1))-AVERAGE(OFFSET($H$3,0,0,'Données projet'!$E$16+1,1))</f>
        <v>396.0878652679051</v>
      </c>
      <c r="FK71" s="62">
        <f t="shared" si="102"/>
        <v>327.26339199235406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9">
        <f t="shared" si="56"/>
        <v>183.33333333333334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358</v>
      </c>
      <c r="L72" s="13">
        <f>VLOOKUP(A72,'Données projet'!$A$35:$I$55,9,0)</f>
        <v>13.777777777777779</v>
      </c>
      <c r="M72" s="13">
        <f t="array" ref="M72">INDEX(L:L,MIN(IF(ISNUMBER(L72:L268),ROW(L72:L268),"")))</f>
        <v>13.777777777777779</v>
      </c>
      <c r="N72" s="14">
        <f>IF('Données projet'!$A$36&gt;35,N71+M72-V71,IF(A72&lt;'Données projet'!$A$36,$K$205^A72,IF(A72='Données projet'!$A$36,'Données projet'!$B$36,N71+M72-V71)))</f>
        <v>357.99999999999977</v>
      </c>
      <c r="O72" s="14">
        <f>N72*VLOOKUP('Données projet'!$B$9,Paramètres!$A$1:$I$89,3,0)*VLOOKUP('Données projet'!$B$9,Paramètres!$A$1:$I$89,5,0)</f>
        <v>307.16399999999982</v>
      </c>
      <c r="P72" s="14">
        <f t="shared" si="87"/>
        <v>72.676244071302918</v>
      </c>
      <c r="Q72" s="22">
        <f t="shared" si="54"/>
        <v>661.55509175751888</v>
      </c>
      <c r="R72" s="62">
        <f t="shared" si="55"/>
        <v>927.48525210758544</v>
      </c>
      <c r="S72" s="62">
        <f ca="1">AVERAGE(OFFSET($R$3,0,0,'Données projet'!$E$9+1,1))-AVERAGE(OFFSET($H$3,0,0,'Données projet'!$E$9+1,1))</f>
        <v>478.11504516179713</v>
      </c>
      <c r="T72" s="62">
        <f t="shared" si="88"/>
        <v>249.93713224442419</v>
      </c>
      <c r="U72" s="16">
        <f>IF(ISNA(VLOOKUP(A72,'Données projet'!$A$35:$I$55,3,0)),0,VLOOKUP(A72,'Données projet'!$A$35:$I$55,3,0))</f>
        <v>8</v>
      </c>
      <c r="V72" s="16">
        <f>IF(ISNA(VLOOKUP(A72,'Données projet'!$A$35:$I$55,4,0)),0,VLOOKUP(A72,'Données projet'!$A$35:$I$55,4,0))</f>
        <v>84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</v>
      </c>
      <c r="AI72" s="14">
        <f>IF('Données projet'!$A$62&gt;35,AI71+AH72-AQ71,IF(A72&lt;'Données projet'!$A$62,$AF$205^A72,IF(A72='Données projet'!$A$62,'Données projet'!$B$62,AI71+AH72-AQ71)))</f>
        <v>323.99999999999989</v>
      </c>
      <c r="AJ72" s="14">
        <f>AI72*VLOOKUP('Données projet'!$B$10,Paramètres!$A$1:$I$89,3,0)*VLOOKUP('Données projet'!$B$10,Paramètres!$A$1:$I$89,5,0)</f>
        <v>257.77439999999996</v>
      </c>
      <c r="AK72" s="14">
        <f t="shared" si="89"/>
        <v>62.247732872134293</v>
      </c>
      <c r="AL72" s="22">
        <f t="shared" si="58"/>
        <v>557.37188141896718</v>
      </c>
      <c r="AM72" s="62">
        <f t="shared" si="59"/>
        <v>823.30204176903374</v>
      </c>
      <c r="AN72" s="62">
        <f ca="1">AVERAGE(OFFSET($AM$3,0,0,'Données projet'!$E$10+1,1))-AVERAGE(OFFSET($H$3,0,0,'Données projet'!$E$10+1,1))</f>
        <v>394.49874384716014</v>
      </c>
      <c r="AO72" s="62">
        <f t="shared" si="90"/>
        <v>423.72519584013378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</v>
      </c>
      <c r="BD72" s="13">
        <f>IF('Données projet'!$A$88&gt;35,BD71+BC72-BL71,IF(A72&lt;'Données projet'!$A$88,$BA$205^A72,IF(A72='Données projet'!$A$88,'Données projet'!$B$88,BD71+BC72-BL71)))</f>
        <v>323.99999999999989</v>
      </c>
      <c r="BE72" s="14">
        <f>BD72*VLOOKUP('Données projet'!$B$11,Paramètres!$A$1:$I$89,3,0)*VLOOKUP('Données projet'!$B$11,Paramètres!$A$1:$I$89,5,0)</f>
        <v>257.77439999999996</v>
      </c>
      <c r="BF72" s="14">
        <f t="shared" si="91"/>
        <v>62.247732872134293</v>
      </c>
      <c r="BG72" s="22">
        <f t="shared" si="61"/>
        <v>557.37188141896718</v>
      </c>
      <c r="BH72" s="62">
        <f t="shared" si="62"/>
        <v>823.30204176903374</v>
      </c>
      <c r="BI72" s="62">
        <f ca="1">AVERAGE(OFFSET($BH$3,0,0,'Données projet'!$E$11+1,1))-AVERAGE(OFFSET($H$3,0,0,'Données projet'!$E$11+1,1))</f>
        <v>394.49874384716014</v>
      </c>
      <c r="BJ72" s="62">
        <f t="shared" si="92"/>
        <v>423.72519584013378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247.79663999999997</v>
      </c>
      <c r="CA72" s="14">
        <f t="shared" si="93"/>
        <v>60.113881658336368</v>
      </c>
      <c r="CB72" s="22">
        <f t="shared" si="64"/>
        <v>536.27749188826908</v>
      </c>
      <c r="CC72" s="62">
        <f t="shared" si="65"/>
        <v>802.20765223833564</v>
      </c>
      <c r="CD72" s="62">
        <f ca="1">AVERAGE(OFFSET($CC$3,0,0,'Données projet'!$E$12+1,1))-AVERAGE(OFFSET($H$3,0,0,'Données projet'!$E$12+1,1))</f>
        <v>496.33873798282525</v>
      </c>
      <c r="CE72" s="62">
        <f t="shared" si="94"/>
        <v>280.25465074992246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4.7435897435897401</v>
      </c>
      <c r="CT72" s="13">
        <f>IF('Données projet'!$A$140&gt;35,CT71+CS72-DB71,IF(A72&lt;'Données projet'!$A$140,$CQ$205^A72,IF(A72='Données projet'!$A$140,'Données projet'!$B$140,CT71+CS72-DB71)))</f>
        <v>218.97435897435892</v>
      </c>
      <c r="CU72" s="18">
        <f>CT72*VLOOKUP('Données projet'!$B$13,Paramètres!$A$1:$I$89,3,0)*VLOOKUP('Données projet'!$B$13,Paramètres!$A$1:$I$89,5,0)</f>
        <v>208.37599999999995</v>
      </c>
      <c r="CV72" s="14">
        <f t="shared" si="95"/>
        <v>51.580540650922785</v>
      </c>
      <c r="CW72" s="22">
        <f t="shared" si="67"/>
        <v>452.75764163369041</v>
      </c>
      <c r="CX72" s="62">
        <f t="shared" si="68"/>
        <v>718.68780198375703</v>
      </c>
      <c r="CY72" s="62">
        <f ca="1">AVERAGE(OFFSET($CX$3,0,0,'Données projet'!$E$13+1,1))-AVERAGE(OFFSET($H$3,0,0,'Données projet'!$E$13+1,1))</f>
        <v>441.15969139782891</v>
      </c>
      <c r="CZ72" s="62">
        <f t="shared" si="96"/>
        <v>315.06466790224783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328</v>
      </c>
      <c r="DM72" s="13">
        <f>VLOOKUP(A72,'Données projet'!$A$165:$I$185,9,0)</f>
        <v>8.6666666666666661</v>
      </c>
      <c r="DN72" s="13">
        <f t="array" ref="DN72">INDEX(DM:DM,MIN(IF(ISNUMBER(DM72:DM268),ROW(DM72:DM268),"")))</f>
        <v>8.6666666666666661</v>
      </c>
      <c r="DO72" s="13">
        <f>IF('Données projet'!$A$166&gt;35,DO71+DN72-DW71,IF(A72&lt;'Données projet'!$A$166,$DL$205^A72,IF(A72='Données projet'!$A$166,'Données projet'!$B$166,DO71+DN72-DW71)))</f>
        <v>328.00000000000006</v>
      </c>
      <c r="DP72" s="18">
        <f>DO72*VLOOKUP('Données projet'!$B$14,Paramètres!$A$1:$I$89,3,0)*VLOOKUP('Données projet'!$B$14,Paramètres!$A$1:$I$89,5,0)</f>
        <v>255.84000000000006</v>
      </c>
      <c r="DQ72" s="14">
        <f t="shared" si="97"/>
        <v>61.834803371075836</v>
      </c>
      <c r="DR72" s="22">
        <f t="shared" si="70"/>
        <v>553.28361587129041</v>
      </c>
      <c r="DS72" s="62">
        <f t="shared" si="71"/>
        <v>819.21377622135697</v>
      </c>
      <c r="DT72" s="62">
        <f ca="1">AVERAGE(OFFSET($DS$3,0,0,'Données projet'!$E$14+1,1))-AVERAGE(OFFSET($H$3,0,0,'Données projet'!$E$14+1,1))</f>
        <v>309.21625451786218</v>
      </c>
      <c r="DU72" s="62">
        <f t="shared" si="98"/>
        <v>302.59481222418219</v>
      </c>
      <c r="DV72" s="16">
        <f>IF(ISNA(VLOOKUP(A72,'Données projet'!$A$165:$I$185,3,0)),0,VLOOKUP(A72,'Données projet'!$A$165:$I$185,3,0))</f>
        <v>8</v>
      </c>
      <c r="DW72" s="16">
        <f>IF(ISNA(VLOOKUP(A72,'Données projet'!$A$165:$I$185,4,0)),0,VLOOKUP(A72,'Données projet'!$A$165:$I$185,4,0))</f>
        <v>328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</v>
      </c>
      <c r="EJ72" s="13">
        <f>IF('Données projet'!$A$192&gt;35,EJ71+EI72-ER71,IF(A72&lt;'Données projet'!$A$192,$EG$205^A72,IF(A72='Données projet'!$A$192,'Données projet'!$B$192,EJ71+EI72-ER71)))</f>
        <v>205.99999999999989</v>
      </c>
      <c r="EK72" s="18">
        <f>EJ72*VLOOKUP('Données projet'!$B$15,Paramètres!$A$1:$I$89,3,0)*VLOOKUP('Données projet'!$B$15,Paramètres!$A$1:$I$89,5,0)</f>
        <v>179.96159999999992</v>
      </c>
      <c r="EL72" s="14">
        <f t="shared" si="99"/>
        <v>45.313642767960104</v>
      </c>
      <c r="EM72" s="22">
        <f t="shared" si="73"/>
        <v>392.35438115419703</v>
      </c>
      <c r="EN72" s="62">
        <f t="shared" si="74"/>
        <v>658.28454150426364</v>
      </c>
      <c r="EO72" s="62">
        <f ca="1">AVERAGE(OFFSET($EN$3,0,0,'Données projet'!$E$15+1,1))-AVERAGE(OFFSET($H$3,0,0,'Données projet'!$E$15+1,1))</f>
        <v>298.56812743477741</v>
      </c>
      <c r="EP72" s="62">
        <f t="shared" si="100"/>
        <v>276.01618888357268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5.2564102564102537</v>
      </c>
      <c r="FE72" s="13">
        <f>IF('Données projet'!$A$218&gt;35,FE71+FD72-FM71,IF(A72&lt;'Données projet'!$A$218,$FB$205^A72,IF(A72='Données projet'!$A$218,'Données projet'!$B$218,FE71+FD72-FM71)))</f>
        <v>303.71794871794873</v>
      </c>
      <c r="FF72" s="18">
        <f>FE72*VLOOKUP('Données projet'!$B$16,Paramètres!$A$1:$I$89,3,0)*VLOOKUP('Données projet'!$B$16,Paramètres!$A$1:$I$89,5,0)</f>
        <v>203.73400000000004</v>
      </c>
      <c r="FG72" s="14">
        <f t="shared" si="101"/>
        <v>50.563902362141633</v>
      </c>
      <c r="FH72" s="22">
        <f t="shared" si="76"/>
        <v>442.90217994739669</v>
      </c>
      <c r="FI72" s="62">
        <f t="shared" si="77"/>
        <v>708.83234029746325</v>
      </c>
      <c r="FJ72" s="62">
        <f ca="1">AVERAGE(OFFSET($FI$3,0,0,'Données projet'!$E$16+1,1))-AVERAGE(OFFSET($H$3,0,0,'Données projet'!$E$16+1,1))</f>
        <v>396.0878652679051</v>
      </c>
      <c r="FK72" s="62">
        <f t="shared" si="102"/>
        <v>327.26339199235406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9">
        <f t="shared" si="56"/>
        <v>183.33333333333334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12.555555555555555</v>
      </c>
      <c r="N73" s="14">
        <f>IF('Données projet'!$A$36&gt;35,N72+M73-V72,IF(A73&lt;'Données projet'!$A$36,$K$205^A73,IF(A73='Données projet'!$A$36,'Données projet'!$B$36,N72+M73-V72)))</f>
        <v>286.55555555555532</v>
      </c>
      <c r="O73" s="14">
        <f>N73*VLOOKUP('Données projet'!$B$9,Paramètres!$A$1:$I$89,3,0)*VLOOKUP('Données projet'!$B$9,Paramètres!$A$1:$I$89,5,0)</f>
        <v>245.86466666666649</v>
      </c>
      <c r="P73" s="14">
        <f t="shared" si="87"/>
        <v>59.699563669987469</v>
      </c>
      <c r="Q73" s="22">
        <f t="shared" si="54"/>
        <v>532.19103450300565</v>
      </c>
      <c r="R73" s="62">
        <f t="shared" si="55"/>
        <v>798.5965786400152</v>
      </c>
      <c r="S73" s="62">
        <f ca="1">AVERAGE(OFFSET($R$3,0,0,'Données projet'!$E$9+1,1))-AVERAGE(OFFSET($H$3,0,0,'Données projet'!$E$9+1,1))</f>
        <v>478.11504516179713</v>
      </c>
      <c r="T73" s="62">
        <f t="shared" si="88"/>
        <v>249.93713224442419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328.5</v>
      </c>
      <c r="AG73" s="13">
        <f>VLOOKUP(A73,'Données projet'!$A$61:$I$81,9,0)</f>
        <v>4.5</v>
      </c>
      <c r="AH73" s="13">
        <f t="array" ref="AH73">INDEX(AG:AG,MIN(IF(ISNUMBER(AG73:AG269),ROW(AG73:AG269),"")))</f>
        <v>4.5</v>
      </c>
      <c r="AI73" s="14">
        <f>IF('Données projet'!$A$62&gt;35,AI72+AH73-AQ72,IF(A73&lt;'Données projet'!$A$62,$AF$205^A73,IF(A73='Données projet'!$A$62,'Données projet'!$B$62,AI72+AH73-AQ72)))</f>
        <v>328.49999999999989</v>
      </c>
      <c r="AJ73" s="14">
        <f>AI73*VLOOKUP('Données projet'!$B$10,Paramètres!$A$1:$I$89,3,0)*VLOOKUP('Données projet'!$B$10,Paramètres!$A$1:$I$89,5,0)</f>
        <v>261.35459999999989</v>
      </c>
      <c r="AK73" s="14">
        <f t="shared" si="89"/>
        <v>63.01103655068848</v>
      </c>
      <c r="AL73" s="22">
        <f t="shared" si="58"/>
        <v>564.93681699244883</v>
      </c>
      <c r="AM73" s="62">
        <f t="shared" si="59"/>
        <v>831.34236112945837</v>
      </c>
      <c r="AN73" s="62">
        <f ca="1">AVERAGE(OFFSET($AM$3,0,0,'Données projet'!$E$10+1,1))-AVERAGE(OFFSET($H$3,0,0,'Données projet'!$E$10+1,1))</f>
        <v>394.49874384716014</v>
      </c>
      <c r="AO73" s="62">
        <f t="shared" si="90"/>
        <v>423.72519584013378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25.9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328.5</v>
      </c>
      <c r="BB73" s="13">
        <f>VLOOKUP(A73,'Données projet'!$A$87:$I$107,9,0)</f>
        <v>4.5</v>
      </c>
      <c r="BC73" s="13">
        <f t="array" ref="BC73">INDEX(BB:BB,MIN(IF(ISNUMBER(BB73:BB269),ROW(BB73:BB269),"")))</f>
        <v>4.5</v>
      </c>
      <c r="BD73" s="13">
        <f>IF('Données projet'!$A$88&gt;35,BD72+BC73-BL72,IF(A73&lt;'Données projet'!$A$88,$BA$205^A73,IF(A73='Données projet'!$A$88,'Données projet'!$B$88,BD72+BC73-BL72)))</f>
        <v>328.49999999999989</v>
      </c>
      <c r="BE73" s="14">
        <f>BD73*VLOOKUP('Données projet'!$B$11,Paramètres!$A$1:$I$89,3,0)*VLOOKUP('Données projet'!$B$11,Paramètres!$A$1:$I$89,5,0)</f>
        <v>261.35459999999989</v>
      </c>
      <c r="BF73" s="14">
        <f t="shared" si="91"/>
        <v>63.01103655068848</v>
      </c>
      <c r="BG73" s="22">
        <f t="shared" si="61"/>
        <v>564.93681699244883</v>
      </c>
      <c r="BH73" s="62">
        <f t="shared" si="62"/>
        <v>831.34236112945837</v>
      </c>
      <c r="BI73" s="62">
        <f ca="1">AVERAGE(OFFSET($BH$3,0,0,'Données projet'!$E$11+1,1))-AVERAGE(OFFSET($H$3,0,0,'Données projet'!$E$11+1,1))</f>
        <v>394.49874384716014</v>
      </c>
      <c r="BJ73" s="62">
        <f t="shared" si="92"/>
        <v>423.72519584013378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25.9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254.37359999999998</v>
      </c>
      <c r="CA73" s="14">
        <f t="shared" si="93"/>
        <v>61.521534056516209</v>
      </c>
      <c r="CB73" s="22">
        <f t="shared" si="64"/>
        <v>550.1840251484324</v>
      </c>
      <c r="CC73" s="62">
        <f t="shared" si="65"/>
        <v>816.58956928544194</v>
      </c>
      <c r="CD73" s="62">
        <f ca="1">AVERAGE(OFFSET($CC$3,0,0,'Données projet'!$E$12+1,1))-AVERAGE(OFFSET($H$3,0,0,'Données projet'!$E$12+1,1))</f>
        <v>496.33873798282525</v>
      </c>
      <c r="CE73" s="62">
        <f t="shared" si="94"/>
        <v>280.25465074992246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223.7179487179487</v>
      </c>
      <c r="CR73" s="13">
        <f>VLOOKUP(A73,'Données projet'!$A$139:$I$159,9,0)</f>
        <v>4.7435897435897401</v>
      </c>
      <c r="CS73" s="13">
        <f t="array" ref="CS73">INDEX(CR:CR,MIN(IF(ISNUMBER(CR73:CR269),ROW(CR73:CR269),"")))</f>
        <v>4.7435897435897401</v>
      </c>
      <c r="CT73" s="13">
        <f>IF('Données projet'!$A$140&gt;35,CT72+CS73-DB72,IF(A73&lt;'Données projet'!$A$140,$CQ$205^A73,IF(A73='Données projet'!$A$140,'Données projet'!$B$140,CT72+CS73-DB72)))</f>
        <v>223.71794871794867</v>
      </c>
      <c r="CU73" s="18">
        <f>CT73*VLOOKUP('Données projet'!$B$13,Paramètres!$A$1:$I$89,3,0)*VLOOKUP('Données projet'!$B$13,Paramètres!$A$1:$I$89,5,0)</f>
        <v>212.89</v>
      </c>
      <c r="CV73" s="14">
        <f t="shared" si="95"/>
        <v>52.566620155786865</v>
      </c>
      <c r="CW73" s="22">
        <f t="shared" si="67"/>
        <v>462.33694677132871</v>
      </c>
      <c r="CX73" s="62">
        <f t="shared" si="68"/>
        <v>728.74249090833814</v>
      </c>
      <c r="CY73" s="62">
        <f ca="1">AVERAGE(OFFSET($CX$3,0,0,'Données projet'!$E$13+1,1))-AVERAGE(OFFSET($H$3,0,0,'Données projet'!$E$13+1,1))</f>
        <v>441.15969139782891</v>
      </c>
      <c r="CZ73" s="62">
        <f t="shared" si="96"/>
        <v>315.06466790224783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5.6843418860808015E-14</v>
      </c>
      <c r="DP73" s="18">
        <f>DO73*VLOOKUP('Données projet'!$B$14,Paramètres!$A$1:$I$89,3,0)*VLOOKUP('Données projet'!$B$14,Paramètres!$A$1:$I$89,5,0)</f>
        <v>4.4337866711430253E-14</v>
      </c>
      <c r="DQ73" s="14">
        <f t="shared" si="97"/>
        <v>7.3222115536967035E-13</v>
      </c>
      <c r="DR73" s="22">
        <f t="shared" si="70"/>
        <v>1.3525069634579169E-12</v>
      </c>
      <c r="DS73" s="62">
        <f t="shared" si="71"/>
        <v>266.40554413701085</v>
      </c>
      <c r="DT73" s="62">
        <f ca="1">AVERAGE(OFFSET($DS$3,0,0,'Données projet'!$E$14+1,1))-AVERAGE(OFFSET($H$3,0,0,'Données projet'!$E$14+1,1))</f>
        <v>309.21625451786218</v>
      </c>
      <c r="DU73" s="62">
        <f t="shared" si="98"/>
        <v>302.59481222418219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209</v>
      </c>
      <c r="EH73" s="13">
        <f>VLOOKUP(A73,'Données projet'!$A$191:$I$211,9,0)</f>
        <v>3</v>
      </c>
      <c r="EI73" s="13">
        <f t="array" ref="EI73">INDEX(EH:EH,MIN(IF(ISNUMBER(EH73:EH269),ROW(EH73:EH269),"")))</f>
        <v>3</v>
      </c>
      <c r="EJ73" s="13">
        <f>IF('Données projet'!$A$192&gt;35,EJ72+EI73-ER72,IF(A73&lt;'Données projet'!$A$192,$EG$205^A73,IF(A73='Données projet'!$A$192,'Données projet'!$B$192,EJ72+EI73-ER72)))</f>
        <v>208.99999999999989</v>
      </c>
      <c r="EK73" s="18">
        <f>EJ73*VLOOKUP('Données projet'!$B$15,Paramètres!$A$1:$I$89,3,0)*VLOOKUP('Données projet'!$B$15,Paramètres!$A$1:$I$89,5,0)</f>
        <v>182.58239999999992</v>
      </c>
      <c r="EL73" s="14">
        <f t="shared" si="99"/>
        <v>45.896245406460245</v>
      </c>
      <c r="EM73" s="22">
        <f t="shared" si="73"/>
        <v>397.93364074958481</v>
      </c>
      <c r="EN73" s="62">
        <f t="shared" si="74"/>
        <v>664.33918488659424</v>
      </c>
      <c r="EO73" s="62">
        <f ca="1">AVERAGE(OFFSET($EN$3,0,0,'Données projet'!$E$15+1,1))-AVERAGE(OFFSET($H$3,0,0,'Données projet'!$E$15+1,1))</f>
        <v>298.56812743477741</v>
      </c>
      <c r="EP73" s="62">
        <f t="shared" si="100"/>
        <v>276.01618888357268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308.97435897435895</v>
      </c>
      <c r="FC73" s="13">
        <f>VLOOKUP(A73,'Données projet'!$A$217:$I$237,9,0)</f>
        <v>5.2564102564102537</v>
      </c>
      <c r="FD73" s="13">
        <f t="array" ref="FD73">INDEX(FC:FC,MIN(IF(ISNUMBER(FC73:FC269),ROW(FC73:FC269),"")))</f>
        <v>5.2564102564102537</v>
      </c>
      <c r="FE73" s="13">
        <f>IF('Données projet'!$A$218&gt;35,FE72+FD73-FM72,IF(A73&lt;'Données projet'!$A$218,$FB$205^A73,IF(A73='Données projet'!$A$218,'Données projet'!$B$218,FE72+FD73-FM72)))</f>
        <v>308.97435897435901</v>
      </c>
      <c r="FF73" s="18">
        <f>FE73*VLOOKUP('Données projet'!$B$16,Paramètres!$A$1:$I$89,3,0)*VLOOKUP('Données projet'!$B$16,Paramètres!$A$1:$I$89,5,0)</f>
        <v>207.26000000000002</v>
      </c>
      <c r="FG73" s="14">
        <f t="shared" si="101"/>
        <v>51.336369857430014</v>
      </c>
      <c r="FH73" s="22">
        <f t="shared" si="76"/>
        <v>450.38867750169061</v>
      </c>
      <c r="FI73" s="62">
        <f t="shared" si="77"/>
        <v>716.79422163870004</v>
      </c>
      <c r="FJ73" s="62">
        <f ca="1">AVERAGE(OFFSET($FI$3,0,0,'Données projet'!$E$16+1,1))-AVERAGE(OFFSET($H$3,0,0,'Données projet'!$E$16+1,1))</f>
        <v>396.0878652679051</v>
      </c>
      <c r="FK73" s="62">
        <f t="shared" si="102"/>
        <v>327.26339199235406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31.410256410256409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9">
        <f t="shared" si="56"/>
        <v>183.33333333333334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12.555555555555555</v>
      </c>
      <c r="N74" s="14">
        <f>IF('Données projet'!$A$36&gt;35,N73+M74-V73,IF(A74&lt;'Données projet'!$A$36,$K$205^A74,IF(A74='Données projet'!$A$36,'Données projet'!$B$36,N73+M74-V73)))</f>
        <v>299.11111111111086</v>
      </c>
      <c r="O74" s="14">
        <f>N74*VLOOKUP('Données projet'!$B$9,Paramètres!$A$1:$I$89,3,0)*VLOOKUP('Données projet'!$B$9,Paramètres!$A$1:$I$89,5,0)</f>
        <v>256.63733333333312</v>
      </c>
      <c r="P74" s="14">
        <f t="shared" si="87"/>
        <v>62.005051158458208</v>
      </c>
      <c r="Q74" s="22">
        <f t="shared" si="54"/>
        <v>554.96881965653654</v>
      </c>
      <c r="R74" s="62">
        <f t="shared" si="55"/>
        <v>821.84150073458454</v>
      </c>
      <c r="S74" s="62">
        <f ca="1">AVERAGE(OFFSET($R$3,0,0,'Données projet'!$E$9+1,1))-AVERAGE(OFFSET($H$3,0,0,'Données projet'!$E$9+1,1))</f>
        <v>478.11504516179713</v>
      </c>
      <c r="T74" s="62">
        <f t="shared" si="88"/>
        <v>249.93713224442419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4.1799999999999953</v>
      </c>
      <c r="AI74" s="14">
        <f>IF('Données projet'!$A$62&gt;35,AI73+AH74-AQ73,IF(A74&lt;'Données projet'!$A$62,$AF$205^A74,IF(A74='Données projet'!$A$62,'Données projet'!$B$62,AI73+AH74-AQ73)))</f>
        <v>306.77999999999992</v>
      </c>
      <c r="AJ74" s="14">
        <f>AI74*VLOOKUP('Données projet'!$B$10,Paramètres!$A$1:$I$89,3,0)*VLOOKUP('Données projet'!$B$10,Paramètres!$A$1:$I$89,5,0)</f>
        <v>244.07416799999996</v>
      </c>
      <c r="AK74" s="14">
        <f t="shared" si="89"/>
        <v>59.315246950995579</v>
      </c>
      <c r="AL74" s="22">
        <f t="shared" si="58"/>
        <v>528.40323103965056</v>
      </c>
      <c r="AM74" s="62">
        <f t="shared" si="59"/>
        <v>795.27591211769845</v>
      </c>
      <c r="AN74" s="62">
        <f ca="1">AVERAGE(OFFSET($AM$3,0,0,'Données projet'!$E$10+1,1))-AVERAGE(OFFSET($H$3,0,0,'Données projet'!$E$10+1,1))</f>
        <v>394.49874384716014</v>
      </c>
      <c r="AO74" s="62">
        <f t="shared" si="90"/>
        <v>423.72519584013378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4.1799999999999953</v>
      </c>
      <c r="BD74" s="13">
        <f>IF('Données projet'!$A$88&gt;35,BD73+BC74-BL73,IF(A74&lt;'Données projet'!$A$88,$BA$205^A74,IF(A74='Données projet'!$A$88,'Données projet'!$B$88,BD73+BC74-BL73)))</f>
        <v>306.77999999999992</v>
      </c>
      <c r="BE74" s="14">
        <f>BD74*VLOOKUP('Données projet'!$B$11,Paramètres!$A$1:$I$89,3,0)*VLOOKUP('Données projet'!$B$11,Paramètres!$A$1:$I$89,5,0)</f>
        <v>244.07416799999996</v>
      </c>
      <c r="BF74" s="14">
        <f t="shared" si="91"/>
        <v>59.315246950995579</v>
      </c>
      <c r="BG74" s="22">
        <f t="shared" si="61"/>
        <v>528.40323103965056</v>
      </c>
      <c r="BH74" s="62">
        <f t="shared" si="62"/>
        <v>795.27591211769845</v>
      </c>
      <c r="BI74" s="62">
        <f ca="1">AVERAGE(OFFSET($BH$3,0,0,'Données projet'!$E$11+1,1))-AVERAGE(OFFSET($H$3,0,0,'Données projet'!$E$11+1,1))</f>
        <v>394.49874384716014</v>
      </c>
      <c r="BJ74" s="62">
        <f t="shared" si="92"/>
        <v>423.72519584013378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219.74783999999994</v>
      </c>
      <c r="CA74" s="14">
        <f t="shared" si="93"/>
        <v>54.060076332940561</v>
      </c>
      <c r="CB74" s="22">
        <f t="shared" si="64"/>
        <v>476.88212094653812</v>
      </c>
      <c r="CC74" s="62">
        <f t="shared" si="65"/>
        <v>743.75480202458607</v>
      </c>
      <c r="CD74" s="62">
        <f ca="1">AVERAGE(OFFSET($CC$3,0,0,'Données projet'!$E$12+1,1))-AVERAGE(OFFSET($H$3,0,0,'Données projet'!$E$12+1,1))</f>
        <v>496.33873798282525</v>
      </c>
      <c r="CE74" s="62">
        <f t="shared" si="94"/>
        <v>280.25465074992246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4.4871794871794863</v>
      </c>
      <c r="CT74" s="13">
        <f>IF('Données projet'!$A$140&gt;35,CT73+CS74-DB73,IF(A74&lt;'Données projet'!$A$140,$CQ$205^A74,IF(A74='Données projet'!$A$140,'Données projet'!$B$140,CT73+CS74-DB73)))</f>
        <v>228.20512820512815</v>
      </c>
      <c r="CU74" s="18">
        <f>CT74*VLOOKUP('Données projet'!$B$13,Paramètres!$A$1:$I$89,3,0)*VLOOKUP('Données projet'!$B$13,Paramètres!$A$1:$I$89,5,0)</f>
        <v>217.15999999999997</v>
      </c>
      <c r="CV74" s="14">
        <f t="shared" si="95"/>
        <v>53.497159756294458</v>
      </c>
      <c r="CW74" s="22">
        <f t="shared" si="67"/>
        <v>471.39455324221279</v>
      </c>
      <c r="CX74" s="62">
        <f t="shared" si="68"/>
        <v>738.26723432026074</v>
      </c>
      <c r="CY74" s="62">
        <f ca="1">AVERAGE(OFFSET($CX$3,0,0,'Données projet'!$E$13+1,1))-AVERAGE(OFFSET($H$3,0,0,'Données projet'!$E$13+1,1))</f>
        <v>441.15969139782891</v>
      </c>
      <c r="CZ74" s="62">
        <f t="shared" si="96"/>
        <v>315.06466790224783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5.6843418860808015E-14</v>
      </c>
      <c r="DP74" s="18">
        <f>DO74*VLOOKUP('Données projet'!$B$14,Paramètres!$A$1:$I$89,3,0)*VLOOKUP('Données projet'!$B$14,Paramètres!$A$1:$I$89,5,0)</f>
        <v>4.4337866711430253E-14</v>
      </c>
      <c r="DQ74" s="14">
        <f t="shared" si="97"/>
        <v>7.3222115536967035E-13</v>
      </c>
      <c r="DR74" s="22">
        <f t="shared" si="70"/>
        <v>1.3525069634579169E-12</v>
      </c>
      <c r="DS74" s="62">
        <f t="shared" si="71"/>
        <v>266.87268107804931</v>
      </c>
      <c r="DT74" s="62">
        <f ca="1">AVERAGE(OFFSET($DS$3,0,0,'Données projet'!$E$14+1,1))-AVERAGE(OFFSET($H$3,0,0,'Données projet'!$E$14+1,1))</f>
        <v>309.21625451786218</v>
      </c>
      <c r="DU74" s="62">
        <f t="shared" si="98"/>
        <v>302.59481222418219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2.6</v>
      </c>
      <c r="EJ74" s="13">
        <f>IF('Données projet'!$A$192&gt;35,EJ73+EI74-ER73,IF(A74&lt;'Données projet'!$A$192,$EG$205^A74,IF(A74='Données projet'!$A$192,'Données projet'!$B$192,EJ73+EI74-ER73)))</f>
        <v>211.59999999999988</v>
      </c>
      <c r="EK74" s="18">
        <f>EJ74*VLOOKUP('Données projet'!$B$15,Paramètres!$A$1:$I$89,3,0)*VLOOKUP('Données projet'!$B$15,Paramètres!$A$1:$I$89,5,0)</f>
        <v>184.85375999999991</v>
      </c>
      <c r="EL74" s="14">
        <f t="shared" si="99"/>
        <v>46.400380376458166</v>
      </c>
      <c r="EM74" s="22">
        <f t="shared" si="73"/>
        <v>402.76762782233112</v>
      </c>
      <c r="EN74" s="62">
        <f t="shared" si="74"/>
        <v>669.64030890037907</v>
      </c>
      <c r="EO74" s="62">
        <f ca="1">AVERAGE(OFFSET($EN$3,0,0,'Données projet'!$E$15+1,1))-AVERAGE(OFFSET($H$3,0,0,'Données projet'!$E$15+1,1))</f>
        <v>298.56812743477741</v>
      </c>
      <c r="EP74" s="62">
        <f t="shared" si="100"/>
        <v>276.01618888357268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5.1282051282051269</v>
      </c>
      <c r="FE74" s="13">
        <f>IF('Données projet'!$A$218&gt;35,FE73+FD74-FM73,IF(A74&lt;'Données projet'!$A$218,$FB$205^A74,IF(A74='Données projet'!$A$218,'Données projet'!$B$218,FE73+FD74-FM73)))</f>
        <v>282.69230769230774</v>
      </c>
      <c r="FF74" s="18">
        <f>FE74*VLOOKUP('Données projet'!$B$16,Paramètres!$A$1:$I$89,3,0)*VLOOKUP('Données projet'!$B$16,Paramètres!$A$1:$I$89,5,0)</f>
        <v>189.63000000000002</v>
      </c>
      <c r="FG74" s="14">
        <f t="shared" si="101"/>
        <v>47.458141826690017</v>
      </c>
      <c r="FH74" s="22">
        <f t="shared" si="76"/>
        <v>412.92851368148513</v>
      </c>
      <c r="FI74" s="62">
        <f t="shared" si="77"/>
        <v>679.80119475953302</v>
      </c>
      <c r="FJ74" s="62">
        <f ca="1">AVERAGE(OFFSET($FI$3,0,0,'Données projet'!$E$16+1,1))-AVERAGE(OFFSET($H$3,0,0,'Données projet'!$E$16+1,1))</f>
        <v>396.0878652679051</v>
      </c>
      <c r="FK74" s="62">
        <f t="shared" si="102"/>
        <v>327.26339199235406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9">
        <f t="shared" si="56"/>
        <v>183.33333333333334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12.555555555555555</v>
      </c>
      <c r="N75" s="14">
        <f>IF('Données projet'!$A$36&gt;35,N74+M75-V74,IF(A75&lt;'Données projet'!$A$36,$K$205^A75,IF(A75='Données projet'!$A$36,'Données projet'!$B$36,N74+M75-V74)))</f>
        <v>311.6666666666664</v>
      </c>
      <c r="O75" s="14">
        <f>N75*VLOOKUP('Données projet'!$B$9,Paramètres!$A$1:$I$89,3,0)*VLOOKUP('Données projet'!$B$9,Paramètres!$A$1:$I$89,5,0)</f>
        <v>267.4099999999998</v>
      </c>
      <c r="P75" s="14">
        <f t="shared" si="87"/>
        <v>64.299297948636735</v>
      </c>
      <c r="Q75" s="22">
        <f t="shared" si="54"/>
        <v>577.72702726054183</v>
      </c>
      <c r="R75" s="62">
        <f t="shared" si="55"/>
        <v>845.058741498063</v>
      </c>
      <c r="S75" s="62">
        <f ca="1">AVERAGE(OFFSET($R$3,0,0,'Données projet'!$E$9+1,1))-AVERAGE(OFFSET($H$3,0,0,'Données projet'!$E$9+1,1))</f>
        <v>478.11504516179713</v>
      </c>
      <c r="T75" s="62">
        <f t="shared" si="88"/>
        <v>249.93713224442419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4.1799999999999953</v>
      </c>
      <c r="AI75" s="14">
        <f>IF('Données projet'!$A$62&gt;35,AI74+AH75-AQ74,IF(A75&lt;'Données projet'!$A$62,$AF$205^A75,IF(A75='Données projet'!$A$62,'Données projet'!$B$62,AI74+AH75-AQ74)))</f>
        <v>310.95999999999992</v>
      </c>
      <c r="AJ75" s="14">
        <f>AI75*VLOOKUP('Données projet'!$B$10,Paramètres!$A$1:$I$89,3,0)*VLOOKUP('Données projet'!$B$10,Paramètres!$A$1:$I$89,5,0)</f>
        <v>247.39977599999995</v>
      </c>
      <c r="AK75" s="14">
        <f t="shared" si="89"/>
        <v>60.028803657797908</v>
      </c>
      <c r="AL75" s="22">
        <f t="shared" si="58"/>
        <v>535.43810957066455</v>
      </c>
      <c r="AM75" s="62">
        <f t="shared" si="59"/>
        <v>802.76982380818572</v>
      </c>
      <c r="AN75" s="62">
        <f ca="1">AVERAGE(OFFSET($AM$3,0,0,'Données projet'!$E$10+1,1))-AVERAGE(OFFSET($H$3,0,0,'Données projet'!$E$10+1,1))</f>
        <v>394.49874384716014</v>
      </c>
      <c r="AO75" s="62">
        <f t="shared" si="90"/>
        <v>423.72519584013378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4.1799999999999953</v>
      </c>
      <c r="BD75" s="13">
        <f>IF('Données projet'!$A$88&gt;35,BD74+BC75-BL74,IF(A75&lt;'Données projet'!$A$88,$BA$205^A75,IF(A75='Données projet'!$A$88,'Données projet'!$B$88,BD74+BC75-BL74)))</f>
        <v>310.95999999999992</v>
      </c>
      <c r="BE75" s="14">
        <f>BD75*VLOOKUP('Données projet'!$B$11,Paramètres!$A$1:$I$89,3,0)*VLOOKUP('Données projet'!$B$11,Paramètres!$A$1:$I$89,5,0)</f>
        <v>247.39977599999995</v>
      </c>
      <c r="BF75" s="14">
        <f t="shared" si="91"/>
        <v>60.028803657797908</v>
      </c>
      <c r="BG75" s="22">
        <f t="shared" si="61"/>
        <v>535.43810957066455</v>
      </c>
      <c r="BH75" s="62">
        <f t="shared" si="62"/>
        <v>802.76982380818572</v>
      </c>
      <c r="BI75" s="62">
        <f ca="1">AVERAGE(OFFSET($BH$3,0,0,'Données projet'!$E$11+1,1))-AVERAGE(OFFSET($H$3,0,0,'Données projet'!$E$11+1,1))</f>
        <v>394.49874384716014</v>
      </c>
      <c r="BJ75" s="62">
        <f t="shared" si="92"/>
        <v>423.72519584013378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225.74447999999992</v>
      </c>
      <c r="CA75" s="14">
        <f t="shared" si="93"/>
        <v>55.36154088431374</v>
      </c>
      <c r="CB75" s="22">
        <f t="shared" si="64"/>
        <v>489.59298637351299</v>
      </c>
      <c r="CC75" s="62">
        <f t="shared" si="65"/>
        <v>756.92470061103404</v>
      </c>
      <c r="CD75" s="62">
        <f ca="1">AVERAGE(OFFSET($CC$3,0,0,'Données projet'!$E$12+1,1))-AVERAGE(OFFSET($H$3,0,0,'Données projet'!$E$12+1,1))</f>
        <v>496.33873798282525</v>
      </c>
      <c r="CE75" s="62">
        <f t="shared" si="94"/>
        <v>280.25465074992246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4.4871794871794863</v>
      </c>
      <c r="CT75" s="13">
        <f>IF('Données projet'!$A$140&gt;35,CT74+CS75-DB74,IF(A75&lt;'Données projet'!$A$140,$CQ$205^A75,IF(A75='Données projet'!$A$140,'Données projet'!$B$140,CT74+CS75-DB74)))</f>
        <v>232.69230769230762</v>
      </c>
      <c r="CU75" s="18">
        <f>CT75*VLOOKUP('Données projet'!$B$13,Paramètres!$A$1:$I$89,3,0)*VLOOKUP('Données projet'!$B$13,Paramètres!$A$1:$I$89,5,0)</f>
        <v>221.42999999999995</v>
      </c>
      <c r="CV75" s="14">
        <f t="shared" si="95"/>
        <v>54.425571861733111</v>
      </c>
      <c r="CW75" s="22">
        <f t="shared" si="67"/>
        <v>480.44845432585163</v>
      </c>
      <c r="CX75" s="62">
        <f t="shared" si="68"/>
        <v>747.78016856337274</v>
      </c>
      <c r="CY75" s="62">
        <f ca="1">AVERAGE(OFFSET($CX$3,0,0,'Données projet'!$E$13+1,1))-AVERAGE(OFFSET($H$3,0,0,'Données projet'!$E$13+1,1))</f>
        <v>441.15969139782891</v>
      </c>
      <c r="CZ75" s="62">
        <f t="shared" si="96"/>
        <v>315.06466790224783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5.6843418860808015E-14</v>
      </c>
      <c r="DP75" s="18">
        <f>DO75*VLOOKUP('Données projet'!$B$14,Paramètres!$A$1:$I$89,3,0)*VLOOKUP('Données projet'!$B$14,Paramètres!$A$1:$I$89,5,0)</f>
        <v>4.4337866711430253E-14</v>
      </c>
      <c r="DQ75" s="14">
        <f t="shared" si="97"/>
        <v>7.3222115536967035E-13</v>
      </c>
      <c r="DR75" s="22">
        <f t="shared" si="70"/>
        <v>1.3525069634579169E-12</v>
      </c>
      <c r="DS75" s="62">
        <f t="shared" si="71"/>
        <v>267.33171423752248</v>
      </c>
      <c r="DT75" s="62">
        <f ca="1">AVERAGE(OFFSET($DS$3,0,0,'Données projet'!$E$14+1,1))-AVERAGE(OFFSET($H$3,0,0,'Données projet'!$E$14+1,1))</f>
        <v>309.21625451786218</v>
      </c>
      <c r="DU75" s="62">
        <f t="shared" si="98"/>
        <v>302.59481222418219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2.6</v>
      </c>
      <c r="EJ75" s="13">
        <f>IF('Données projet'!$A$192&gt;35,EJ74+EI75-ER74,IF(A75&lt;'Données projet'!$A$192,$EG$205^A75,IF(A75='Données projet'!$A$192,'Données projet'!$B$192,EJ74+EI75-ER74)))</f>
        <v>214.19999999999987</v>
      </c>
      <c r="EK75" s="18">
        <f>EJ75*VLOOKUP('Données projet'!$B$15,Paramètres!$A$1:$I$89,3,0)*VLOOKUP('Données projet'!$B$15,Paramètres!$A$1:$I$89,5,0)</f>
        <v>187.12511999999992</v>
      </c>
      <c r="EL75" s="14">
        <f t="shared" si="99"/>
        <v>46.903794805770502</v>
      </c>
      <c r="EM75" s="22">
        <f t="shared" si="73"/>
        <v>407.60035995338347</v>
      </c>
      <c r="EN75" s="62">
        <f t="shared" si="74"/>
        <v>674.93207419090459</v>
      </c>
      <c r="EO75" s="62">
        <f ca="1">AVERAGE(OFFSET($EN$3,0,0,'Données projet'!$E$15+1,1))-AVERAGE(OFFSET($H$3,0,0,'Données projet'!$E$15+1,1))</f>
        <v>298.56812743477741</v>
      </c>
      <c r="EP75" s="62">
        <f t="shared" si="100"/>
        <v>276.01618888357268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5.1282051282051269</v>
      </c>
      <c r="FE75" s="13">
        <f>IF('Données projet'!$A$218&gt;35,FE74+FD75-FM74,IF(A75&lt;'Données projet'!$A$218,$FB$205^A75,IF(A75='Données projet'!$A$218,'Données projet'!$B$218,FE74+FD75-FM74)))</f>
        <v>287.82051282051287</v>
      </c>
      <c r="FF75" s="18">
        <f>FE75*VLOOKUP('Données projet'!$B$16,Paramètres!$A$1:$I$89,3,0)*VLOOKUP('Données projet'!$B$16,Paramètres!$A$1:$I$89,5,0)</f>
        <v>193.07000000000005</v>
      </c>
      <c r="FG75" s="14">
        <f t="shared" si="101"/>
        <v>48.218051794342536</v>
      </c>
      <c r="FH75" s="22">
        <f t="shared" si="76"/>
        <v>420.24335687514667</v>
      </c>
      <c r="FI75" s="62">
        <f t="shared" si="77"/>
        <v>687.57507111266773</v>
      </c>
      <c r="FJ75" s="62">
        <f ca="1">AVERAGE(OFFSET($FI$3,0,0,'Données projet'!$E$16+1,1))-AVERAGE(OFFSET($H$3,0,0,'Données projet'!$E$16+1,1))</f>
        <v>396.0878652679051</v>
      </c>
      <c r="FK75" s="62">
        <f t="shared" si="102"/>
        <v>327.26339199235406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9">
        <f t="shared" si="56"/>
        <v>183.33333333333334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12.555555555555555</v>
      </c>
      <c r="N76" s="14">
        <f>IF('Données projet'!$A$36&gt;35,N75+M76-V75,IF(A76&lt;'Données projet'!$A$36,$K$205^A76,IF(A76='Données projet'!$A$36,'Données projet'!$B$36,N75+M76-V75)))</f>
        <v>324.22222222222194</v>
      </c>
      <c r="O76" s="14">
        <f>N76*VLOOKUP('Données projet'!$B$9,Paramètres!$A$1:$I$89,3,0)*VLOOKUP('Données projet'!$B$9,Paramètres!$A$1:$I$89,5,0)</f>
        <v>278.18266666666648</v>
      </c>
      <c r="P76" s="14">
        <f t="shared" si="87"/>
        <v>66.582808678967709</v>
      </c>
      <c r="Q76" s="22">
        <f t="shared" si="54"/>
        <v>600.46653622697943</v>
      </c>
      <c r="R76" s="62">
        <f t="shared" si="55"/>
        <v>868.24932042490127</v>
      </c>
      <c r="S76" s="62">
        <f ca="1">AVERAGE(OFFSET($R$3,0,0,'Données projet'!$E$9+1,1))-AVERAGE(OFFSET($H$3,0,0,'Données projet'!$E$9+1,1))</f>
        <v>478.11504516179713</v>
      </c>
      <c r="T76" s="62">
        <f t="shared" si="88"/>
        <v>249.93713224442419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4.1799999999999953</v>
      </c>
      <c r="AI76" s="14">
        <f>IF('Données projet'!$A$62&gt;35,AI75+AH76-AQ75,IF(A76&lt;'Données projet'!$A$62,$AF$205^A76,IF(A76='Données projet'!$A$62,'Données projet'!$B$62,AI75+AH76-AQ75)))</f>
        <v>315.13999999999993</v>
      </c>
      <c r="AJ76" s="14">
        <f>AI76*VLOOKUP('Données projet'!$B$10,Paramètres!$A$1:$I$89,3,0)*VLOOKUP('Données projet'!$B$10,Paramètres!$A$1:$I$89,5,0)</f>
        <v>250.72538399999993</v>
      </c>
      <c r="AK76" s="14">
        <f t="shared" si="89"/>
        <v>60.741244716227833</v>
      </c>
      <c r="AL76" s="22">
        <f t="shared" si="58"/>
        <v>542.47104501409672</v>
      </c>
      <c r="AM76" s="62">
        <f t="shared" si="59"/>
        <v>810.25382921201845</v>
      </c>
      <c r="AN76" s="62">
        <f ca="1">AVERAGE(OFFSET($AM$3,0,0,'Données projet'!$E$10+1,1))-AVERAGE(OFFSET($H$3,0,0,'Données projet'!$E$10+1,1))</f>
        <v>394.49874384716014</v>
      </c>
      <c r="AO76" s="62">
        <f t="shared" si="90"/>
        <v>423.72519584013378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4.1799999999999953</v>
      </c>
      <c r="BD76" s="13">
        <f>IF('Données projet'!$A$88&gt;35,BD75+BC76-BL75,IF(A76&lt;'Données projet'!$A$88,$BA$205^A76,IF(A76='Données projet'!$A$88,'Données projet'!$B$88,BD75+BC76-BL75)))</f>
        <v>315.13999999999993</v>
      </c>
      <c r="BE76" s="14">
        <f>BD76*VLOOKUP('Données projet'!$B$11,Paramètres!$A$1:$I$89,3,0)*VLOOKUP('Données projet'!$B$11,Paramètres!$A$1:$I$89,5,0)</f>
        <v>250.72538399999993</v>
      </c>
      <c r="BF76" s="14">
        <f t="shared" si="91"/>
        <v>60.741244716227833</v>
      </c>
      <c r="BG76" s="22">
        <f t="shared" si="61"/>
        <v>542.47104501409672</v>
      </c>
      <c r="BH76" s="62">
        <f t="shared" si="62"/>
        <v>810.25382921201845</v>
      </c>
      <c r="BI76" s="62">
        <f ca="1">AVERAGE(OFFSET($BH$3,0,0,'Données projet'!$E$11+1,1))-AVERAGE(OFFSET($H$3,0,0,'Données projet'!$E$11+1,1))</f>
        <v>394.49874384716014</v>
      </c>
      <c r="BJ76" s="62">
        <f t="shared" si="92"/>
        <v>423.72519584013378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231.74111999999991</v>
      </c>
      <c r="CA76" s="14">
        <f t="shared" si="93"/>
        <v>56.658986982752438</v>
      </c>
      <c r="CB76" s="22">
        <f t="shared" si="64"/>
        <v>502.29685299496032</v>
      </c>
      <c r="CC76" s="62">
        <f t="shared" si="65"/>
        <v>770.07963719288205</v>
      </c>
      <c r="CD76" s="62">
        <f ca="1">AVERAGE(OFFSET($CC$3,0,0,'Données projet'!$E$12+1,1))-AVERAGE(OFFSET($H$3,0,0,'Données projet'!$E$12+1,1))</f>
        <v>496.33873798282525</v>
      </c>
      <c r="CE76" s="62">
        <f t="shared" si="94"/>
        <v>280.25465074992246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4.4871794871794863</v>
      </c>
      <c r="CT76" s="13">
        <f>IF('Données projet'!$A$140&gt;35,CT75+CS76-DB75,IF(A76&lt;'Données projet'!$A$140,$CQ$205^A76,IF(A76='Données projet'!$A$140,'Données projet'!$B$140,CT75+CS76-DB75)))</f>
        <v>237.1794871794871</v>
      </c>
      <c r="CU76" s="18">
        <f>CT76*VLOOKUP('Données projet'!$B$13,Paramètres!$A$1:$I$89,3,0)*VLOOKUP('Données projet'!$B$13,Paramètres!$A$1:$I$89,5,0)</f>
        <v>225.69999999999993</v>
      </c>
      <c r="CV76" s="14">
        <f t="shared" si="95"/>
        <v>55.351902227969966</v>
      </c>
      <c r="CW76" s="22">
        <f t="shared" si="67"/>
        <v>489.49872971371423</v>
      </c>
      <c r="CX76" s="62">
        <f t="shared" si="68"/>
        <v>757.28151391163601</v>
      </c>
      <c r="CY76" s="62">
        <f ca="1">AVERAGE(OFFSET($CX$3,0,0,'Données projet'!$E$13+1,1))-AVERAGE(OFFSET($H$3,0,0,'Données projet'!$E$13+1,1))</f>
        <v>441.15969139782891</v>
      </c>
      <c r="CZ76" s="62">
        <f t="shared" si="96"/>
        <v>315.06466790224783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5.6843418860808015E-14</v>
      </c>
      <c r="DP76" s="18">
        <f>DO76*VLOOKUP('Données projet'!$B$14,Paramètres!$A$1:$I$89,3,0)*VLOOKUP('Données projet'!$B$14,Paramètres!$A$1:$I$89,5,0)</f>
        <v>4.4337866711430253E-14</v>
      </c>
      <c r="DQ76" s="14">
        <f t="shared" si="97"/>
        <v>7.3222115536967035E-13</v>
      </c>
      <c r="DR76" s="22">
        <f t="shared" si="70"/>
        <v>1.3525069634579169E-12</v>
      </c>
      <c r="DS76" s="62">
        <f t="shared" si="71"/>
        <v>267.78278419792315</v>
      </c>
      <c r="DT76" s="62">
        <f ca="1">AVERAGE(OFFSET($DS$3,0,0,'Données projet'!$E$14+1,1))-AVERAGE(OFFSET($H$3,0,0,'Données projet'!$E$14+1,1))</f>
        <v>309.21625451786218</v>
      </c>
      <c r="DU76" s="62">
        <f t="shared" si="98"/>
        <v>302.59481222418219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2.6</v>
      </c>
      <c r="EJ76" s="13">
        <f>IF('Données projet'!$A$192&gt;35,EJ75+EI76-ER75,IF(A76&lt;'Données projet'!$A$192,$EG$205^A76,IF(A76='Données projet'!$A$192,'Données projet'!$B$192,EJ75+EI76-ER75)))</f>
        <v>216.79999999999987</v>
      </c>
      <c r="EK76" s="18">
        <f>EJ76*VLOOKUP('Données projet'!$B$15,Paramètres!$A$1:$I$89,3,0)*VLOOKUP('Données projet'!$B$15,Paramètres!$A$1:$I$89,5,0)</f>
        <v>189.39647999999991</v>
      </c>
      <c r="EL76" s="14">
        <f t="shared" si="99"/>
        <v>47.406498452084506</v>
      </c>
      <c r="EM76" s="22">
        <f t="shared" si="73"/>
        <v>412.4318541373803</v>
      </c>
      <c r="EN76" s="62">
        <f t="shared" si="74"/>
        <v>680.21463833530208</v>
      </c>
      <c r="EO76" s="62">
        <f ca="1">AVERAGE(OFFSET($EN$3,0,0,'Données projet'!$E$15+1,1))-AVERAGE(OFFSET($H$3,0,0,'Données projet'!$E$15+1,1))</f>
        <v>298.56812743477741</v>
      </c>
      <c r="EP76" s="62">
        <f t="shared" si="100"/>
        <v>276.01618888357268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5.1282051282051269</v>
      </c>
      <c r="FE76" s="13">
        <f>IF('Données projet'!$A$218&gt;35,FE75+FD76-FM75,IF(A76&lt;'Données projet'!$A$218,$FB$205^A76,IF(A76='Données projet'!$A$218,'Données projet'!$B$218,FE75+FD76-FM75)))</f>
        <v>292.94871794871801</v>
      </c>
      <c r="FF76" s="18">
        <f>FE76*VLOOKUP('Données projet'!$B$16,Paramètres!$A$1:$I$89,3,0)*VLOOKUP('Données projet'!$B$16,Paramètres!$A$1:$I$89,5,0)</f>
        <v>196.51000000000005</v>
      </c>
      <c r="FG76" s="14">
        <f t="shared" si="101"/>
        <v>48.976387297804322</v>
      </c>
      <c r="FH76" s="22">
        <f t="shared" si="76"/>
        <v>427.55545787700925</v>
      </c>
      <c r="FI76" s="62">
        <f t="shared" si="77"/>
        <v>695.33824207493103</v>
      </c>
      <c r="FJ76" s="62">
        <f ca="1">AVERAGE(OFFSET($FI$3,0,0,'Données projet'!$E$16+1,1))-AVERAGE(OFFSET($H$3,0,0,'Données projet'!$E$16+1,1))</f>
        <v>396.0878652679051</v>
      </c>
      <c r="FK76" s="62">
        <f t="shared" si="102"/>
        <v>327.26339199235406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9">
        <f t="shared" si="56"/>
        <v>183.33333333333334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12.555555555555555</v>
      </c>
      <c r="N77" s="14">
        <f>IF('Données projet'!$A$36&gt;35,N76+M77-V76,IF(A77&lt;'Données projet'!$A$36,$K$205^A77,IF(A77='Données projet'!$A$36,'Données projet'!$B$36,N76+M77-V76)))</f>
        <v>336.77777777777749</v>
      </c>
      <c r="O77" s="14">
        <f>N77*VLOOKUP('Données projet'!$B$9,Paramètres!$A$1:$I$89,3,0)*VLOOKUP('Données projet'!$B$9,Paramètres!$A$1:$I$89,5,0)</f>
        <v>288.95533333333316</v>
      </c>
      <c r="P77" s="14">
        <f t="shared" si="87"/>
        <v>68.856046690289261</v>
      </c>
      <c r="Q77" s="22">
        <f t="shared" si="54"/>
        <v>623.18815354114236</v>
      </c>
      <c r="R77" s="62">
        <f t="shared" si="55"/>
        <v>891.41418264409322</v>
      </c>
      <c r="S77" s="62">
        <f ca="1">AVERAGE(OFFSET($R$3,0,0,'Données projet'!$E$9+1,1))-AVERAGE(OFFSET($H$3,0,0,'Données projet'!$E$9+1,1))</f>
        <v>478.11504516179713</v>
      </c>
      <c r="T77" s="62">
        <f t="shared" si="88"/>
        <v>249.93713224442419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4.1799999999999953</v>
      </c>
      <c r="AI77" s="14">
        <f>IF('Données projet'!$A$62&gt;35,AI76+AH77-AQ76,IF(A77&lt;'Données projet'!$A$62,$AF$205^A77,IF(A77='Données projet'!$A$62,'Données projet'!$B$62,AI76+AH77-AQ76)))</f>
        <v>319.31999999999994</v>
      </c>
      <c r="AJ77" s="14">
        <f>AI77*VLOOKUP('Données projet'!$B$10,Paramètres!$A$1:$I$89,3,0)*VLOOKUP('Données projet'!$B$10,Paramètres!$A$1:$I$89,5,0)</f>
        <v>254.05099199999995</v>
      </c>
      <c r="AK77" s="14">
        <f t="shared" si="89"/>
        <v>61.45258663488832</v>
      </c>
      <c r="AL77" s="22">
        <f t="shared" si="58"/>
        <v>549.50206612243039</v>
      </c>
      <c r="AM77" s="62">
        <f t="shared" si="59"/>
        <v>817.72809522538125</v>
      </c>
      <c r="AN77" s="62">
        <f ca="1">AVERAGE(OFFSET($AM$3,0,0,'Données projet'!$E$10+1,1))-AVERAGE(OFFSET($H$3,0,0,'Données projet'!$E$10+1,1))</f>
        <v>394.49874384716014</v>
      </c>
      <c r="AO77" s="62">
        <f t="shared" si="90"/>
        <v>423.72519584013378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4.1799999999999953</v>
      </c>
      <c r="BD77" s="13">
        <f>IF('Données projet'!$A$88&gt;35,BD76+BC77-BL76,IF(A77&lt;'Données projet'!$A$88,$BA$205^A77,IF(A77='Données projet'!$A$88,'Données projet'!$B$88,BD76+BC77-BL76)))</f>
        <v>319.31999999999994</v>
      </c>
      <c r="BE77" s="14">
        <f>BD77*VLOOKUP('Données projet'!$B$11,Paramètres!$A$1:$I$89,3,0)*VLOOKUP('Données projet'!$B$11,Paramètres!$A$1:$I$89,5,0)</f>
        <v>254.05099199999995</v>
      </c>
      <c r="BF77" s="14">
        <f t="shared" si="91"/>
        <v>61.45258663488832</v>
      </c>
      <c r="BG77" s="22">
        <f t="shared" si="61"/>
        <v>549.50206612243039</v>
      </c>
      <c r="BH77" s="62">
        <f t="shared" si="62"/>
        <v>817.72809522538125</v>
      </c>
      <c r="BI77" s="62">
        <f ca="1">AVERAGE(OFFSET($BH$3,0,0,'Données projet'!$E$11+1,1))-AVERAGE(OFFSET($H$3,0,0,'Données projet'!$E$11+1,1))</f>
        <v>394.49874384716014</v>
      </c>
      <c r="BJ77" s="62">
        <f t="shared" si="92"/>
        <v>423.72519584013378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237.73775999999989</v>
      </c>
      <c r="CA77" s="14">
        <f t="shared" si="93"/>
        <v>57.952530566790166</v>
      </c>
      <c r="CB77" s="22">
        <f t="shared" si="64"/>
        <v>514.99392273715932</v>
      </c>
      <c r="CC77" s="62">
        <f t="shared" si="65"/>
        <v>783.21995184011018</v>
      </c>
      <c r="CD77" s="62">
        <f ca="1">AVERAGE(OFFSET($CC$3,0,0,'Données projet'!$E$12+1,1))-AVERAGE(OFFSET($H$3,0,0,'Données projet'!$E$12+1,1))</f>
        <v>496.33873798282525</v>
      </c>
      <c r="CE77" s="62">
        <f t="shared" si="94"/>
        <v>280.25465074992246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4.4871794871794863</v>
      </c>
      <c r="CT77" s="13">
        <f>IF('Données projet'!$A$140&gt;35,CT76+CS77-DB76,IF(A77&lt;'Données projet'!$A$140,$CQ$205^A77,IF(A77='Données projet'!$A$140,'Données projet'!$B$140,CT76+CS77-DB76)))</f>
        <v>241.66666666666657</v>
      </c>
      <c r="CU77" s="18">
        <f>CT77*VLOOKUP('Données projet'!$B$13,Paramètres!$A$1:$I$89,3,0)*VLOOKUP('Données projet'!$B$13,Paramètres!$A$1:$I$89,5,0)</f>
        <v>229.96999999999991</v>
      </c>
      <c r="CV77" s="14">
        <f t="shared" si="95"/>
        <v>56.276194780495985</v>
      </c>
      <c r="CW77" s="22">
        <f t="shared" si="67"/>
        <v>498.54545590936368</v>
      </c>
      <c r="CX77" s="62">
        <f t="shared" si="68"/>
        <v>766.77148501231454</v>
      </c>
      <c r="CY77" s="62">
        <f ca="1">AVERAGE(OFFSET($CX$3,0,0,'Données projet'!$E$13+1,1))-AVERAGE(OFFSET($H$3,0,0,'Données projet'!$E$13+1,1))</f>
        <v>441.15969139782891</v>
      </c>
      <c r="CZ77" s="62">
        <f t="shared" si="96"/>
        <v>315.06466790224783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5.6843418860808015E-14</v>
      </c>
      <c r="DP77" s="18">
        <f>DO77*VLOOKUP('Données projet'!$B$14,Paramètres!$A$1:$I$89,3,0)*VLOOKUP('Données projet'!$B$14,Paramètres!$A$1:$I$89,5,0)</f>
        <v>4.4337866711430253E-14</v>
      </c>
      <c r="DQ77" s="14">
        <f t="shared" si="97"/>
        <v>7.3222115536967035E-13</v>
      </c>
      <c r="DR77" s="22">
        <f t="shared" si="70"/>
        <v>1.3525069634579169E-12</v>
      </c>
      <c r="DS77" s="62">
        <f t="shared" si="71"/>
        <v>268.22602910295223</v>
      </c>
      <c r="DT77" s="62">
        <f ca="1">AVERAGE(OFFSET($DS$3,0,0,'Données projet'!$E$14+1,1))-AVERAGE(OFFSET($H$3,0,0,'Données projet'!$E$14+1,1))</f>
        <v>309.21625451786218</v>
      </c>
      <c r="DU77" s="62">
        <f t="shared" si="98"/>
        <v>302.59481222418219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2.6</v>
      </c>
      <c r="EJ77" s="13">
        <f>IF('Données projet'!$A$192&gt;35,EJ76+EI77-ER76,IF(A77&lt;'Données projet'!$A$192,$EG$205^A77,IF(A77='Données projet'!$A$192,'Données projet'!$B$192,EJ76+EI77-ER76)))</f>
        <v>219.39999999999986</v>
      </c>
      <c r="EK77" s="18">
        <f>EJ77*VLOOKUP('Données projet'!$B$15,Paramètres!$A$1:$I$89,3,0)*VLOOKUP('Données projet'!$B$15,Paramètres!$A$1:$I$89,5,0)</f>
        <v>191.6678399999999</v>
      </c>
      <c r="EL77" s="14">
        <f t="shared" si="99"/>
        <v>47.908500825580958</v>
      </c>
      <c r="EM77" s="22">
        <f t="shared" si="73"/>
        <v>417.26212693788665</v>
      </c>
      <c r="EN77" s="62">
        <f t="shared" si="74"/>
        <v>685.48815604083757</v>
      </c>
      <c r="EO77" s="62">
        <f ca="1">AVERAGE(OFFSET($EN$3,0,0,'Données projet'!$E$15+1,1))-AVERAGE(OFFSET($H$3,0,0,'Données projet'!$E$15+1,1))</f>
        <v>298.56812743477741</v>
      </c>
      <c r="EP77" s="62">
        <f t="shared" si="100"/>
        <v>276.01618888357268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5.1282051282051269</v>
      </c>
      <c r="FE77" s="13">
        <f>IF('Données projet'!$A$218&gt;35,FE76+FD77-FM76,IF(A77&lt;'Données projet'!$A$218,$FB$205^A77,IF(A77='Données projet'!$A$218,'Données projet'!$B$218,FE76+FD77-FM76)))</f>
        <v>298.07692307692315</v>
      </c>
      <c r="FF77" s="18">
        <f>FE77*VLOOKUP('Données projet'!$B$16,Paramètres!$A$1:$I$89,3,0)*VLOOKUP('Données projet'!$B$16,Paramètres!$A$1:$I$89,5,0)</f>
        <v>199.95000000000007</v>
      </c>
      <c r="FG77" s="14">
        <f t="shared" si="101"/>
        <v>49.733179078835313</v>
      </c>
      <c r="FH77" s="22">
        <f t="shared" si="76"/>
        <v>434.8648702289716</v>
      </c>
      <c r="FI77" s="62">
        <f t="shared" si="77"/>
        <v>703.0908993319224</v>
      </c>
      <c r="FJ77" s="62">
        <f ca="1">AVERAGE(OFFSET($FI$3,0,0,'Données projet'!$E$16+1,1))-AVERAGE(OFFSET($H$3,0,0,'Données projet'!$E$16+1,1))</f>
        <v>396.0878652679051</v>
      </c>
      <c r="FK77" s="62">
        <f t="shared" si="102"/>
        <v>327.26339199235406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9">
        <f t="shared" si="56"/>
        <v>183.33333333333334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12.555555555555555</v>
      </c>
      <c r="N78" s="14">
        <f>IF('Données projet'!$A$36&gt;35,N77+M78-V77,IF(A78&lt;'Données projet'!$A$36,$K$205^A78,IF(A78='Données projet'!$A$36,'Données projet'!$B$36,N77+M78-V77)))</f>
        <v>349.33333333333303</v>
      </c>
      <c r="O78" s="14">
        <f>N78*VLOOKUP('Données projet'!$B$9,Paramètres!$A$1:$I$89,3,0)*VLOOKUP('Données projet'!$B$9,Paramètres!$A$1:$I$89,5,0)</f>
        <v>299.72799999999978</v>
      </c>
      <c r="P78" s="14">
        <f t="shared" si="87"/>
        <v>71.119438818118951</v>
      </c>
      <c r="Q78" s="22">
        <f t="shared" si="54"/>
        <v>645.89262260822341</v>
      </c>
      <c r="R78" s="62">
        <f t="shared" si="55"/>
        <v>914.55420730804826</v>
      </c>
      <c r="S78" s="62">
        <f ca="1">AVERAGE(OFFSET($R$3,0,0,'Données projet'!$E$9+1,1))-AVERAGE(OFFSET($H$3,0,0,'Données projet'!$E$9+1,1))</f>
        <v>478.11504516179713</v>
      </c>
      <c r="T78" s="62">
        <f t="shared" si="88"/>
        <v>249.93713224442419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323.5</v>
      </c>
      <c r="AG78" s="13">
        <f>VLOOKUP(A78,'Données projet'!$A$61:$I$81,9,0)</f>
        <v>4.1799999999999953</v>
      </c>
      <c r="AH78" s="13">
        <f t="array" ref="AH78">INDEX(AG:AG,MIN(IF(ISNUMBER(AG78:AG274),ROW(AG78:AG274),"")))</f>
        <v>4.1799999999999953</v>
      </c>
      <c r="AI78" s="14">
        <f>IF('Données projet'!$A$62&gt;35,AI77+AH78-AQ77,IF(A78&lt;'Données projet'!$A$62,$AF$205^A78,IF(A78='Données projet'!$A$62,'Données projet'!$B$62,AI77+AH78-AQ77)))</f>
        <v>323.49999999999994</v>
      </c>
      <c r="AJ78" s="14">
        <f>AI78*VLOOKUP('Données projet'!$B$10,Paramètres!$A$1:$I$89,3,0)*VLOOKUP('Données projet'!$B$10,Paramètres!$A$1:$I$89,5,0)</f>
        <v>257.3766</v>
      </c>
      <c r="AK78" s="14">
        <f t="shared" si="89"/>
        <v>62.162845465331493</v>
      </c>
      <c r="AL78" s="22">
        <f t="shared" si="58"/>
        <v>556.53120085211901</v>
      </c>
      <c r="AM78" s="62">
        <f t="shared" si="59"/>
        <v>825.19278555194387</v>
      </c>
      <c r="AN78" s="62">
        <f ca="1">AVERAGE(OFFSET($AM$3,0,0,'Données projet'!$E$10+1,1))-AVERAGE(OFFSET($H$3,0,0,'Données projet'!$E$10+1,1))</f>
        <v>394.49874384716014</v>
      </c>
      <c r="AO78" s="62">
        <f t="shared" si="90"/>
        <v>423.72519584013378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323.5</v>
      </c>
      <c r="BB78" s="13">
        <f>VLOOKUP(A78,'Données projet'!$A$87:$I$107,9,0)</f>
        <v>4.1799999999999953</v>
      </c>
      <c r="BC78" s="13">
        <f t="array" ref="BC78">INDEX(BB:BB,MIN(IF(ISNUMBER(BB78:BB274),ROW(BB78:BB274),"")))</f>
        <v>4.1799999999999953</v>
      </c>
      <c r="BD78" s="13">
        <f>IF('Données projet'!$A$88&gt;35,BD77+BC78-BL77,IF(A78&lt;'Données projet'!$A$88,$BA$205^A78,IF(A78='Données projet'!$A$88,'Données projet'!$B$88,BD77+BC78-BL77)))</f>
        <v>323.49999999999994</v>
      </c>
      <c r="BE78" s="14">
        <f>BD78*VLOOKUP('Données projet'!$B$11,Paramètres!$A$1:$I$89,3,0)*VLOOKUP('Données projet'!$B$11,Paramètres!$A$1:$I$89,5,0)</f>
        <v>257.3766</v>
      </c>
      <c r="BF78" s="14">
        <f t="shared" si="91"/>
        <v>62.162845465331493</v>
      </c>
      <c r="BG78" s="22">
        <f t="shared" si="61"/>
        <v>556.53120085211901</v>
      </c>
      <c r="BH78" s="62">
        <f t="shared" si="62"/>
        <v>825.19278555194387</v>
      </c>
      <c r="BI78" s="62">
        <f ca="1">AVERAGE(OFFSET($BH$3,0,0,'Données projet'!$E$11+1,1))-AVERAGE(OFFSET($H$3,0,0,'Données projet'!$E$11+1,1))</f>
        <v>394.49874384716014</v>
      </c>
      <c r="BJ78" s="62">
        <f t="shared" si="92"/>
        <v>423.72519584013378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243.73439999999988</v>
      </c>
      <c r="CA78" s="14">
        <f t="shared" si="93"/>
        <v>59.242281392848767</v>
      </c>
      <c r="CB78" s="22">
        <f t="shared" si="64"/>
        <v>527.68438675921141</v>
      </c>
      <c r="CC78" s="62">
        <f t="shared" si="65"/>
        <v>796.34597145903626</v>
      </c>
      <c r="CD78" s="62">
        <f ca="1">AVERAGE(OFFSET($CC$3,0,0,'Données projet'!$E$12+1,1))-AVERAGE(OFFSET($H$3,0,0,'Données projet'!$E$12+1,1))</f>
        <v>496.33873798282525</v>
      </c>
      <c r="CE78" s="62">
        <f t="shared" si="94"/>
        <v>280.25465074992246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246.15384615384613</v>
      </c>
      <c r="CR78" s="13">
        <f>VLOOKUP(A78,'Données projet'!$A$139:$I$159,9,0)</f>
        <v>4.4871794871794863</v>
      </c>
      <c r="CS78" s="13">
        <f t="array" ref="CS78">INDEX(CR:CR,MIN(IF(ISNUMBER(CR78:CR274),ROW(CR78:CR274),"")))</f>
        <v>4.4871794871794863</v>
      </c>
      <c r="CT78" s="13">
        <f>IF('Données projet'!$A$140&gt;35,CT77+CS78-DB77,IF(A78&lt;'Données projet'!$A$140,$CQ$205^A78,IF(A78='Données projet'!$A$140,'Données projet'!$B$140,CT77+CS78-DB77)))</f>
        <v>246.15384615384605</v>
      </c>
      <c r="CU78" s="18">
        <f>CT78*VLOOKUP('Données projet'!$B$13,Paramètres!$A$1:$I$89,3,0)*VLOOKUP('Données projet'!$B$13,Paramètres!$A$1:$I$89,5,0)</f>
        <v>234.2399999999999</v>
      </c>
      <c r="CV78" s="14">
        <f t="shared" si="95"/>
        <v>57.19849172024869</v>
      </c>
      <c r="CW78" s="22">
        <f t="shared" si="67"/>
        <v>507.58870641276627</v>
      </c>
      <c r="CX78" s="62">
        <f t="shared" si="68"/>
        <v>776.25029111259107</v>
      </c>
      <c r="CY78" s="62">
        <f ca="1">AVERAGE(OFFSET($CX$3,0,0,'Données projet'!$E$13+1,1))-AVERAGE(OFFSET($H$3,0,0,'Données projet'!$E$13+1,1))</f>
        <v>441.15969139782891</v>
      </c>
      <c r="CZ78" s="62">
        <f t="shared" si="96"/>
        <v>315.06466790224783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30.769230769230766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5.6843418860808015E-14</v>
      </c>
      <c r="DP78" s="18">
        <f>DO78*VLOOKUP('Données projet'!$B$14,Paramètres!$A$1:$I$89,3,0)*VLOOKUP('Données projet'!$B$14,Paramètres!$A$1:$I$89,5,0)</f>
        <v>4.4337866711430253E-14</v>
      </c>
      <c r="DQ78" s="14">
        <f t="shared" si="97"/>
        <v>7.3222115536967035E-13</v>
      </c>
      <c r="DR78" s="22">
        <f t="shared" si="70"/>
        <v>1.3525069634579169E-12</v>
      </c>
      <c r="DS78" s="62">
        <f t="shared" si="71"/>
        <v>268.66158469982616</v>
      </c>
      <c r="DT78" s="62">
        <f ca="1">AVERAGE(OFFSET($DS$3,0,0,'Données projet'!$E$14+1,1))-AVERAGE(OFFSET($H$3,0,0,'Données projet'!$E$14+1,1))</f>
        <v>309.21625451786218</v>
      </c>
      <c r="DU78" s="62">
        <f t="shared" si="98"/>
        <v>302.59481222418219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222</v>
      </c>
      <c r="EH78" s="13">
        <f>VLOOKUP(A78,'Données projet'!$A$191:$I$211,9,0)</f>
        <v>2.6</v>
      </c>
      <c r="EI78" s="13">
        <f t="array" ref="EI78">INDEX(EH:EH,MIN(IF(ISNUMBER(EH78:EH274),ROW(EH78:EH274),"")))</f>
        <v>2.6</v>
      </c>
      <c r="EJ78" s="13">
        <f>IF('Données projet'!$A$192&gt;35,EJ77+EI78-ER77,IF(A78&lt;'Données projet'!$A$192,$EG$205^A78,IF(A78='Données projet'!$A$192,'Données projet'!$B$192,EJ77+EI78-ER77)))</f>
        <v>221.99999999999986</v>
      </c>
      <c r="EK78" s="18">
        <f>EJ78*VLOOKUP('Données projet'!$B$15,Paramètres!$A$1:$I$89,3,0)*VLOOKUP('Données projet'!$B$15,Paramètres!$A$1:$I$89,5,0)</f>
        <v>193.93919999999991</v>
      </c>
      <c r="EL78" s="14">
        <f t="shared" si="99"/>
        <v>48.409811198069342</v>
      </c>
      <c r="EM78" s="22">
        <f t="shared" si="73"/>
        <v>422.091194503304</v>
      </c>
      <c r="EN78" s="62">
        <f t="shared" si="74"/>
        <v>690.75277920312874</v>
      </c>
      <c r="EO78" s="62">
        <f ca="1">AVERAGE(OFFSET($EN$3,0,0,'Données projet'!$E$15+1,1))-AVERAGE(OFFSET($H$3,0,0,'Données projet'!$E$15+1,1))</f>
        <v>298.56812743477741</v>
      </c>
      <c r="EP78" s="62">
        <f t="shared" si="100"/>
        <v>276.01618888357268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303.20512820512818</v>
      </c>
      <c r="FC78" s="13">
        <f>VLOOKUP(A78,'Données projet'!$A$217:$I$237,9,0)</f>
        <v>5.1282051282051269</v>
      </c>
      <c r="FD78" s="13">
        <f t="array" ref="FD78">INDEX(FC:FC,MIN(IF(ISNUMBER(FC78:FC274),ROW(FC78:FC274),"")))</f>
        <v>5.1282051282051269</v>
      </c>
      <c r="FE78" s="13">
        <f>IF('Données projet'!$A$218&gt;35,FE77+FD78-FM77,IF(A78&lt;'Données projet'!$A$218,$FB$205^A78,IF(A78='Données projet'!$A$218,'Données projet'!$B$218,FE77+FD78-FM77)))</f>
        <v>303.20512820512829</v>
      </c>
      <c r="FF78" s="18">
        <f>FE78*VLOOKUP('Données projet'!$B$16,Paramètres!$A$1:$I$89,3,0)*VLOOKUP('Données projet'!$B$16,Paramètres!$A$1:$I$89,5,0)</f>
        <v>203.39000000000007</v>
      </c>
      <c r="FG78" s="14">
        <f t="shared" si="101"/>
        <v>50.488456760806663</v>
      </c>
      <c r="FH78" s="22">
        <f t="shared" si="76"/>
        <v>442.17164552507165</v>
      </c>
      <c r="FI78" s="62">
        <f t="shared" si="77"/>
        <v>710.8332302248964</v>
      </c>
      <c r="FJ78" s="62">
        <f ca="1">AVERAGE(OFFSET($FI$3,0,0,'Données projet'!$E$16+1,1))-AVERAGE(OFFSET($H$3,0,0,'Données projet'!$E$16+1,1))</f>
        <v>396.0878652679051</v>
      </c>
      <c r="FK78" s="62">
        <f t="shared" si="102"/>
        <v>327.26339199235406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9">
        <f t="shared" si="56"/>
        <v>183.33333333333334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12.555555555555555</v>
      </c>
      <c r="N79" s="14">
        <f>IF('Données projet'!$A$36&gt;35,N78+M79-V78,IF(A79&lt;'Données projet'!$A$36,$K$205^A79,IF(A79='Données projet'!$A$36,'Données projet'!$B$36,N78+M79-V78)))</f>
        <v>361.88888888888857</v>
      </c>
      <c r="O79" s="14">
        <f>N79*VLOOKUP('Données projet'!$B$9,Paramètres!$A$1:$I$89,3,0)*VLOOKUP('Données projet'!$B$9,Paramètres!$A$1:$I$89,5,0)</f>
        <v>310.5006666666664</v>
      </c>
      <c r="P79" s="14">
        <f t="shared" si="87"/>
        <v>73.373379476611461</v>
      </c>
      <c r="Q79" s="22">
        <f t="shared" si="54"/>
        <v>668.58063036620888</v>
      </c>
      <c r="R79" s="62">
        <f t="shared" si="55"/>
        <v>937.67021474705825</v>
      </c>
      <c r="S79" s="62">
        <f ca="1">AVERAGE(OFFSET($R$3,0,0,'Données projet'!$E$9+1,1))-AVERAGE(OFFSET($H$3,0,0,'Données projet'!$E$9+1,1))</f>
        <v>478.11504516179713</v>
      </c>
      <c r="T79" s="62">
        <f t="shared" si="88"/>
        <v>249.93713224442419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3.5600000000000023</v>
      </c>
      <c r="AI79" s="14">
        <f>IF('Données projet'!$A$62&gt;35,AI78+AH79-AQ78,IF(A79&lt;'Données projet'!$A$62,$AF$205^A79,IF(A79='Données projet'!$A$62,'Données projet'!$B$62,AI78+AH79-AQ78)))</f>
        <v>327.05999999999995</v>
      </c>
      <c r="AJ79" s="14">
        <f>AI79*VLOOKUP('Données projet'!$B$10,Paramètres!$A$1:$I$89,3,0)*VLOOKUP('Données projet'!$B$10,Paramètres!$A$1:$I$89,5,0)</f>
        <v>260.20893599999999</v>
      </c>
      <c r="AK79" s="14">
        <f t="shared" si="89"/>
        <v>62.766912585729685</v>
      </c>
      <c r="AL79" s="22">
        <f t="shared" si="58"/>
        <v>562.51626962014586</v>
      </c>
      <c r="AM79" s="62">
        <f t="shared" si="59"/>
        <v>831.60585400099535</v>
      </c>
      <c r="AN79" s="62">
        <f ca="1">AVERAGE(OFFSET($AM$3,0,0,'Données projet'!$E$10+1,1))-AVERAGE(OFFSET($H$3,0,0,'Données projet'!$E$10+1,1))</f>
        <v>394.49874384716014</v>
      </c>
      <c r="AO79" s="62">
        <f t="shared" si="90"/>
        <v>423.72519584013378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3.5600000000000023</v>
      </c>
      <c r="BD79" s="13">
        <f>IF('Données projet'!$A$88&gt;35,BD78+BC79-BL78,IF(A79&lt;'Données projet'!$A$88,$BA$205^A79,IF(A79='Données projet'!$A$88,'Données projet'!$B$88,BD78+BC79-BL78)))</f>
        <v>327.05999999999995</v>
      </c>
      <c r="BE79" s="14">
        <f>BD79*VLOOKUP('Données projet'!$B$11,Paramètres!$A$1:$I$89,3,0)*VLOOKUP('Données projet'!$B$11,Paramètres!$A$1:$I$89,5,0)</f>
        <v>260.20893599999999</v>
      </c>
      <c r="BF79" s="14">
        <f t="shared" si="91"/>
        <v>62.766912585729685</v>
      </c>
      <c r="BG79" s="22">
        <f t="shared" si="61"/>
        <v>562.51626962014586</v>
      </c>
      <c r="BH79" s="62">
        <f t="shared" si="62"/>
        <v>831.60585400099535</v>
      </c>
      <c r="BI79" s="62">
        <f ca="1">AVERAGE(OFFSET($BH$3,0,0,'Données projet'!$E$11+1,1))-AVERAGE(OFFSET($H$3,0,0,'Données projet'!$E$11+1,1))</f>
        <v>394.49874384716014</v>
      </c>
      <c r="BJ79" s="62">
        <f t="shared" si="92"/>
        <v>423.72519584013378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249.53759999999988</v>
      </c>
      <c r="CA79" s="14">
        <f t="shared" si="93"/>
        <v>60.486914185674671</v>
      </c>
      <c r="CB79" s="22">
        <f t="shared" si="64"/>
        <v>539.95936220671649</v>
      </c>
      <c r="CC79" s="62">
        <f t="shared" si="65"/>
        <v>809.04894658756598</v>
      </c>
      <c r="CD79" s="62">
        <f ca="1">AVERAGE(OFFSET($CC$3,0,0,'Données projet'!$E$12+1,1))-AVERAGE(OFFSET($H$3,0,0,'Données projet'!$E$12+1,1))</f>
        <v>496.33873798282525</v>
      </c>
      <c r="CE79" s="62">
        <f t="shared" si="94"/>
        <v>280.25465074992246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4.3589743589743648</v>
      </c>
      <c r="CT79" s="13">
        <f>IF('Données projet'!$A$140&gt;35,CT78+CS79-DB78,IF(A79&lt;'Données projet'!$A$140,$CQ$205^A79,IF(A79='Données projet'!$A$140,'Données projet'!$B$140,CT78+CS79-DB78)))</f>
        <v>219.74358974358964</v>
      </c>
      <c r="CU79" s="18">
        <f>CT79*VLOOKUP('Données projet'!$B$13,Paramètres!$A$1:$I$89,3,0)*VLOOKUP('Données projet'!$B$13,Paramètres!$A$1:$I$89,5,0)</f>
        <v>209.10799999999989</v>
      </c>
      <c r="CV79" s="14">
        <f t="shared" si="95"/>
        <v>51.740612992017297</v>
      </c>
      <c r="CW79" s="22">
        <f t="shared" si="67"/>
        <v>454.31133429442997</v>
      </c>
      <c r="CX79" s="62">
        <f t="shared" si="68"/>
        <v>723.4009186752794</v>
      </c>
      <c r="CY79" s="62">
        <f ca="1">AVERAGE(OFFSET($CX$3,0,0,'Données projet'!$E$13+1,1))-AVERAGE(OFFSET($H$3,0,0,'Données projet'!$E$13+1,1))</f>
        <v>441.15969139782891</v>
      </c>
      <c r="CZ79" s="62">
        <f t="shared" si="96"/>
        <v>315.06466790224783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5.6843418860808015E-14</v>
      </c>
      <c r="DP79" s="18">
        <f>DO79*VLOOKUP('Données projet'!$B$14,Paramètres!$A$1:$I$89,3,0)*VLOOKUP('Données projet'!$B$14,Paramètres!$A$1:$I$89,5,0)</f>
        <v>4.4337866711430253E-14</v>
      </c>
      <c r="DQ79" s="14">
        <f t="shared" si="97"/>
        <v>7.3222115536967035E-13</v>
      </c>
      <c r="DR79" s="22">
        <f t="shared" si="70"/>
        <v>1.3525069634579169E-12</v>
      </c>
      <c r="DS79" s="62">
        <f t="shared" si="71"/>
        <v>269.08958438085079</v>
      </c>
      <c r="DT79" s="62">
        <f ca="1">AVERAGE(OFFSET($DS$3,0,0,'Données projet'!$E$14+1,1))-AVERAGE(OFFSET($H$3,0,0,'Données projet'!$E$14+1,1))</f>
        <v>309.21625451786218</v>
      </c>
      <c r="DU79" s="62">
        <f t="shared" si="98"/>
        <v>302.59481222418219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2.4</v>
      </c>
      <c r="EJ79" s="13">
        <f>IF('Données projet'!$A$192&gt;35,EJ78+EI79-ER78,IF(A79&lt;'Données projet'!$A$192,$EG$205^A79,IF(A79='Données projet'!$A$192,'Données projet'!$B$192,EJ78+EI79-ER78)))</f>
        <v>224.39999999999986</v>
      </c>
      <c r="EK79" s="18">
        <f>EJ79*VLOOKUP('Données projet'!$B$15,Paramètres!$A$1:$I$89,3,0)*VLOOKUP('Données projet'!$B$15,Paramètres!$A$1:$I$89,5,0)</f>
        <v>196.03583999999989</v>
      </c>
      <c r="EL79" s="14">
        <f t="shared" si="99"/>
        <v>48.871952855623412</v>
      </c>
      <c r="EM79" s="22">
        <f t="shared" si="73"/>
        <v>426.54773922354394</v>
      </c>
      <c r="EN79" s="62">
        <f t="shared" si="74"/>
        <v>695.63732360439337</v>
      </c>
      <c r="EO79" s="62">
        <f ca="1">AVERAGE(OFFSET($EN$3,0,0,'Données projet'!$E$15+1,1))-AVERAGE(OFFSET($H$3,0,0,'Données projet'!$E$15+1,1))</f>
        <v>298.56812743477741</v>
      </c>
      <c r="EP79" s="62">
        <f t="shared" si="100"/>
        <v>276.01618888357268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4.7435897435897463</v>
      </c>
      <c r="FE79" s="13">
        <f>IF('Données projet'!$A$218&gt;35,FE78+FD79-FM78,IF(A79&lt;'Données projet'!$A$218,$FB$205^A79,IF(A79='Données projet'!$A$218,'Données projet'!$B$218,FE78+FD79-FM78)))</f>
        <v>307.94871794871801</v>
      </c>
      <c r="FF79" s="18">
        <f>FE79*VLOOKUP('Données projet'!$B$16,Paramètres!$A$1:$I$89,3,0)*VLOOKUP('Données projet'!$B$16,Paramètres!$A$1:$I$89,5,0)</f>
        <v>206.57200000000006</v>
      </c>
      <c r="FG79" s="14">
        <f t="shared" si="101"/>
        <v>51.185765406859225</v>
      </c>
      <c r="FH79" s="22">
        <f t="shared" si="76"/>
        <v>448.92810808361315</v>
      </c>
      <c r="FI79" s="62">
        <f t="shared" si="77"/>
        <v>718.01769246446258</v>
      </c>
      <c r="FJ79" s="62">
        <f ca="1">AVERAGE(OFFSET($FI$3,0,0,'Données projet'!$E$16+1,1))-AVERAGE(OFFSET($H$3,0,0,'Données projet'!$E$16+1,1))</f>
        <v>396.0878652679051</v>
      </c>
      <c r="FK79" s="62">
        <f t="shared" si="102"/>
        <v>327.26339199235406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9">
        <f t="shared" si="56"/>
        <v>183.33333333333334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12.555555555555555</v>
      </c>
      <c r="N80" s="14">
        <f>IF('Données projet'!$A$36&gt;35,N79+M80-V79,IF(A80&lt;'Données projet'!$A$36,$K$205^A80,IF(A80='Données projet'!$A$36,'Données projet'!$B$36,N79+M80-V79)))</f>
        <v>374.44444444444412</v>
      </c>
      <c r="O80" s="14">
        <f>N80*VLOOKUP('Données projet'!$B$9,Paramètres!$A$1:$I$89,3,0)*VLOOKUP('Données projet'!$B$9,Paramètres!$A$1:$I$89,5,0)</f>
        <v>321.27333333333308</v>
      </c>
      <c r="P80" s="14">
        <f t="shared" si="87"/>
        <v>75.618234159828049</v>
      </c>
      <c r="Q80" s="22">
        <f t="shared" si="54"/>
        <v>691.25281338392233</v>
      </c>
      <c r="R80" s="62">
        <f t="shared" si="55"/>
        <v>960.76297260819456</v>
      </c>
      <c r="S80" s="62">
        <f ca="1">AVERAGE(OFFSET($R$3,0,0,'Données projet'!$E$9+1,1))-AVERAGE(OFFSET($H$3,0,0,'Données projet'!$E$9+1,1))</f>
        <v>478.11504516179713</v>
      </c>
      <c r="T80" s="62">
        <f t="shared" si="88"/>
        <v>249.93713224442419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3.5600000000000023</v>
      </c>
      <c r="AI80" s="14">
        <f>IF('Données projet'!$A$62&gt;35,AI79+AH80-AQ79,IF(A80&lt;'Données projet'!$A$62,$AF$205^A80,IF(A80='Données projet'!$A$62,'Données projet'!$B$62,AI79+AH80-AQ79)))</f>
        <v>330.61999999999995</v>
      </c>
      <c r="AJ80" s="14">
        <f>AI80*VLOOKUP('Données projet'!$B$10,Paramètres!$A$1:$I$89,3,0)*VLOOKUP('Données projet'!$B$10,Paramètres!$A$1:$I$89,5,0)</f>
        <v>263.04127199999994</v>
      </c>
      <c r="AK80" s="14">
        <f t="shared" si="89"/>
        <v>63.370214823641057</v>
      </c>
      <c r="AL80" s="22">
        <f t="shared" si="58"/>
        <v>568.50000621784136</v>
      </c>
      <c r="AM80" s="62">
        <f t="shared" si="59"/>
        <v>838.0101654421137</v>
      </c>
      <c r="AN80" s="62">
        <f ca="1">AVERAGE(OFFSET($AM$3,0,0,'Données projet'!$E$10+1,1))-AVERAGE(OFFSET($H$3,0,0,'Données projet'!$E$10+1,1))</f>
        <v>394.49874384716014</v>
      </c>
      <c r="AO80" s="62">
        <f t="shared" si="90"/>
        <v>423.72519584013378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3.5600000000000023</v>
      </c>
      <c r="BD80" s="13">
        <f>IF('Données projet'!$A$88&gt;35,BD79+BC80-BL79,IF(A80&lt;'Données projet'!$A$88,$BA$205^A80,IF(A80='Données projet'!$A$88,'Données projet'!$B$88,BD79+BC80-BL79)))</f>
        <v>330.61999999999995</v>
      </c>
      <c r="BE80" s="14">
        <f>BD80*VLOOKUP('Données projet'!$B$11,Paramètres!$A$1:$I$89,3,0)*VLOOKUP('Données projet'!$B$11,Paramètres!$A$1:$I$89,5,0)</f>
        <v>263.04127199999994</v>
      </c>
      <c r="BF80" s="14">
        <f t="shared" si="91"/>
        <v>63.370214823641057</v>
      </c>
      <c r="BG80" s="22">
        <f t="shared" si="61"/>
        <v>568.50000621784136</v>
      </c>
      <c r="BH80" s="62">
        <f t="shared" si="62"/>
        <v>838.0101654421137</v>
      </c>
      <c r="BI80" s="62">
        <f ca="1">AVERAGE(OFFSET($BH$3,0,0,'Données projet'!$E$11+1,1))-AVERAGE(OFFSET($H$3,0,0,'Données projet'!$E$11+1,1))</f>
        <v>394.49874384716014</v>
      </c>
      <c r="BJ80" s="62">
        <f t="shared" si="92"/>
        <v>423.72519584013378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255.34079999999989</v>
      </c>
      <c r="CA80" s="14">
        <f t="shared" si="93"/>
        <v>61.728182021951895</v>
      </c>
      <c r="CB80" s="22">
        <f t="shared" si="64"/>
        <v>552.22847702156594</v>
      </c>
      <c r="CC80" s="62">
        <f t="shared" si="65"/>
        <v>821.73863624583828</v>
      </c>
      <c r="CD80" s="62">
        <f ca="1">AVERAGE(OFFSET($CC$3,0,0,'Données projet'!$E$12+1,1))-AVERAGE(OFFSET($H$3,0,0,'Données projet'!$E$12+1,1))</f>
        <v>496.33873798282525</v>
      </c>
      <c r="CE80" s="62">
        <f t="shared" si="94"/>
        <v>280.25465074992246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4.3589743589743648</v>
      </c>
      <c r="CT80" s="13">
        <f>IF('Données projet'!$A$140&gt;35,CT79+CS80-DB79,IF(A80&lt;'Données projet'!$A$140,$CQ$205^A80,IF(A80='Données projet'!$A$140,'Données projet'!$B$140,CT79+CS80-DB79)))</f>
        <v>224.102564102564</v>
      </c>
      <c r="CU80" s="18">
        <f>CT80*VLOOKUP('Données projet'!$B$13,Paramètres!$A$1:$I$89,3,0)*VLOOKUP('Données projet'!$B$13,Paramètres!$A$1:$I$89,5,0)</f>
        <v>213.25599999999989</v>
      </c>
      <c r="CV80" s="14">
        <f t="shared" si="95"/>
        <v>52.646465235028018</v>
      </c>
      <c r="CW80" s="22">
        <f t="shared" si="67"/>
        <v>463.11346028434019</v>
      </c>
      <c r="CX80" s="62">
        <f t="shared" si="68"/>
        <v>732.62361950861248</v>
      </c>
      <c r="CY80" s="62">
        <f ca="1">AVERAGE(OFFSET($CX$3,0,0,'Données projet'!$E$13+1,1))-AVERAGE(OFFSET($H$3,0,0,'Données projet'!$E$13+1,1))</f>
        <v>441.15969139782891</v>
      </c>
      <c r="CZ80" s="62">
        <f t="shared" si="96"/>
        <v>315.06466790224783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5.6843418860808015E-14</v>
      </c>
      <c r="DP80" s="18">
        <f>DO80*VLOOKUP('Données projet'!$B$14,Paramètres!$A$1:$I$89,3,0)*VLOOKUP('Données projet'!$B$14,Paramètres!$A$1:$I$89,5,0)</f>
        <v>4.4337866711430253E-14</v>
      </c>
      <c r="DQ80" s="14">
        <f t="shared" si="97"/>
        <v>7.3222115536967035E-13</v>
      </c>
      <c r="DR80" s="22">
        <f t="shared" si="70"/>
        <v>1.3525069634579169E-12</v>
      </c>
      <c r="DS80" s="62">
        <f t="shared" si="71"/>
        <v>269.51015922427365</v>
      </c>
      <c r="DT80" s="62">
        <f ca="1">AVERAGE(OFFSET($DS$3,0,0,'Données projet'!$E$14+1,1))-AVERAGE(OFFSET($H$3,0,0,'Données projet'!$E$14+1,1))</f>
        <v>309.21625451786218</v>
      </c>
      <c r="DU80" s="62">
        <f t="shared" si="98"/>
        <v>302.59481222418219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2.4</v>
      </c>
      <c r="EJ80" s="13">
        <f>IF('Données projet'!$A$192&gt;35,EJ79+EI80-ER79,IF(A80&lt;'Données projet'!$A$192,$EG$205^A80,IF(A80='Données projet'!$A$192,'Données projet'!$B$192,EJ79+EI80-ER79)))</f>
        <v>226.79999999999987</v>
      </c>
      <c r="EK80" s="18">
        <f>EJ80*VLOOKUP('Données projet'!$B$15,Paramètres!$A$1:$I$89,3,0)*VLOOKUP('Données projet'!$B$15,Paramètres!$A$1:$I$89,5,0)</f>
        <v>198.1324799999999</v>
      </c>
      <c r="EL80" s="14">
        <f t="shared" si="99"/>
        <v>49.333519530262052</v>
      </c>
      <c r="EM80" s="22">
        <f t="shared" si="73"/>
        <v>431.00328251520631</v>
      </c>
      <c r="EN80" s="62">
        <f t="shared" si="74"/>
        <v>700.51344173947859</v>
      </c>
      <c r="EO80" s="62">
        <f ca="1">AVERAGE(OFFSET($EN$3,0,0,'Données projet'!$E$15+1,1))-AVERAGE(OFFSET($H$3,0,0,'Données projet'!$E$15+1,1))</f>
        <v>298.56812743477741</v>
      </c>
      <c r="EP80" s="62">
        <f t="shared" si="100"/>
        <v>276.01618888357268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4.7435897435897463</v>
      </c>
      <c r="FE80" s="13">
        <f>IF('Données projet'!$A$218&gt;35,FE79+FD80-FM79,IF(A80&lt;'Données projet'!$A$218,$FB$205^A80,IF(A80='Données projet'!$A$218,'Données projet'!$B$218,FE79+FD80-FM79)))</f>
        <v>312.69230769230774</v>
      </c>
      <c r="FF80" s="18">
        <f>FE80*VLOOKUP('Données projet'!$B$16,Paramètres!$A$1:$I$89,3,0)*VLOOKUP('Données projet'!$B$16,Paramètres!$A$1:$I$89,5,0)</f>
        <v>209.75400000000005</v>
      </c>
      <c r="FG80" s="14">
        <f t="shared" si="101"/>
        <v>51.881824842420912</v>
      </c>
      <c r="FH80" s="22">
        <f t="shared" si="76"/>
        <v>455.68239493388319</v>
      </c>
      <c r="FI80" s="62">
        <f t="shared" si="77"/>
        <v>725.19255415815542</v>
      </c>
      <c r="FJ80" s="62">
        <f ca="1">AVERAGE(OFFSET($FI$3,0,0,'Données projet'!$E$16+1,1))-AVERAGE(OFFSET($H$3,0,0,'Données projet'!$E$16+1,1))</f>
        <v>396.0878652679051</v>
      </c>
      <c r="FK80" s="62">
        <f t="shared" si="102"/>
        <v>327.26339199235406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9">
        <f t="shared" si="56"/>
        <v>183.33333333333334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387</v>
      </c>
      <c r="L81" s="13">
        <f>VLOOKUP(A81,'Données projet'!$A$35:$I$55,9,0)</f>
        <v>12.555555555555555</v>
      </c>
      <c r="M81" s="13">
        <f t="array" ref="M81">INDEX(L:L,MIN(IF(ISNUMBER(L81:L277),ROW(L81:L277),"")))</f>
        <v>12.555555555555555</v>
      </c>
      <c r="N81" s="14">
        <f>IF('Données projet'!$A$36&gt;35,N80+M81-V80,IF(A81&lt;'Données projet'!$A$36,$K$205^A81,IF(A81='Données projet'!$A$36,'Données projet'!$B$36,N80+M81-V80)))</f>
        <v>386.99999999999966</v>
      </c>
      <c r="O81" s="14">
        <f>N81*VLOOKUP('Données projet'!$B$9,Paramètres!$A$1:$I$89,3,0)*VLOOKUP('Données projet'!$B$9,Paramètres!$A$1:$I$89,5,0)</f>
        <v>332.04599999999971</v>
      </c>
      <c r="P81" s="14">
        <f t="shared" si="87"/>
        <v>77.854342460208571</v>
      </c>
      <c r="Q81" s="22">
        <f t="shared" si="54"/>
        <v>713.90976311819611</v>
      </c>
      <c r="R81" s="62">
        <f t="shared" si="55"/>
        <v>983.83320115262234</v>
      </c>
      <c r="S81" s="62">
        <f ca="1">AVERAGE(OFFSET($R$3,0,0,'Données projet'!$E$9+1,1))-AVERAGE(OFFSET($H$3,0,0,'Données projet'!$E$9+1,1))</f>
        <v>478.11504516179713</v>
      </c>
      <c r="T81" s="62">
        <f t="shared" si="88"/>
        <v>249.93713224442419</v>
      </c>
      <c r="U81" s="16">
        <f>IF(ISNA(VLOOKUP(A81,'Données projet'!$A$35:$I$55,3,0)),0,VLOOKUP(A81,'Données projet'!$A$35:$I$55,3,0))</f>
        <v>9</v>
      </c>
      <c r="V81" s="16">
        <f>IF(ISNA(VLOOKUP(A81,'Données projet'!$A$35:$I$55,4,0)),0,VLOOKUP(A81,'Données projet'!$A$35:$I$55,4,0))</f>
        <v>39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3.5600000000000023</v>
      </c>
      <c r="AI81" s="14">
        <f>IF('Données projet'!$A$62&gt;35,AI80+AH81-AQ80,IF(A81&lt;'Données projet'!$A$62,$AF$205^A81,IF(A81='Données projet'!$A$62,'Données projet'!$B$62,AI80+AH81-AQ80)))</f>
        <v>334.17999999999995</v>
      </c>
      <c r="AJ81" s="14">
        <f>AI81*VLOOKUP('Données projet'!$B$10,Paramètres!$A$1:$I$89,3,0)*VLOOKUP('Données projet'!$B$10,Paramètres!$A$1:$I$89,5,0)</f>
        <v>265.87360799999999</v>
      </c>
      <c r="AK81" s="14">
        <f t="shared" si="89"/>
        <v>63.972761368317435</v>
      </c>
      <c r="AL81" s="22">
        <f t="shared" si="58"/>
        <v>574.48242664981956</v>
      </c>
      <c r="AM81" s="62">
        <f t="shared" si="59"/>
        <v>844.40586468424578</v>
      </c>
      <c r="AN81" s="62">
        <f ca="1">AVERAGE(OFFSET($AM$3,0,0,'Données projet'!$E$10+1,1))-AVERAGE(OFFSET($H$3,0,0,'Données projet'!$E$10+1,1))</f>
        <v>394.49874384716014</v>
      </c>
      <c r="AO81" s="62">
        <f t="shared" si="90"/>
        <v>423.72519584013378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3.5600000000000023</v>
      </c>
      <c r="BD81" s="13">
        <f>IF('Données projet'!$A$88&gt;35,BD80+BC81-BL80,IF(A81&lt;'Données projet'!$A$88,$BA$205^A81,IF(A81='Données projet'!$A$88,'Données projet'!$B$88,BD80+BC81-BL80)))</f>
        <v>334.17999999999995</v>
      </c>
      <c r="BE81" s="14">
        <f>BD81*VLOOKUP('Données projet'!$B$11,Paramètres!$A$1:$I$89,3,0)*VLOOKUP('Données projet'!$B$11,Paramètres!$A$1:$I$89,5,0)</f>
        <v>265.87360799999999</v>
      </c>
      <c r="BF81" s="14">
        <f t="shared" si="91"/>
        <v>63.972761368317435</v>
      </c>
      <c r="BG81" s="22">
        <f t="shared" si="61"/>
        <v>574.48242664981956</v>
      </c>
      <c r="BH81" s="62">
        <f t="shared" si="62"/>
        <v>844.40586468424578</v>
      </c>
      <c r="BI81" s="62">
        <f ca="1">AVERAGE(OFFSET($BH$3,0,0,'Données projet'!$E$11+1,1))-AVERAGE(OFFSET($H$3,0,0,'Données projet'!$E$11+1,1))</f>
        <v>394.49874384716014</v>
      </c>
      <c r="BJ81" s="62">
        <f t="shared" si="92"/>
        <v>423.72519584013378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261.14399999999989</v>
      </c>
      <c r="CA81" s="14">
        <f t="shared" si="93"/>
        <v>62.966170181808813</v>
      </c>
      <c r="CB81" s="22">
        <f t="shared" si="64"/>
        <v>564.49187973331675</v>
      </c>
      <c r="CC81" s="62">
        <f t="shared" si="65"/>
        <v>834.41531776774298</v>
      </c>
      <c r="CD81" s="62">
        <f ca="1">AVERAGE(OFFSET($CC$3,0,0,'Données projet'!$E$12+1,1))-AVERAGE(OFFSET($H$3,0,0,'Données projet'!$E$12+1,1))</f>
        <v>496.33873798282525</v>
      </c>
      <c r="CE81" s="62">
        <f t="shared" si="94"/>
        <v>280.25465074992246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4.3589743589743648</v>
      </c>
      <c r="CT81" s="13">
        <f>IF('Données projet'!$A$140&gt;35,CT80+CS81-DB80,IF(A81&lt;'Données projet'!$A$140,$CQ$205^A81,IF(A81='Données projet'!$A$140,'Données projet'!$B$140,CT80+CS81-DB80)))</f>
        <v>228.46153846153837</v>
      </c>
      <c r="CU81" s="18">
        <f>CT81*VLOOKUP('Données projet'!$B$13,Paramètres!$A$1:$I$89,3,0)*VLOOKUP('Données projet'!$B$13,Paramètres!$A$1:$I$89,5,0)</f>
        <v>217.40399999999991</v>
      </c>
      <c r="CV81" s="14">
        <f t="shared" si="95"/>
        <v>53.550268745628323</v>
      </c>
      <c r="CW81" s="22">
        <f t="shared" si="67"/>
        <v>471.91201806530245</v>
      </c>
      <c r="CX81" s="62">
        <f t="shared" si="68"/>
        <v>741.83545609972862</v>
      </c>
      <c r="CY81" s="62">
        <f ca="1">AVERAGE(OFFSET($CX$3,0,0,'Données projet'!$E$13+1,1))-AVERAGE(OFFSET($H$3,0,0,'Données projet'!$E$13+1,1))</f>
        <v>441.15969139782891</v>
      </c>
      <c r="CZ81" s="62">
        <f t="shared" si="96"/>
        <v>315.06466790224783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5.6843418860808015E-14</v>
      </c>
      <c r="DP81" s="18">
        <f>DO81*VLOOKUP('Données projet'!$B$14,Paramètres!$A$1:$I$89,3,0)*VLOOKUP('Données projet'!$B$14,Paramètres!$A$1:$I$89,5,0)</f>
        <v>4.4337866711430253E-14</v>
      </c>
      <c r="DQ81" s="14">
        <f t="shared" si="97"/>
        <v>7.3222115536967035E-13</v>
      </c>
      <c r="DR81" s="22">
        <f t="shared" si="70"/>
        <v>1.3525069634579169E-12</v>
      </c>
      <c r="DS81" s="62">
        <f t="shared" si="71"/>
        <v>269.92343803442759</v>
      </c>
      <c r="DT81" s="62">
        <f ca="1">AVERAGE(OFFSET($DS$3,0,0,'Données projet'!$E$14+1,1))-AVERAGE(OFFSET($H$3,0,0,'Données projet'!$E$14+1,1))</f>
        <v>309.21625451786218</v>
      </c>
      <c r="DU81" s="62">
        <f t="shared" si="98"/>
        <v>302.59481222418219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2.4</v>
      </c>
      <c r="EJ81" s="13">
        <f>IF('Données projet'!$A$192&gt;35,EJ80+EI81-ER80,IF(A81&lt;'Données projet'!$A$192,$EG$205^A81,IF(A81='Données projet'!$A$192,'Données projet'!$B$192,EJ80+EI81-ER80)))</f>
        <v>229.19999999999987</v>
      </c>
      <c r="EK81" s="18">
        <f>EJ81*VLOOKUP('Données projet'!$B$15,Paramètres!$A$1:$I$89,3,0)*VLOOKUP('Données projet'!$B$15,Paramètres!$A$1:$I$89,5,0)</f>
        <v>200.22911999999994</v>
      </c>
      <c r="EL81" s="14">
        <f t="shared" si="99"/>
        <v>49.794518010766353</v>
      </c>
      <c r="EM81" s="22">
        <f t="shared" si="73"/>
        <v>435.45783620208459</v>
      </c>
      <c r="EN81" s="62">
        <f t="shared" si="74"/>
        <v>705.38127423651076</v>
      </c>
      <c r="EO81" s="62">
        <f ca="1">AVERAGE(OFFSET($EN$3,0,0,'Données projet'!$E$15+1,1))-AVERAGE(OFFSET($H$3,0,0,'Données projet'!$E$15+1,1))</f>
        <v>298.56812743477741</v>
      </c>
      <c r="EP81" s="62">
        <f t="shared" si="100"/>
        <v>276.01618888357268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4.7435897435897463</v>
      </c>
      <c r="FE81" s="13">
        <f>IF('Données projet'!$A$218&gt;35,FE80+FD81-FM80,IF(A81&lt;'Données projet'!$A$218,$FB$205^A81,IF(A81='Données projet'!$A$218,'Données projet'!$B$218,FE80+FD81-FM80)))</f>
        <v>317.43589743589746</v>
      </c>
      <c r="FF81" s="18">
        <f>FE81*VLOOKUP('Données projet'!$B$16,Paramètres!$A$1:$I$89,3,0)*VLOOKUP('Données projet'!$B$16,Paramètres!$A$1:$I$89,5,0)</f>
        <v>212.93600000000001</v>
      </c>
      <c r="FG81" s="14">
        <f t="shared" si="101"/>
        <v>52.576656207031739</v>
      </c>
      <c r="FH81" s="22">
        <f t="shared" si="76"/>
        <v>462.4345428939136</v>
      </c>
      <c r="FI81" s="62">
        <f t="shared" si="77"/>
        <v>732.35798092833988</v>
      </c>
      <c r="FJ81" s="62">
        <f ca="1">AVERAGE(OFFSET($FI$3,0,0,'Données projet'!$E$16+1,1))-AVERAGE(OFFSET($H$3,0,0,'Données projet'!$E$16+1,1))</f>
        <v>396.0878652679051</v>
      </c>
      <c r="FK81" s="62">
        <f t="shared" si="102"/>
        <v>327.26339199235406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9">
        <f t="shared" si="56"/>
        <v>183.33333333333334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12</v>
      </c>
      <c r="N82" s="14">
        <f>IF('Données projet'!$A$36&gt;35,N81+M82-V81,IF(A82&lt;'Données projet'!$A$36,$K$205^A82,IF(A82='Données projet'!$A$36,'Données projet'!$B$36,N81+M82-V81)))</f>
        <v>359.99999999999966</v>
      </c>
      <c r="O82" s="14">
        <f>N82*VLOOKUP('Données projet'!$B$9,Paramètres!$A$1:$I$89,3,0)*VLOOKUP('Données projet'!$B$9,Paramètres!$A$1:$I$89,5,0)</f>
        <v>308.87999999999977</v>
      </c>
      <c r="P82" s="14">
        <f t="shared" si="87"/>
        <v>73.034880345800715</v>
      </c>
      <c r="Q82" s="22">
        <f t="shared" si="54"/>
        <v>665.16841660226919</v>
      </c>
      <c r="R82" s="62">
        <f t="shared" si="55"/>
        <v>935.4979639834462</v>
      </c>
      <c r="S82" s="62">
        <f ca="1">AVERAGE(OFFSET($R$3,0,0,'Données projet'!$E$9+1,1))-AVERAGE(OFFSET($H$3,0,0,'Données projet'!$E$9+1,1))</f>
        <v>478.11504516179713</v>
      </c>
      <c r="T82" s="62">
        <f t="shared" si="88"/>
        <v>249.93713224442419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3.5600000000000023</v>
      </c>
      <c r="AI82" s="14">
        <f>IF('Données projet'!$A$62&gt;35,AI81+AH82-AQ81,IF(A82&lt;'Données projet'!$A$62,$AF$205^A82,IF(A82='Données projet'!$A$62,'Données projet'!$B$62,AI81+AH82-AQ81)))</f>
        <v>337.73999999999995</v>
      </c>
      <c r="AJ82" s="14">
        <f>AI82*VLOOKUP('Données projet'!$B$10,Paramètres!$A$1:$I$89,3,0)*VLOOKUP('Données projet'!$B$10,Paramètres!$A$1:$I$89,5,0)</f>
        <v>268.70594399999999</v>
      </c>
      <c r="AK82" s="14">
        <f t="shared" si="89"/>
        <v>64.574561201947517</v>
      </c>
      <c r="AL82" s="22">
        <f t="shared" si="58"/>
        <v>580.46354656005849</v>
      </c>
      <c r="AM82" s="62">
        <f t="shared" si="59"/>
        <v>850.79309394123538</v>
      </c>
      <c r="AN82" s="62">
        <f ca="1">AVERAGE(OFFSET($AM$3,0,0,'Données projet'!$E$10+1,1))-AVERAGE(OFFSET($H$3,0,0,'Données projet'!$E$10+1,1))</f>
        <v>394.49874384716014</v>
      </c>
      <c r="AO82" s="62">
        <f t="shared" si="90"/>
        <v>423.72519584013378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3.5600000000000023</v>
      </c>
      <c r="BD82" s="13">
        <f>IF('Données projet'!$A$88&gt;35,BD81+BC82-BL81,IF(A82&lt;'Données projet'!$A$88,$BA$205^A82,IF(A82='Données projet'!$A$88,'Données projet'!$B$88,BD81+BC82-BL81)))</f>
        <v>337.73999999999995</v>
      </c>
      <c r="BE82" s="14">
        <f>BD82*VLOOKUP('Données projet'!$B$11,Paramètres!$A$1:$I$89,3,0)*VLOOKUP('Données projet'!$B$11,Paramètres!$A$1:$I$89,5,0)</f>
        <v>268.70594399999999</v>
      </c>
      <c r="BF82" s="14">
        <f t="shared" si="91"/>
        <v>64.574561201947517</v>
      </c>
      <c r="BG82" s="22">
        <f t="shared" si="61"/>
        <v>580.46354656005849</v>
      </c>
      <c r="BH82" s="62">
        <f t="shared" si="62"/>
        <v>850.79309394123538</v>
      </c>
      <c r="BI82" s="62">
        <f ca="1">AVERAGE(OFFSET($BH$3,0,0,'Données projet'!$E$11+1,1))-AVERAGE(OFFSET($H$3,0,0,'Données projet'!$E$11+1,1))</f>
        <v>394.49874384716014</v>
      </c>
      <c r="BJ82" s="62">
        <f t="shared" si="92"/>
        <v>423.72519584013378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266.9471999999999</v>
      </c>
      <c r="CA82" s="14">
        <f t="shared" si="93"/>
        <v>64.200959938746379</v>
      </c>
      <c r="CB82" s="22">
        <f t="shared" si="64"/>
        <v>576.74971189331643</v>
      </c>
      <c r="CC82" s="62">
        <f t="shared" si="65"/>
        <v>847.07925927449332</v>
      </c>
      <c r="CD82" s="62">
        <f ca="1">AVERAGE(OFFSET($CC$3,0,0,'Données projet'!$E$12+1,1))-AVERAGE(OFFSET($H$3,0,0,'Données projet'!$E$12+1,1))</f>
        <v>496.33873798282525</v>
      </c>
      <c r="CE82" s="62">
        <f t="shared" si="94"/>
        <v>280.25465074992246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4.3589743589743648</v>
      </c>
      <c r="CT82" s="13">
        <f>IF('Données projet'!$A$140&gt;35,CT81+CS82-DB81,IF(A82&lt;'Données projet'!$A$140,$CQ$205^A82,IF(A82='Données projet'!$A$140,'Données projet'!$B$140,CT81+CS82-DB81)))</f>
        <v>232.82051282051273</v>
      </c>
      <c r="CU82" s="18">
        <f>CT82*VLOOKUP('Données projet'!$B$13,Paramètres!$A$1:$I$89,3,0)*VLOOKUP('Données projet'!$B$13,Paramètres!$A$1:$I$89,5,0)</f>
        <v>221.55199999999994</v>
      </c>
      <c r="CV82" s="14">
        <f t="shared" si="95"/>
        <v>54.452067119881683</v>
      </c>
      <c r="CW82" s="22">
        <f t="shared" si="67"/>
        <v>480.70708356712709</v>
      </c>
      <c r="CX82" s="62">
        <f t="shared" si="68"/>
        <v>751.03663094830404</v>
      </c>
      <c r="CY82" s="62">
        <f ca="1">AVERAGE(OFFSET($CX$3,0,0,'Données projet'!$E$13+1,1))-AVERAGE(OFFSET($H$3,0,0,'Données projet'!$E$13+1,1))</f>
        <v>441.15969139782891</v>
      </c>
      <c r="CZ82" s="62">
        <f t="shared" si="96"/>
        <v>315.06466790224783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5.6843418860808015E-14</v>
      </c>
      <c r="DP82" s="18">
        <f>DO82*VLOOKUP('Données projet'!$B$14,Paramètres!$A$1:$I$89,3,0)*VLOOKUP('Données projet'!$B$14,Paramètres!$A$1:$I$89,5,0)</f>
        <v>4.4337866711430253E-14</v>
      </c>
      <c r="DQ82" s="14">
        <f t="shared" si="97"/>
        <v>7.3222115536967035E-13</v>
      </c>
      <c r="DR82" s="22">
        <f t="shared" si="70"/>
        <v>1.3525069634579169E-12</v>
      </c>
      <c r="DS82" s="62">
        <f t="shared" si="71"/>
        <v>270.32954738117832</v>
      </c>
      <c r="DT82" s="62">
        <f ca="1">AVERAGE(OFFSET($DS$3,0,0,'Données projet'!$E$14+1,1))-AVERAGE(OFFSET($H$3,0,0,'Données projet'!$E$14+1,1))</f>
        <v>309.21625451786218</v>
      </c>
      <c r="DU82" s="62">
        <f t="shared" si="98"/>
        <v>302.59481222418219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2.4</v>
      </c>
      <c r="EJ82" s="13">
        <f>IF('Données projet'!$A$192&gt;35,EJ81+EI82-ER81,IF(A82&lt;'Données projet'!$A$192,$EG$205^A82,IF(A82='Données projet'!$A$192,'Données projet'!$B$192,EJ81+EI82-ER81)))</f>
        <v>231.59999999999988</v>
      </c>
      <c r="EK82" s="18">
        <f>EJ82*VLOOKUP('Données projet'!$B$15,Paramètres!$A$1:$I$89,3,0)*VLOOKUP('Données projet'!$B$15,Paramètres!$A$1:$I$89,5,0)</f>
        <v>202.32575999999992</v>
      </c>
      <c r="EL82" s="14">
        <f t="shared" si="99"/>
        <v>50.254954935552895</v>
      </c>
      <c r="EM82" s="22">
        <f t="shared" si="73"/>
        <v>439.91141184608779</v>
      </c>
      <c r="EN82" s="62">
        <f t="shared" si="74"/>
        <v>710.24095922726474</v>
      </c>
      <c r="EO82" s="62">
        <f ca="1">AVERAGE(OFFSET($EN$3,0,0,'Données projet'!$E$15+1,1))-AVERAGE(OFFSET($H$3,0,0,'Données projet'!$E$15+1,1))</f>
        <v>298.56812743477741</v>
      </c>
      <c r="EP82" s="62">
        <f t="shared" si="100"/>
        <v>276.01618888357268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4.7435897435897463</v>
      </c>
      <c r="FE82" s="13">
        <f>IF('Données projet'!$A$218&gt;35,FE81+FD82-FM81,IF(A82&lt;'Données projet'!$A$218,$FB$205^A82,IF(A82='Données projet'!$A$218,'Données projet'!$B$218,FE81+FD82-FM81)))</f>
        <v>322.17948717948718</v>
      </c>
      <c r="FF82" s="18">
        <f>FE82*VLOOKUP('Données projet'!$B$16,Paramètres!$A$1:$I$89,3,0)*VLOOKUP('Données projet'!$B$16,Paramètres!$A$1:$I$89,5,0)</f>
        <v>216.11799999999999</v>
      </c>
      <c r="FG82" s="14">
        <f t="shared" si="101"/>
        <v>53.270279972172681</v>
      </c>
      <c r="FH82" s="22">
        <f t="shared" si="76"/>
        <v>469.18458761820074</v>
      </c>
      <c r="FI82" s="62">
        <f t="shared" si="77"/>
        <v>739.51413499937769</v>
      </c>
      <c r="FJ82" s="62">
        <f ca="1">AVERAGE(OFFSET($FI$3,0,0,'Données projet'!$E$16+1,1))-AVERAGE(OFFSET($H$3,0,0,'Données projet'!$E$16+1,1))</f>
        <v>396.0878652679051</v>
      </c>
      <c r="FK82" s="62">
        <f t="shared" si="102"/>
        <v>327.26339199235406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9">
        <f t="shared" si="56"/>
        <v>183.33333333333334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12</v>
      </c>
      <c r="N83" s="14">
        <f>IF('Données projet'!$A$36&gt;35,N82+M83-V82,IF(A83&lt;'Données projet'!$A$36,$K$205^A83,IF(A83='Données projet'!$A$36,'Données projet'!$B$36,N82+M83-V82)))</f>
        <v>371.99999999999966</v>
      </c>
      <c r="O83" s="14">
        <f>N83*VLOOKUP('Données projet'!$B$9,Paramètres!$A$1:$I$89,3,0)*VLOOKUP('Données projet'!$B$9,Paramètres!$A$1:$I$89,5,0)</f>
        <v>319.17599999999976</v>
      </c>
      <c r="P83" s="14">
        <f t="shared" si="87"/>
        <v>75.181878718947615</v>
      </c>
      <c r="Q83" s="22">
        <f t="shared" si="54"/>
        <v>686.8399721021666</v>
      </c>
      <c r="R83" s="62">
        <f t="shared" si="55"/>
        <v>957.56858374085277</v>
      </c>
      <c r="S83" s="62">
        <f ca="1">AVERAGE(OFFSET($R$3,0,0,'Données projet'!$E$9+1,1))-AVERAGE(OFFSET($H$3,0,0,'Données projet'!$E$9+1,1))</f>
        <v>478.11504516179713</v>
      </c>
      <c r="T83" s="62">
        <f t="shared" si="88"/>
        <v>249.93713224442419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341.3</v>
      </c>
      <c r="AG83" s="13">
        <f>VLOOKUP(A83,'Données projet'!$A$61:$I$81,9,0)</f>
        <v>3.5600000000000023</v>
      </c>
      <c r="AH83" s="13">
        <f t="array" ref="AH83">INDEX(AG:AG,MIN(IF(ISNUMBER(AG83:AG279),ROW(AG83:AG279),"")))</f>
        <v>3.5600000000000023</v>
      </c>
      <c r="AI83" s="14">
        <f>IF('Données projet'!$A$62&gt;35,AI82+AH83-AQ82,IF(A83&lt;'Données projet'!$A$62,$AF$205^A83,IF(A83='Données projet'!$A$62,'Données projet'!$B$62,AI82+AH83-AQ82)))</f>
        <v>341.29999999999995</v>
      </c>
      <c r="AJ83" s="14">
        <f>AI83*VLOOKUP('Données projet'!$B$10,Paramètres!$A$1:$I$89,3,0)*VLOOKUP('Données projet'!$B$10,Paramètres!$A$1:$I$89,5,0)</f>
        <v>271.53827999999999</v>
      </c>
      <c r="AK83" s="14">
        <f t="shared" si="89"/>
        <v>65.17562310645522</v>
      </c>
      <c r="AL83" s="22">
        <f t="shared" si="58"/>
        <v>586.44338124374281</v>
      </c>
      <c r="AM83" s="62">
        <f t="shared" si="59"/>
        <v>857.17199288242887</v>
      </c>
      <c r="AN83" s="62">
        <f ca="1">AVERAGE(OFFSET($AM$3,0,0,'Données projet'!$E$10+1,1))-AVERAGE(OFFSET($H$3,0,0,'Données projet'!$E$10+1,1))</f>
        <v>394.49874384716014</v>
      </c>
      <c r="AO83" s="62">
        <f t="shared" si="90"/>
        <v>423.72519584013378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341.3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341.3</v>
      </c>
      <c r="BB83" s="13">
        <f>VLOOKUP(A83,'Données projet'!$A$87:$I$107,9,0)</f>
        <v>3.5600000000000023</v>
      </c>
      <c r="BC83" s="13">
        <f t="array" ref="BC83">INDEX(BB:BB,MIN(IF(ISNUMBER(BB83:BB279),ROW(BB83:BB279),"")))</f>
        <v>3.5600000000000023</v>
      </c>
      <c r="BD83" s="13">
        <f>IF('Données projet'!$A$88&gt;35,BD82+BC83-BL82,IF(A83&lt;'Données projet'!$A$88,$BA$205^A83,IF(A83='Données projet'!$A$88,'Données projet'!$B$88,BD82+BC83-BL82)))</f>
        <v>341.29999999999995</v>
      </c>
      <c r="BE83" s="14">
        <f>BD83*VLOOKUP('Données projet'!$B$11,Paramètres!$A$1:$I$89,3,0)*VLOOKUP('Données projet'!$B$11,Paramètres!$A$1:$I$89,5,0)</f>
        <v>271.53827999999999</v>
      </c>
      <c r="BF83" s="14">
        <f t="shared" si="91"/>
        <v>65.17562310645522</v>
      </c>
      <c r="BG83" s="22">
        <f t="shared" si="61"/>
        <v>586.44338124374281</v>
      </c>
      <c r="BH83" s="62">
        <f t="shared" si="62"/>
        <v>857.17199288242887</v>
      </c>
      <c r="BI83" s="62">
        <f ca="1">AVERAGE(OFFSET($BH$3,0,0,'Données projet'!$E$11+1,1))-AVERAGE(OFFSET($H$3,0,0,'Données projet'!$E$11+1,1))</f>
        <v>394.49874384716014</v>
      </c>
      <c r="BJ83" s="62">
        <f t="shared" si="92"/>
        <v>423.72519584013378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341.3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272.7503999999999</v>
      </c>
      <c r="CA83" s="14">
        <f t="shared" si="93"/>
        <v>65.432628830820633</v>
      </c>
      <c r="CB83" s="22">
        <f t="shared" si="64"/>
        <v>589.00210854701243</v>
      </c>
      <c r="CC83" s="62">
        <f t="shared" si="65"/>
        <v>859.7307201856986</v>
      </c>
      <c r="CD83" s="62">
        <f ca="1">AVERAGE(OFFSET($CC$3,0,0,'Données projet'!$E$12+1,1))-AVERAGE(OFFSET($H$3,0,0,'Données projet'!$E$12+1,1))</f>
        <v>496.33873798282525</v>
      </c>
      <c r="CE83" s="62">
        <f t="shared" si="94"/>
        <v>280.25465074992246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237.17948717948718</v>
      </c>
      <c r="CR83" s="13">
        <f>VLOOKUP(A83,'Données projet'!$A$139:$I$159,9,0)</f>
        <v>4.3589743589743648</v>
      </c>
      <c r="CS83" s="13">
        <f t="array" ref="CS83">INDEX(CR:CR,MIN(IF(ISNUMBER(CR83:CR279),ROW(CR83:CR279),"")))</f>
        <v>4.3589743589743648</v>
      </c>
      <c r="CT83" s="13">
        <f>IF('Données projet'!$A$140&gt;35,CT82+CS83-DB82,IF(A83&lt;'Données projet'!$A$140,$CQ$205^A83,IF(A83='Données projet'!$A$140,'Données projet'!$B$140,CT82+CS83-DB82)))</f>
        <v>237.1794871794871</v>
      </c>
      <c r="CU83" s="18">
        <f>CT83*VLOOKUP('Données projet'!$B$13,Paramètres!$A$1:$I$89,3,0)*VLOOKUP('Données projet'!$B$13,Paramètres!$A$1:$I$89,5,0)</f>
        <v>225.69999999999993</v>
      </c>
      <c r="CV83" s="14">
        <f t="shared" si="95"/>
        <v>55.351902227969966</v>
      </c>
      <c r="CW83" s="22">
        <f t="shared" si="67"/>
        <v>489.49872971371423</v>
      </c>
      <c r="CX83" s="62">
        <f t="shared" si="68"/>
        <v>760.22734135240034</v>
      </c>
      <c r="CY83" s="62">
        <f ca="1">AVERAGE(OFFSET($CX$3,0,0,'Données projet'!$E$13+1,1))-AVERAGE(OFFSET($H$3,0,0,'Données projet'!$E$13+1,1))</f>
        <v>441.15969139782891</v>
      </c>
      <c r="CZ83" s="62">
        <f t="shared" si="96"/>
        <v>315.06466790224783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5.6843418860808015E-14</v>
      </c>
      <c r="DP83" s="18">
        <f>DO83*VLOOKUP('Données projet'!$B$14,Paramètres!$A$1:$I$89,3,0)*VLOOKUP('Données projet'!$B$14,Paramètres!$A$1:$I$89,5,0)</f>
        <v>4.4337866711430253E-14</v>
      </c>
      <c r="DQ83" s="14">
        <f t="shared" si="97"/>
        <v>7.3222115536967035E-13</v>
      </c>
      <c r="DR83" s="22">
        <f t="shared" si="70"/>
        <v>1.3525069634579169E-12</v>
      </c>
      <c r="DS83" s="62">
        <f t="shared" si="71"/>
        <v>270.72861163868748</v>
      </c>
      <c r="DT83" s="62">
        <f ca="1">AVERAGE(OFFSET($DS$3,0,0,'Données projet'!$E$14+1,1))-AVERAGE(OFFSET($H$3,0,0,'Données projet'!$E$14+1,1))</f>
        <v>309.21625451786218</v>
      </c>
      <c r="DU83" s="62">
        <f t="shared" si="98"/>
        <v>302.59481222418219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234</v>
      </c>
      <c r="EH83" s="13">
        <f>VLOOKUP(A83,'Données projet'!$A$191:$I$211,9,0)</f>
        <v>2.4</v>
      </c>
      <c r="EI83" s="13">
        <f t="array" ref="EI83">INDEX(EH:EH,MIN(IF(ISNUMBER(EH83:EH279),ROW(EH83:EH279),"")))</f>
        <v>2.4</v>
      </c>
      <c r="EJ83" s="13">
        <f>IF('Données projet'!$A$192&gt;35,EJ82+EI83-ER82,IF(A83&lt;'Données projet'!$A$192,$EG$205^A83,IF(A83='Données projet'!$A$192,'Données projet'!$B$192,EJ82+EI83-ER82)))</f>
        <v>233.99999999999989</v>
      </c>
      <c r="EK83" s="18">
        <f>EJ83*VLOOKUP('Données projet'!$B$15,Paramètres!$A$1:$I$89,3,0)*VLOOKUP('Données projet'!$B$15,Paramètres!$A$1:$I$89,5,0)</f>
        <v>204.4223999999999</v>
      </c>
      <c r="EL83" s="14">
        <f t="shared" si="99"/>
        <v>50.714836797527262</v>
      </c>
      <c r="EM83" s="22">
        <f t="shared" si="73"/>
        <v>444.36402075569316</v>
      </c>
      <c r="EN83" s="62">
        <f t="shared" si="74"/>
        <v>715.09263239437928</v>
      </c>
      <c r="EO83" s="62">
        <f ca="1">AVERAGE(OFFSET($EN$3,0,0,'Données projet'!$E$15+1,1))-AVERAGE(OFFSET($H$3,0,0,'Données projet'!$E$15+1,1))</f>
        <v>298.56812743477741</v>
      </c>
      <c r="EP83" s="62">
        <f t="shared" si="100"/>
        <v>276.01618888357268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234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326.92307692307691</v>
      </c>
      <c r="FC83" s="13">
        <f>VLOOKUP(A83,'Données projet'!$A$217:$I$237,9,0)</f>
        <v>4.7435897435897463</v>
      </c>
      <c r="FD83" s="13">
        <f t="array" ref="FD83">INDEX(FC:FC,MIN(IF(ISNUMBER(FC83:FC279),ROW(FC83:FC279),"")))</f>
        <v>4.7435897435897463</v>
      </c>
      <c r="FE83" s="13">
        <f>IF('Données projet'!$A$218&gt;35,FE82+FD83-FM82,IF(A83&lt;'Données projet'!$A$218,$FB$205^A83,IF(A83='Données projet'!$A$218,'Données projet'!$B$218,FE82+FD83-FM82)))</f>
        <v>326.92307692307691</v>
      </c>
      <c r="FF83" s="18">
        <f>FE83*VLOOKUP('Données projet'!$B$16,Paramètres!$A$1:$I$89,3,0)*VLOOKUP('Données projet'!$B$16,Paramètres!$A$1:$I$89,5,0)</f>
        <v>219.29999999999998</v>
      </c>
      <c r="FG83" s="14">
        <f t="shared" si="101"/>
        <v>53.962715971896969</v>
      </c>
      <c r="FH83" s="22">
        <f t="shared" si="76"/>
        <v>475.9325636510539</v>
      </c>
      <c r="FI83" s="62">
        <f t="shared" si="77"/>
        <v>746.66117528973996</v>
      </c>
      <c r="FJ83" s="62">
        <f ca="1">AVERAGE(OFFSET($FI$3,0,0,'Données projet'!$E$16+1,1))-AVERAGE(OFFSET($H$3,0,0,'Données projet'!$E$16+1,1))</f>
        <v>396.0878652679051</v>
      </c>
      <c r="FK83" s="62">
        <f t="shared" si="102"/>
        <v>327.26339199235406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28.846153846153847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9">
        <f t="shared" si="56"/>
        <v>183.33333333333334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12</v>
      </c>
      <c r="N84" s="14">
        <f>IF('Données projet'!$A$36&gt;35,N83+M84-V83,IF(A84&lt;'Données projet'!$A$36,$K$205^A84,IF(A84='Données projet'!$A$36,'Données projet'!$B$36,N83+M84-V83)))</f>
        <v>383.99999999999966</v>
      </c>
      <c r="O84" s="14">
        <f>N84*VLOOKUP('Données projet'!$B$9,Paramètres!$A$1:$I$89,3,0)*VLOOKUP('Données projet'!$B$9,Paramètres!$A$1:$I$89,5,0)</f>
        <v>329.47199999999975</v>
      </c>
      <c r="P84" s="14">
        <f t="shared" si="87"/>
        <v>77.320829101031876</v>
      </c>
      <c r="Q84" s="22">
        <f t="shared" si="54"/>
        <v>708.49751068429669</v>
      </c>
      <c r="R84" s="62">
        <f t="shared" si="55"/>
        <v>979.61826370779818</v>
      </c>
      <c r="S84" s="62">
        <f ca="1">AVERAGE(OFFSET($R$3,0,0,'Données projet'!$E$9+1,1))-AVERAGE(OFFSET($H$3,0,0,'Données projet'!$E$9+1,1))</f>
        <v>478.11504516179713</v>
      </c>
      <c r="T84" s="62">
        <f t="shared" si="88"/>
        <v>249.93713224442419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-4.5224624045658861E-14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394.49874384716014</v>
      </c>
      <c r="AO84" s="62">
        <f t="shared" si="90"/>
        <v>423.72519584013378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-4.5224624045658861E-14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394.49874384716014</v>
      </c>
      <c r="BJ84" s="62">
        <f t="shared" si="92"/>
        <v>423.72519584013378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237.54431999999991</v>
      </c>
      <c r="CA84" s="14">
        <f t="shared" si="93"/>
        <v>57.910863128487989</v>
      </c>
      <c r="CB84" s="22">
        <f t="shared" si="64"/>
        <v>514.58444394878302</v>
      </c>
      <c r="CC84" s="62">
        <f t="shared" si="65"/>
        <v>785.70519697228451</v>
      </c>
      <c r="CD84" s="62">
        <f ca="1">AVERAGE(OFFSET($CC$3,0,0,'Données projet'!$E$12+1,1))-AVERAGE(OFFSET($H$3,0,0,'Données projet'!$E$12+1,1))</f>
        <v>496.33873798282525</v>
      </c>
      <c r="CE84" s="62">
        <f t="shared" si="94"/>
        <v>280.25465074992246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4.2307692307692264</v>
      </c>
      <c r="CT84" s="13">
        <f>IF('Données projet'!$A$140&gt;35,CT83+CS84-DB83,IF(A84&lt;'Données projet'!$A$140,$CQ$205^A84,IF(A84='Données projet'!$A$140,'Données projet'!$B$140,CT83+CS84-DB83)))</f>
        <v>241.41025641025632</v>
      </c>
      <c r="CU84" s="18">
        <f>CT84*VLOOKUP('Données projet'!$B$13,Paramètres!$A$1:$I$89,3,0)*VLOOKUP('Données projet'!$B$13,Paramètres!$A$1:$I$89,5,0)</f>
        <v>229.72599999999991</v>
      </c>
      <c r="CV84" s="14">
        <f t="shared" si="95"/>
        <v>56.223432215495727</v>
      </c>
      <c r="CW84" s="22">
        <f t="shared" si="67"/>
        <v>498.02859444198822</v>
      </c>
      <c r="CX84" s="62">
        <f t="shared" si="68"/>
        <v>769.14934746548965</v>
      </c>
      <c r="CY84" s="62">
        <f ca="1">AVERAGE(OFFSET($CX$3,0,0,'Données projet'!$E$13+1,1))-AVERAGE(OFFSET($H$3,0,0,'Données projet'!$E$13+1,1))</f>
        <v>441.15969139782891</v>
      </c>
      <c r="CZ84" s="62">
        <f t="shared" si="96"/>
        <v>315.06466790224783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5.6843418860808015E-14</v>
      </c>
      <c r="DP84" s="18">
        <f>DO84*VLOOKUP('Données projet'!$B$14,Paramètres!$A$1:$I$89,3,0)*VLOOKUP('Données projet'!$B$14,Paramètres!$A$1:$I$89,5,0)</f>
        <v>4.4337866711430253E-14</v>
      </c>
      <c r="DQ84" s="14">
        <f t="shared" si="97"/>
        <v>7.3222115536967035E-13</v>
      </c>
      <c r="DR84" s="22">
        <f t="shared" si="70"/>
        <v>1.3525069634579169E-12</v>
      </c>
      <c r="DS84" s="62">
        <f t="shared" si="71"/>
        <v>271.1207530235028</v>
      </c>
      <c r="DT84" s="62">
        <f ca="1">AVERAGE(OFFSET($DS$3,0,0,'Données projet'!$E$14+1,1))-AVERAGE(OFFSET($H$3,0,0,'Données projet'!$E$14+1,1))</f>
        <v>309.21625451786218</v>
      </c>
      <c r="DU84" s="62">
        <f t="shared" si="98"/>
        <v>302.59481222418219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-1.1368683772161603E-13</v>
      </c>
      <c r="EK84" s="18">
        <f>EJ84*VLOOKUP('Données projet'!$B$15,Paramètres!$A$1:$I$89,3,0)*VLOOKUP('Données projet'!$B$15,Paramètres!$A$1:$I$89,5,0)</f>
        <v>-9.9316821433603781E-14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298.56812743477741</v>
      </c>
      <c r="EP84" s="62">
        <f t="shared" si="100"/>
        <v>276.01618888357268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4.4871794871794917</v>
      </c>
      <c r="FE84" s="13">
        <f>IF('Données projet'!$A$218&gt;35,FE83+FD84-FM83,IF(A84&lt;'Données projet'!$A$218,$FB$205^A84,IF(A84='Données projet'!$A$218,'Données projet'!$B$218,FE83+FD84-FM83)))</f>
        <v>302.56410256410254</v>
      </c>
      <c r="FF84" s="18">
        <f>FE84*VLOOKUP('Données projet'!$B$16,Paramètres!$A$1:$I$89,3,0)*VLOOKUP('Données projet'!$B$16,Paramètres!$A$1:$I$89,5,0)</f>
        <v>202.95999999999998</v>
      </c>
      <c r="FG84" s="14">
        <f t="shared" si="101"/>
        <v>50.394128866673796</v>
      </c>
      <c r="FH84" s="22">
        <f t="shared" si="76"/>
        <v>441.25844110945678</v>
      </c>
      <c r="FI84" s="62">
        <f t="shared" si="77"/>
        <v>712.37919413295822</v>
      </c>
      <c r="FJ84" s="62">
        <f ca="1">AVERAGE(OFFSET($FI$3,0,0,'Données projet'!$E$16+1,1))-AVERAGE(OFFSET($H$3,0,0,'Données projet'!$E$16+1,1))</f>
        <v>396.0878652679051</v>
      </c>
      <c r="FK84" s="62">
        <f t="shared" si="102"/>
        <v>327.26339199235406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9">
        <f t="shared" si="56"/>
        <v>183.33333333333334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12</v>
      </c>
      <c r="N85" s="14">
        <f>IF('Données projet'!$A$36&gt;35,N84+M85-V84,IF(A85&lt;'Données projet'!$A$36,$K$205^A85,IF(A85='Données projet'!$A$36,'Données projet'!$B$36,N84+M85-V84)))</f>
        <v>395.99999999999966</v>
      </c>
      <c r="O85" s="14">
        <f>N85*VLOOKUP('Données projet'!$B$9,Paramètres!$A$1:$I$89,3,0)*VLOOKUP('Données projet'!$B$9,Paramètres!$A$1:$I$89,5,0)</f>
        <v>339.76799999999974</v>
      </c>
      <c r="P85" s="14">
        <f t="shared" si="87"/>
        <v>79.452011848891914</v>
      </c>
      <c r="Q85" s="22">
        <f t="shared" si="54"/>
        <v>730.14152063681968</v>
      </c>
      <c r="R85" s="62">
        <f t="shared" si="55"/>
        <v>1001.6476122688067</v>
      </c>
      <c r="S85" s="62">
        <f ca="1">AVERAGE(OFFSET($R$3,0,0,'Données projet'!$E$9+1,1))-AVERAGE(OFFSET($H$3,0,0,'Données projet'!$E$9+1,1))</f>
        <v>478.11504516179713</v>
      </c>
      <c r="T85" s="62">
        <f t="shared" si="88"/>
        <v>249.93713224442419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-4.5224624045658861E-14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394.49874384716014</v>
      </c>
      <c r="AO85" s="62">
        <f t="shared" si="90"/>
        <v>423.72519584013378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-4.5224624045658861E-14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394.49874384716014</v>
      </c>
      <c r="BJ85" s="62">
        <f t="shared" si="92"/>
        <v>423.72519584013378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242.96063999999993</v>
      </c>
      <c r="CA85" s="14">
        <f t="shared" si="93"/>
        <v>59.076071351835715</v>
      </c>
      <c r="CB85" s="22">
        <f t="shared" si="64"/>
        <v>526.04727227111368</v>
      </c>
      <c r="CC85" s="62">
        <f t="shared" si="65"/>
        <v>797.55336390310072</v>
      </c>
      <c r="CD85" s="62">
        <f ca="1">AVERAGE(OFFSET($CC$3,0,0,'Données projet'!$E$12+1,1))-AVERAGE(OFFSET($H$3,0,0,'Données projet'!$E$12+1,1))</f>
        <v>496.33873798282525</v>
      </c>
      <c r="CE85" s="62">
        <f t="shared" si="94"/>
        <v>280.25465074992246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4.2307692307692264</v>
      </c>
      <c r="CT85" s="13">
        <f>IF('Données projet'!$A$140&gt;35,CT84+CS85-DB84,IF(A85&lt;'Données projet'!$A$140,$CQ$205^A85,IF(A85='Données projet'!$A$140,'Données projet'!$B$140,CT84+CS85-DB84)))</f>
        <v>245.64102564102555</v>
      </c>
      <c r="CU85" s="18">
        <f>CT85*VLOOKUP('Données projet'!$B$13,Paramètres!$A$1:$I$89,3,0)*VLOOKUP('Données projet'!$B$13,Paramètres!$A$1:$I$89,5,0)</f>
        <v>233.75199999999992</v>
      </c>
      <c r="CV85" s="14">
        <f t="shared" si="95"/>
        <v>57.093186053402</v>
      </c>
      <c r="CW85" s="22">
        <f t="shared" si="67"/>
        <v>506.55536570967496</v>
      </c>
      <c r="CX85" s="62">
        <f t="shared" si="68"/>
        <v>778.06145734166194</v>
      </c>
      <c r="CY85" s="62">
        <f ca="1">AVERAGE(OFFSET($CX$3,0,0,'Données projet'!$E$13+1,1))-AVERAGE(OFFSET($H$3,0,0,'Données projet'!$E$13+1,1))</f>
        <v>441.15969139782891</v>
      </c>
      <c r="CZ85" s="62">
        <f t="shared" si="96"/>
        <v>315.06466790224783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5.6843418860808015E-14</v>
      </c>
      <c r="DP85" s="18">
        <f>DO85*VLOOKUP('Données projet'!$B$14,Paramètres!$A$1:$I$89,3,0)*VLOOKUP('Données projet'!$B$14,Paramètres!$A$1:$I$89,5,0)</f>
        <v>4.4337866711430253E-14</v>
      </c>
      <c r="DQ85" s="14">
        <f t="shared" si="97"/>
        <v>7.3222115536967035E-13</v>
      </c>
      <c r="DR85" s="22">
        <f t="shared" si="70"/>
        <v>1.3525069634579169E-12</v>
      </c>
      <c r="DS85" s="62">
        <f t="shared" si="71"/>
        <v>271.5060916319884</v>
      </c>
      <c r="DT85" s="62">
        <f ca="1">AVERAGE(OFFSET($DS$3,0,0,'Données projet'!$E$14+1,1))-AVERAGE(OFFSET($H$3,0,0,'Données projet'!$E$14+1,1))</f>
        <v>309.21625451786218</v>
      </c>
      <c r="DU85" s="62">
        <f t="shared" si="98"/>
        <v>302.59481222418219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-1.1368683772161603E-13</v>
      </c>
      <c r="EK85" s="18">
        <f>EJ85*VLOOKUP('Données projet'!$B$15,Paramètres!$A$1:$I$89,3,0)*VLOOKUP('Données projet'!$B$15,Paramètres!$A$1:$I$89,5,0)</f>
        <v>-9.9316821433603781E-14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298.56812743477741</v>
      </c>
      <c r="EP85" s="62">
        <f t="shared" si="100"/>
        <v>276.01618888357268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4.4871794871794917</v>
      </c>
      <c r="FE85" s="13">
        <f>IF('Données projet'!$A$218&gt;35,FE84+FD85-FM84,IF(A85&lt;'Données projet'!$A$218,$FB$205^A85,IF(A85='Données projet'!$A$218,'Données projet'!$B$218,FE84+FD85-FM84)))</f>
        <v>307.05128205128204</v>
      </c>
      <c r="FF85" s="18">
        <f>FE85*VLOOKUP('Données projet'!$B$16,Paramètres!$A$1:$I$89,3,0)*VLOOKUP('Données projet'!$B$16,Paramètres!$A$1:$I$89,5,0)</f>
        <v>205.97</v>
      </c>
      <c r="FG85" s="14">
        <f t="shared" si="101"/>
        <v>51.053938616003535</v>
      </c>
      <c r="FH85" s="22">
        <f t="shared" si="76"/>
        <v>447.65002642287277</v>
      </c>
      <c r="FI85" s="62">
        <f t="shared" si="77"/>
        <v>719.1561180548598</v>
      </c>
      <c r="FJ85" s="62">
        <f ca="1">AVERAGE(OFFSET($FI$3,0,0,'Données projet'!$E$16+1,1))-AVERAGE(OFFSET($H$3,0,0,'Données projet'!$E$16+1,1))</f>
        <v>396.0878652679051</v>
      </c>
      <c r="FK85" s="62">
        <f t="shared" si="102"/>
        <v>327.26339199235406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9">
        <f t="shared" si="56"/>
        <v>183.33333333333334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12</v>
      </c>
      <c r="N86" s="14">
        <f>IF('Données projet'!$A$36&gt;35,N85+M86-V85,IF(A86&lt;'Données projet'!$A$36,$K$205^A86,IF(A86='Données projet'!$A$36,'Données projet'!$B$36,N85+M86-V85)))</f>
        <v>407.99999999999966</v>
      </c>
      <c r="O86" s="14">
        <f>N86*VLOOKUP('Données projet'!$B$9,Paramètres!$A$1:$I$89,3,0)*VLOOKUP('Données projet'!$B$9,Paramètres!$A$1:$I$89,5,0)</f>
        <v>350.06399999999974</v>
      </c>
      <c r="P86" s="14">
        <f t="shared" si="87"/>
        <v>81.575689362490451</v>
      </c>
      <c r="Q86" s="22">
        <f t="shared" si="54"/>
        <v>751.77245897300372</v>
      </c>
      <c r="R86" s="62">
        <f t="shared" si="55"/>
        <v>1023.6572044501072</v>
      </c>
      <c r="S86" s="62">
        <f ca="1">AVERAGE(OFFSET($R$3,0,0,'Données projet'!$E$9+1,1))-AVERAGE(OFFSET($H$3,0,0,'Données projet'!$E$9+1,1))</f>
        <v>478.11504516179713</v>
      </c>
      <c r="T86" s="62">
        <f t="shared" si="88"/>
        <v>249.93713224442419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-4.5224624045658861E-14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394.49874384716014</v>
      </c>
      <c r="AO86" s="62">
        <f t="shared" si="90"/>
        <v>423.72519584013378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-4.5224624045658861E-14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394.49874384716014</v>
      </c>
      <c r="BJ86" s="62">
        <f t="shared" si="92"/>
        <v>423.72519584013378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248.37695999999988</v>
      </c>
      <c r="CA86" s="14">
        <f t="shared" si="93"/>
        <v>60.238259626372319</v>
      </c>
      <c r="CB86" s="22">
        <f t="shared" si="64"/>
        <v>537.50484084926495</v>
      </c>
      <c r="CC86" s="62">
        <f t="shared" si="65"/>
        <v>809.38958632636843</v>
      </c>
      <c r="CD86" s="62">
        <f ca="1">AVERAGE(OFFSET($CC$3,0,0,'Données projet'!$E$12+1,1))-AVERAGE(OFFSET($H$3,0,0,'Données projet'!$E$12+1,1))</f>
        <v>496.33873798282525</v>
      </c>
      <c r="CE86" s="62">
        <f t="shared" si="94"/>
        <v>280.25465074992246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4.2307692307692264</v>
      </c>
      <c r="CT86" s="13">
        <f>IF('Données projet'!$A$140&gt;35,CT85+CS86-DB85,IF(A86&lt;'Données projet'!$A$140,$CQ$205^A86,IF(A86='Données projet'!$A$140,'Données projet'!$B$140,CT85+CS86-DB85)))</f>
        <v>249.87179487179478</v>
      </c>
      <c r="CU86" s="18">
        <f>CT86*VLOOKUP('Données projet'!$B$13,Paramètres!$A$1:$I$89,3,0)*VLOOKUP('Données projet'!$B$13,Paramètres!$A$1:$I$89,5,0)</f>
        <v>237.77799999999993</v>
      </c>
      <c r="CV86" s="14">
        <f t="shared" si="95"/>
        <v>57.961197863009076</v>
      </c>
      <c r="CW86" s="22">
        <f t="shared" si="67"/>
        <v>515.07910294474061</v>
      </c>
      <c r="CX86" s="62">
        <f t="shared" si="68"/>
        <v>786.96384842184409</v>
      </c>
      <c r="CY86" s="62">
        <f ca="1">AVERAGE(OFFSET($CX$3,0,0,'Données projet'!$E$13+1,1))-AVERAGE(OFFSET($H$3,0,0,'Données projet'!$E$13+1,1))</f>
        <v>441.15969139782891</v>
      </c>
      <c r="CZ86" s="62">
        <f t="shared" si="96"/>
        <v>315.06466790224783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5.6843418860808015E-14</v>
      </c>
      <c r="DP86" s="18">
        <f>DO86*VLOOKUP('Données projet'!$B$14,Paramètres!$A$1:$I$89,3,0)*VLOOKUP('Données projet'!$B$14,Paramètres!$A$1:$I$89,5,0)</f>
        <v>4.4337866711430253E-14</v>
      </c>
      <c r="DQ86" s="14">
        <f t="shared" si="97"/>
        <v>7.3222115536967035E-13</v>
      </c>
      <c r="DR86" s="22">
        <f t="shared" si="70"/>
        <v>1.3525069634579169E-12</v>
      </c>
      <c r="DS86" s="62">
        <f t="shared" si="71"/>
        <v>271.88474547710484</v>
      </c>
      <c r="DT86" s="62">
        <f ca="1">AVERAGE(OFFSET($DS$3,0,0,'Données projet'!$E$14+1,1))-AVERAGE(OFFSET($H$3,0,0,'Données projet'!$E$14+1,1))</f>
        <v>309.21625451786218</v>
      </c>
      <c r="DU86" s="62">
        <f t="shared" si="98"/>
        <v>302.59481222418219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-1.1368683772161603E-13</v>
      </c>
      <c r="EK86" s="18">
        <f>EJ86*VLOOKUP('Données projet'!$B$15,Paramètres!$A$1:$I$89,3,0)*VLOOKUP('Données projet'!$B$15,Paramètres!$A$1:$I$89,5,0)</f>
        <v>-9.9316821433603781E-14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298.56812743477741</v>
      </c>
      <c r="EP86" s="62">
        <f t="shared" si="100"/>
        <v>276.01618888357268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4.4871794871794917</v>
      </c>
      <c r="FE86" s="13">
        <f>IF('Données projet'!$A$218&gt;35,FE85+FD86-FM85,IF(A86&lt;'Données projet'!$A$218,$FB$205^A86,IF(A86='Données projet'!$A$218,'Données projet'!$B$218,FE85+FD86-FM85)))</f>
        <v>311.53846153846155</v>
      </c>
      <c r="FF86" s="18">
        <f>FE86*VLOOKUP('Données projet'!$B$16,Paramètres!$A$1:$I$89,3,0)*VLOOKUP('Données projet'!$B$16,Paramètres!$A$1:$I$89,5,0)</f>
        <v>208.98</v>
      </c>
      <c r="FG86" s="14">
        <f t="shared" si="101"/>
        <v>51.712626911871766</v>
      </c>
      <c r="FH86" s="22">
        <f t="shared" si="76"/>
        <v>454.03965853817658</v>
      </c>
      <c r="FI86" s="62">
        <f t="shared" si="77"/>
        <v>725.92440401528006</v>
      </c>
      <c r="FJ86" s="62">
        <f ca="1">AVERAGE(OFFSET($FI$3,0,0,'Données projet'!$E$16+1,1))-AVERAGE(OFFSET($H$3,0,0,'Données projet'!$E$16+1,1))</f>
        <v>396.0878652679051</v>
      </c>
      <c r="FK86" s="62">
        <f t="shared" si="102"/>
        <v>327.26339199235406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9">
        <f t="shared" si="56"/>
        <v>183.33333333333334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420</v>
      </c>
      <c r="L87" s="13">
        <f>VLOOKUP(A87,'Données projet'!$A$35:$I$55,9,0)</f>
        <v>12</v>
      </c>
      <c r="M87" s="13">
        <f t="array" ref="M87">INDEX(L:L,MIN(IF(ISNUMBER(L87:L283),ROW(L87:L283),"")))</f>
        <v>12</v>
      </c>
      <c r="N87" s="14">
        <f>IF('Données projet'!$A$36&gt;35,N86+M87-V86,IF(A87&lt;'Données projet'!$A$36,$K$205^A87,IF(A87='Données projet'!$A$36,'Données projet'!$B$36,N86+M87-V86)))</f>
        <v>419.99999999999966</v>
      </c>
      <c r="O87" s="14">
        <f>N87*VLOOKUP('Données projet'!$B$9,Paramètres!$A$1:$I$89,3,0)*VLOOKUP('Données projet'!$B$9,Paramètres!$A$1:$I$89,5,0)</f>
        <v>360.35999999999973</v>
      </c>
      <c r="P87" s="14">
        <f t="shared" si="87"/>
        <v>83.692107728969532</v>
      </c>
      <c r="Q87" s="22">
        <f t="shared" si="54"/>
        <v>773.39075429462139</v>
      </c>
      <c r="R87" s="62">
        <f t="shared" si="55"/>
        <v>1045.6475848191717</v>
      </c>
      <c r="S87" s="62">
        <f ca="1">AVERAGE(OFFSET($R$3,0,0,'Données projet'!$E$9+1,1))-AVERAGE(OFFSET($H$3,0,0,'Données projet'!$E$9+1,1))</f>
        <v>478.11504516179713</v>
      </c>
      <c r="T87" s="62">
        <f t="shared" si="88"/>
        <v>249.93713224442419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-4.5224624045658861E-14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394.49874384716014</v>
      </c>
      <c r="AO87" s="62">
        <f t="shared" si="90"/>
        <v>423.72519584013378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-4.5224624045658861E-14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394.49874384716014</v>
      </c>
      <c r="BJ87" s="62">
        <f t="shared" si="92"/>
        <v>423.72519584013378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253.79327999999995</v>
      </c>
      <c r="CA87" s="14">
        <f t="shared" si="93"/>
        <v>61.39750139179521</v>
      </c>
      <c r="CB87" s="22">
        <f t="shared" si="64"/>
        <v>548.95727759070985</v>
      </c>
      <c r="CC87" s="62">
        <f t="shared" si="65"/>
        <v>821.21410811526016</v>
      </c>
      <c r="CD87" s="62">
        <f ca="1">AVERAGE(OFFSET($CC$3,0,0,'Données projet'!$E$12+1,1))-AVERAGE(OFFSET($H$3,0,0,'Données projet'!$E$12+1,1))</f>
        <v>496.33873798282525</v>
      </c>
      <c r="CE87" s="62">
        <f t="shared" si="94"/>
        <v>280.25465074992246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4.2307692307692264</v>
      </c>
      <c r="CT87" s="13">
        <f>IF('Données projet'!$A$140&gt;35,CT86+CS87-DB86,IF(A87&lt;'Données projet'!$A$140,$CQ$205^A87,IF(A87='Données projet'!$A$140,'Données projet'!$B$140,CT86+CS87-DB86)))</f>
        <v>254.102564102564</v>
      </c>
      <c r="CU87" s="18">
        <f>CT87*VLOOKUP('Données projet'!$B$13,Paramètres!$A$1:$I$89,3,0)*VLOOKUP('Données projet'!$B$13,Paramètres!$A$1:$I$89,5,0)</f>
        <v>241.80399999999992</v>
      </c>
      <c r="CV87" s="14">
        <f t="shared" si="95"/>
        <v>58.827500543950599</v>
      </c>
      <c r="CW87" s="22">
        <f t="shared" si="67"/>
        <v>523.59986344738036</v>
      </c>
      <c r="CX87" s="62">
        <f t="shared" si="68"/>
        <v>795.85669397193067</v>
      </c>
      <c r="CY87" s="62">
        <f ca="1">AVERAGE(OFFSET($CX$3,0,0,'Données projet'!$E$13+1,1))-AVERAGE(OFFSET($H$3,0,0,'Données projet'!$E$13+1,1))</f>
        <v>441.15969139782891</v>
      </c>
      <c r="CZ87" s="62">
        <f t="shared" si="96"/>
        <v>315.06466790224783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5.6843418860808015E-14</v>
      </c>
      <c r="DP87" s="18">
        <f>DO87*VLOOKUP('Données projet'!$B$14,Paramètres!$A$1:$I$89,3,0)*VLOOKUP('Données projet'!$B$14,Paramètres!$A$1:$I$89,5,0)</f>
        <v>4.4337866711430253E-14</v>
      </c>
      <c r="DQ87" s="14">
        <f t="shared" si="97"/>
        <v>7.3222115536967035E-13</v>
      </c>
      <c r="DR87" s="22">
        <f t="shared" si="70"/>
        <v>1.3525069634579169E-12</v>
      </c>
      <c r="DS87" s="62">
        <f t="shared" si="71"/>
        <v>272.25683052455167</v>
      </c>
      <c r="DT87" s="62">
        <f ca="1">AVERAGE(OFFSET($DS$3,0,0,'Données projet'!$E$14+1,1))-AVERAGE(OFFSET($H$3,0,0,'Données projet'!$E$14+1,1))</f>
        <v>309.21625451786218</v>
      </c>
      <c r="DU87" s="62">
        <f t="shared" si="98"/>
        <v>302.59481222418219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-1.1368683772161603E-13</v>
      </c>
      <c r="EK87" s="18">
        <f>EJ87*VLOOKUP('Données projet'!$B$15,Paramètres!$A$1:$I$89,3,0)*VLOOKUP('Données projet'!$B$15,Paramètres!$A$1:$I$89,5,0)</f>
        <v>-9.9316821433603781E-14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298.56812743477741</v>
      </c>
      <c r="EP87" s="62">
        <f t="shared" si="100"/>
        <v>276.01618888357268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4.4871794871794917</v>
      </c>
      <c r="FE87" s="13">
        <f>IF('Données projet'!$A$218&gt;35,FE86+FD87-FM86,IF(A87&lt;'Données projet'!$A$218,$FB$205^A87,IF(A87='Données projet'!$A$218,'Données projet'!$B$218,FE86+FD87-FM86)))</f>
        <v>316.02564102564105</v>
      </c>
      <c r="FF87" s="18">
        <f>FE87*VLOOKUP('Données projet'!$B$16,Paramètres!$A$1:$I$89,3,0)*VLOOKUP('Données projet'!$B$16,Paramètres!$A$1:$I$89,5,0)</f>
        <v>211.99000000000004</v>
      </c>
      <c r="FG87" s="14">
        <f t="shared" si="101"/>
        <v>52.370211773211892</v>
      </c>
      <c r="FH87" s="22">
        <f t="shared" si="76"/>
        <v>460.42736883834408</v>
      </c>
      <c r="FI87" s="62">
        <f t="shared" si="77"/>
        <v>732.68419936289433</v>
      </c>
      <c r="FJ87" s="62">
        <f ca="1">AVERAGE(OFFSET($FI$3,0,0,'Données projet'!$E$16+1,1))-AVERAGE(OFFSET($H$3,0,0,'Données projet'!$E$16+1,1))</f>
        <v>396.0878652679051</v>
      </c>
      <c r="FK87" s="62">
        <f t="shared" si="102"/>
        <v>327.26339199235406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9">
        <f t="shared" si="56"/>
        <v>183.33333333333334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11.5</v>
      </c>
      <c r="N88" s="14">
        <f>IF('Données projet'!$A$36&gt;35,N87+M88-V87,IF(A88&lt;'Données projet'!$A$36,$K$205^A88,IF(A88='Données projet'!$A$36,'Données projet'!$B$36,N87+M88-V87)))</f>
        <v>431.49999999999966</v>
      </c>
      <c r="O88" s="14">
        <f>N88*VLOOKUP('Données projet'!$B$9,Paramètres!$A$1:$I$89,3,0)*VLOOKUP('Données projet'!$B$9,Paramètres!$A$1:$I$89,5,0)</f>
        <v>370.22699999999975</v>
      </c>
      <c r="P88" s="14">
        <f t="shared" si="87"/>
        <v>85.713744339137904</v>
      </c>
      <c r="Q88" s="22">
        <f t="shared" si="54"/>
        <v>794.09679639066474</v>
      </c>
      <c r="R88" s="62">
        <f t="shared" si="55"/>
        <v>1066.7192571189462</v>
      </c>
      <c r="S88" s="62">
        <f ca="1">AVERAGE(OFFSET($R$3,0,0,'Données projet'!$E$9+1,1))-AVERAGE(OFFSET($H$3,0,0,'Données projet'!$E$9+1,1))</f>
        <v>478.11504516179713</v>
      </c>
      <c r="T88" s="62">
        <f t="shared" si="88"/>
        <v>249.93713224442419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-4.5224624045658861E-14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394.49874384716014</v>
      </c>
      <c r="AO88" s="62">
        <f t="shared" si="90"/>
        <v>423.72519584013378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-4.5224624045658861E-14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394.49874384716014</v>
      </c>
      <c r="BJ88" s="62">
        <f t="shared" si="92"/>
        <v>423.72519584013378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259.20959999999997</v>
      </c>
      <c r="CA88" s="14">
        <f t="shared" si="93"/>
        <v>62.553866774106702</v>
      </c>
      <c r="CB88" s="22">
        <f t="shared" si="64"/>
        <v>560.40470463156907</v>
      </c>
      <c r="CC88" s="62">
        <f t="shared" si="65"/>
        <v>833.02716535985064</v>
      </c>
      <c r="CD88" s="62">
        <f ca="1">AVERAGE(OFFSET($CC$3,0,0,'Données projet'!$E$12+1,1))-AVERAGE(OFFSET($H$3,0,0,'Données projet'!$E$12+1,1))</f>
        <v>496.33873798282525</v>
      </c>
      <c r="CE88" s="62">
        <f t="shared" si="94"/>
        <v>280.25465074992246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258.33333333333331</v>
      </c>
      <c r="CR88" s="13">
        <f>VLOOKUP(A88,'Données projet'!$A$139:$I$159,9,0)</f>
        <v>4.2307692307692264</v>
      </c>
      <c r="CS88" s="13">
        <f t="array" ref="CS88">INDEX(CR:CR,MIN(IF(ISNUMBER(CR88:CR284),ROW(CR88:CR284),"")))</f>
        <v>4.2307692307692264</v>
      </c>
      <c r="CT88" s="13">
        <f>IF('Données projet'!$A$140&gt;35,CT87+CS88-DB87,IF(A88&lt;'Données projet'!$A$140,$CQ$205^A88,IF(A88='Données projet'!$A$140,'Données projet'!$B$140,CT87+CS88-DB87)))</f>
        <v>258.33333333333326</v>
      </c>
      <c r="CU88" s="18">
        <f>CT88*VLOOKUP('Données projet'!$B$13,Paramètres!$A$1:$I$89,3,0)*VLOOKUP('Données projet'!$B$13,Paramètres!$A$1:$I$89,5,0)</f>
        <v>245.82999999999993</v>
      </c>
      <c r="CV88" s="14">
        <f t="shared" si="95"/>
        <v>59.692125837514034</v>
      </c>
      <c r="CW88" s="22">
        <f t="shared" si="67"/>
        <v>532.1177025003368</v>
      </c>
      <c r="CX88" s="62">
        <f t="shared" si="68"/>
        <v>804.74016322861826</v>
      </c>
      <c r="CY88" s="62">
        <f ca="1">AVERAGE(OFFSET($CX$3,0,0,'Données projet'!$E$13+1,1))-AVERAGE(OFFSET($H$3,0,0,'Données projet'!$E$13+1,1))</f>
        <v>441.15969139782891</v>
      </c>
      <c r="CZ88" s="62">
        <f t="shared" si="96"/>
        <v>315.06466790224783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28.846153846153847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5.6843418860808015E-14</v>
      </c>
      <c r="DP88" s="18">
        <f>DO88*VLOOKUP('Données projet'!$B$14,Paramètres!$A$1:$I$89,3,0)*VLOOKUP('Données projet'!$B$14,Paramètres!$A$1:$I$89,5,0)</f>
        <v>4.4337866711430253E-14</v>
      </c>
      <c r="DQ88" s="14">
        <f t="shared" si="97"/>
        <v>7.3222115536967035E-13</v>
      </c>
      <c r="DR88" s="22">
        <f t="shared" si="70"/>
        <v>1.3525069634579169E-12</v>
      </c>
      <c r="DS88" s="62">
        <f t="shared" si="71"/>
        <v>272.62246072828287</v>
      </c>
      <c r="DT88" s="62">
        <f ca="1">AVERAGE(OFFSET($DS$3,0,0,'Données projet'!$E$14+1,1))-AVERAGE(OFFSET($H$3,0,0,'Données projet'!$E$14+1,1))</f>
        <v>309.21625451786218</v>
      </c>
      <c r="DU88" s="62">
        <f t="shared" si="98"/>
        <v>302.59481222418219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-1.1368683772161603E-13</v>
      </c>
      <c r="EK88" s="18">
        <f>EJ88*VLOOKUP('Données projet'!$B$15,Paramètres!$A$1:$I$89,3,0)*VLOOKUP('Données projet'!$B$15,Paramètres!$A$1:$I$89,5,0)</f>
        <v>-9.9316821433603781E-14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298.56812743477741</v>
      </c>
      <c r="EP88" s="62">
        <f t="shared" si="100"/>
        <v>276.01618888357268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320.5128205128205</v>
      </c>
      <c r="FC88" s="13">
        <f>VLOOKUP(A88,'Données projet'!$A$217:$I$237,9,0)</f>
        <v>4.4871794871794917</v>
      </c>
      <c r="FD88" s="13">
        <f t="array" ref="FD88">INDEX(FC:FC,MIN(IF(ISNUMBER(FC88:FC284),ROW(FC88:FC284),"")))</f>
        <v>4.4871794871794917</v>
      </c>
      <c r="FE88" s="13">
        <f>IF('Données projet'!$A$218&gt;35,FE87+FD88-FM87,IF(A88&lt;'Données projet'!$A$218,$FB$205^A88,IF(A88='Données projet'!$A$218,'Données projet'!$B$218,FE87+FD88-FM87)))</f>
        <v>320.51282051282055</v>
      </c>
      <c r="FF88" s="18">
        <f>FE88*VLOOKUP('Données projet'!$B$16,Paramètres!$A$1:$I$89,3,0)*VLOOKUP('Données projet'!$B$16,Paramètres!$A$1:$I$89,5,0)</f>
        <v>215.00000000000006</v>
      </c>
      <c r="FG88" s="14">
        <f t="shared" si="101"/>
        <v>53.026710677875606</v>
      </c>
      <c r="FH88" s="22">
        <f t="shared" si="76"/>
        <v>466.81318776396671</v>
      </c>
      <c r="FI88" s="62">
        <f t="shared" si="77"/>
        <v>739.43564849224822</v>
      </c>
      <c r="FJ88" s="62">
        <f ca="1">AVERAGE(OFFSET($FI$3,0,0,'Données projet'!$E$16+1,1))-AVERAGE(OFFSET($H$3,0,0,'Données projet'!$E$16+1,1))</f>
        <v>396.0878652679051</v>
      </c>
      <c r="FK88" s="62">
        <f t="shared" si="102"/>
        <v>327.26339199235406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9">
        <f t="shared" si="56"/>
        <v>183.33333333333334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11.5</v>
      </c>
      <c r="N89" s="14">
        <f>IF('Données projet'!$A$36&gt;35,N88+M89-V88,IF(A89&lt;'Données projet'!$A$36,$K$205^A89,IF(A89='Données projet'!$A$36,'Données projet'!$B$36,N88+M89-V88)))</f>
        <v>442.99999999999966</v>
      </c>
      <c r="O89" s="14">
        <f>N89*VLOOKUP('Données projet'!$B$9,Paramètres!$A$1:$I$89,3,0)*VLOOKUP('Données projet'!$B$9,Paramètres!$A$1:$I$89,5,0)</f>
        <v>380.09399999999977</v>
      </c>
      <c r="P89" s="14">
        <f t="shared" si="87"/>
        <v>87.729118359210162</v>
      </c>
      <c r="Q89" s="22">
        <f t="shared" si="54"/>
        <v>814.79193114229065</v>
      </c>
      <c r="R89" s="62">
        <f t="shared" si="55"/>
        <v>1087.7736792076953</v>
      </c>
      <c r="S89" s="62">
        <f ca="1">AVERAGE(OFFSET($R$3,0,0,'Données projet'!$E$9+1,1))-AVERAGE(OFFSET($H$3,0,0,'Données projet'!$E$9+1,1))</f>
        <v>478.11504516179713</v>
      </c>
      <c r="T89" s="62">
        <f t="shared" si="88"/>
        <v>249.93713224442419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-4.5224624045658861E-14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394.49874384716014</v>
      </c>
      <c r="AO89" s="62">
        <f t="shared" si="90"/>
        <v>423.72519584013378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-4.5224624045658861E-14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394.49874384716014</v>
      </c>
      <c r="BJ89" s="62">
        <f t="shared" si="92"/>
        <v>423.72519584013378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264.62591999999995</v>
      </c>
      <c r="CA89" s="14">
        <f t="shared" si="93"/>
        <v>63.707422801198604</v>
      </c>
      <c r="CB89" s="22">
        <f t="shared" si="64"/>
        <v>571.84723871208746</v>
      </c>
      <c r="CC89" s="62">
        <f t="shared" si="65"/>
        <v>844.82898677749222</v>
      </c>
      <c r="CD89" s="62">
        <f ca="1">AVERAGE(OFFSET($CC$3,0,0,'Données projet'!$E$12+1,1))-AVERAGE(OFFSET($H$3,0,0,'Données projet'!$E$12+1,1))</f>
        <v>496.33873798282525</v>
      </c>
      <c r="CE89" s="62">
        <f t="shared" si="94"/>
        <v>280.25465074992246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3.8461538461538454</v>
      </c>
      <c r="CT89" s="13">
        <f>IF('Données projet'!$A$140&gt;35,CT88+CS89-DB88,IF(A89&lt;'Données projet'!$A$140,$CQ$205^A89,IF(A89='Données projet'!$A$140,'Données projet'!$B$140,CT88+CS89-DB88)))</f>
        <v>233.33333333333329</v>
      </c>
      <c r="CU89" s="18">
        <f>CT89*VLOOKUP('Données projet'!$B$13,Paramètres!$A$1:$I$89,3,0)*VLOOKUP('Données projet'!$B$13,Paramètres!$A$1:$I$89,5,0)</f>
        <v>222.04</v>
      </c>
      <c r="CV89" s="14">
        <f t="shared" si="95"/>
        <v>54.558031180803546</v>
      </c>
      <c r="CW89" s="22">
        <f t="shared" si="67"/>
        <v>481.74157097323285</v>
      </c>
      <c r="CX89" s="62">
        <f t="shared" si="68"/>
        <v>754.72331903863756</v>
      </c>
      <c r="CY89" s="62">
        <f ca="1">AVERAGE(OFFSET($CX$3,0,0,'Données projet'!$E$13+1,1))-AVERAGE(OFFSET($H$3,0,0,'Données projet'!$E$13+1,1))</f>
        <v>441.15969139782891</v>
      </c>
      <c r="CZ89" s="62">
        <f t="shared" si="96"/>
        <v>315.06466790224783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5.6843418860808015E-14</v>
      </c>
      <c r="DP89" s="18">
        <f>DO89*VLOOKUP('Données projet'!$B$14,Paramètres!$A$1:$I$89,3,0)*VLOOKUP('Données projet'!$B$14,Paramètres!$A$1:$I$89,5,0)</f>
        <v>4.4337866711430253E-14</v>
      </c>
      <c r="DQ89" s="14">
        <f t="shared" si="97"/>
        <v>7.3222115536967035E-13</v>
      </c>
      <c r="DR89" s="22">
        <f t="shared" si="70"/>
        <v>1.3525069634579169E-12</v>
      </c>
      <c r="DS89" s="62">
        <f t="shared" si="71"/>
        <v>272.98174806540607</v>
      </c>
      <c r="DT89" s="62">
        <f ca="1">AVERAGE(OFFSET($DS$3,0,0,'Données projet'!$E$14+1,1))-AVERAGE(OFFSET($H$3,0,0,'Données projet'!$E$14+1,1))</f>
        <v>309.21625451786218</v>
      </c>
      <c r="DU89" s="62">
        <f t="shared" si="98"/>
        <v>302.59481222418219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-1.1368683772161603E-13</v>
      </c>
      <c r="EK89" s="18">
        <f>EJ89*VLOOKUP('Données projet'!$B$15,Paramètres!$A$1:$I$89,3,0)*VLOOKUP('Données projet'!$B$15,Paramètres!$A$1:$I$89,5,0)</f>
        <v>-9.9316821433603781E-14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298.56812743477741</v>
      </c>
      <c r="EP89" s="62">
        <f t="shared" si="100"/>
        <v>276.01618888357268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4.3589743589743648</v>
      </c>
      <c r="FE89" s="13">
        <f>IF('Données projet'!$A$218&gt;35,FE88+FD89-FM88,IF(A89&lt;'Données projet'!$A$218,$FB$205^A89,IF(A89='Données projet'!$A$218,'Données projet'!$B$218,FE88+FD89-FM88)))</f>
        <v>324.87179487179492</v>
      </c>
      <c r="FF89" s="18">
        <f>FE89*VLOOKUP('Données projet'!$B$16,Paramètres!$A$1:$I$89,3,0)*VLOOKUP('Données projet'!$B$16,Paramètres!$A$1:$I$89,5,0)</f>
        <v>217.92400000000001</v>
      </c>
      <c r="FG89" s="14">
        <f t="shared" si="101"/>
        <v>53.663428701179583</v>
      </c>
      <c r="FH89" s="22">
        <f t="shared" si="76"/>
        <v>473.01477165455441</v>
      </c>
      <c r="FI89" s="62">
        <f t="shared" si="77"/>
        <v>745.99651971995911</v>
      </c>
      <c r="FJ89" s="62">
        <f ca="1">AVERAGE(OFFSET($FI$3,0,0,'Données projet'!$E$16+1,1))-AVERAGE(OFFSET($H$3,0,0,'Données projet'!$E$16+1,1))</f>
        <v>396.0878652679051</v>
      </c>
      <c r="FK89" s="62">
        <f t="shared" si="102"/>
        <v>327.26339199235406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9">
        <f t="shared" si="56"/>
        <v>183.33333333333334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11.5</v>
      </c>
      <c r="N90" s="14">
        <f>IF('Données projet'!$A$36&gt;35,N89+M90-V89,IF(A90&lt;'Données projet'!$A$36,$K$205^A90,IF(A90='Données projet'!$A$36,'Données projet'!$B$36,N89+M90-V89)))</f>
        <v>454.49999999999966</v>
      </c>
      <c r="O90" s="14">
        <f>N90*VLOOKUP('Données projet'!$B$9,Paramètres!$A$1:$I$89,3,0)*VLOOKUP('Données projet'!$B$9,Paramètres!$A$1:$I$89,5,0)</f>
        <v>389.96099999999973</v>
      </c>
      <c r="P90" s="14">
        <f t="shared" si="87"/>
        <v>89.738411052819643</v>
      </c>
      <c r="Q90" s="22">
        <f t="shared" si="54"/>
        <v>835.47647425032699</v>
      </c>
      <c r="R90" s="62">
        <f t="shared" si="55"/>
        <v>1108.8112768208018</v>
      </c>
      <c r="S90" s="62">
        <f ca="1">AVERAGE(OFFSET($R$3,0,0,'Données projet'!$E$9+1,1))-AVERAGE(OFFSET($H$3,0,0,'Données projet'!$E$9+1,1))</f>
        <v>478.11504516179713</v>
      </c>
      <c r="T90" s="62">
        <f t="shared" si="88"/>
        <v>249.93713224442419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-4.5224624045658861E-14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394.49874384716014</v>
      </c>
      <c r="AO90" s="62">
        <f t="shared" si="90"/>
        <v>423.72519584013378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-4.5224624045658861E-14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394.49874384716014</v>
      </c>
      <c r="BJ90" s="62">
        <f t="shared" si="92"/>
        <v>423.72519584013378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270.04223999999999</v>
      </c>
      <c r="CA90" s="14">
        <f t="shared" si="93"/>
        <v>64.858233600288145</v>
      </c>
      <c r="CB90" s="22">
        <f t="shared" si="64"/>
        <v>583.28499152050188</v>
      </c>
      <c r="CC90" s="62">
        <f t="shared" si="65"/>
        <v>856.61979409097671</v>
      </c>
      <c r="CD90" s="62">
        <f ca="1">AVERAGE(OFFSET($CC$3,0,0,'Données projet'!$E$12+1,1))-AVERAGE(OFFSET($H$3,0,0,'Données projet'!$E$12+1,1))</f>
        <v>496.33873798282525</v>
      </c>
      <c r="CE90" s="62">
        <f t="shared" si="94"/>
        <v>280.25465074992246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3.8461538461538454</v>
      </c>
      <c r="CT90" s="13">
        <f>IF('Données projet'!$A$140&gt;35,CT89+CS90-DB89,IF(A90&lt;'Données projet'!$A$140,$CQ$205^A90,IF(A90='Données projet'!$A$140,'Données projet'!$B$140,CT89+CS90-DB89)))</f>
        <v>237.17948717948713</v>
      </c>
      <c r="CU90" s="18">
        <f>CT90*VLOOKUP('Données projet'!$B$13,Paramètres!$A$1:$I$89,3,0)*VLOOKUP('Données projet'!$B$13,Paramètres!$A$1:$I$89,5,0)</f>
        <v>225.69999999999996</v>
      </c>
      <c r="CV90" s="14">
        <f t="shared" si="95"/>
        <v>55.351902227970015</v>
      </c>
      <c r="CW90" s="22">
        <f t="shared" si="67"/>
        <v>489.49872971371445</v>
      </c>
      <c r="CX90" s="62">
        <f t="shared" si="68"/>
        <v>762.83353228418923</v>
      </c>
      <c r="CY90" s="62">
        <f ca="1">AVERAGE(OFFSET($CX$3,0,0,'Données projet'!$E$13+1,1))-AVERAGE(OFFSET($H$3,0,0,'Données projet'!$E$13+1,1))</f>
        <v>441.15969139782891</v>
      </c>
      <c r="CZ90" s="62">
        <f t="shared" si="96"/>
        <v>315.06466790224783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5.6843418860808015E-14</v>
      </c>
      <c r="DP90" s="18">
        <f>DO90*VLOOKUP('Données projet'!$B$14,Paramètres!$A$1:$I$89,3,0)*VLOOKUP('Données projet'!$B$14,Paramètres!$A$1:$I$89,5,0)</f>
        <v>4.4337866711430253E-14</v>
      </c>
      <c r="DQ90" s="14">
        <f t="shared" si="97"/>
        <v>7.3222115536967035E-13</v>
      </c>
      <c r="DR90" s="22">
        <f t="shared" si="70"/>
        <v>1.3525069634579169E-12</v>
      </c>
      <c r="DS90" s="62">
        <f t="shared" si="71"/>
        <v>273.3348025704762</v>
      </c>
      <c r="DT90" s="62">
        <f ca="1">AVERAGE(OFFSET($DS$3,0,0,'Données projet'!$E$14+1,1))-AVERAGE(OFFSET($H$3,0,0,'Données projet'!$E$14+1,1))</f>
        <v>309.21625451786218</v>
      </c>
      <c r="DU90" s="62">
        <f t="shared" si="98"/>
        <v>302.59481222418219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-1.1368683772161603E-13</v>
      </c>
      <c r="EK90" s="18">
        <f>EJ90*VLOOKUP('Données projet'!$B$15,Paramètres!$A$1:$I$89,3,0)*VLOOKUP('Données projet'!$B$15,Paramètres!$A$1:$I$89,5,0)</f>
        <v>-9.9316821433603781E-14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298.56812743477741</v>
      </c>
      <c r="EP90" s="62">
        <f t="shared" si="100"/>
        <v>276.01618888357268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4.3589743589743648</v>
      </c>
      <c r="FE90" s="13">
        <f>IF('Données projet'!$A$218&gt;35,FE89+FD90-FM89,IF(A90&lt;'Données projet'!$A$218,$FB$205^A90,IF(A90='Données projet'!$A$218,'Données projet'!$B$218,FE89+FD90-FM89)))</f>
        <v>329.23076923076928</v>
      </c>
      <c r="FF90" s="18">
        <f>FE90*VLOOKUP('Données projet'!$B$16,Paramètres!$A$1:$I$89,3,0)*VLOOKUP('Données projet'!$B$16,Paramètres!$A$1:$I$89,5,0)</f>
        <v>220.84800000000004</v>
      </c>
      <c r="FG90" s="14">
        <f t="shared" si="101"/>
        <v>54.299153043191723</v>
      </c>
      <c r="FH90" s="22">
        <f t="shared" si="76"/>
        <v>479.214624883559</v>
      </c>
      <c r="FI90" s="62">
        <f t="shared" si="77"/>
        <v>752.54942745403378</v>
      </c>
      <c r="FJ90" s="62">
        <f ca="1">AVERAGE(OFFSET($FI$3,0,0,'Données projet'!$E$16+1,1))-AVERAGE(OFFSET($H$3,0,0,'Données projet'!$E$16+1,1))</f>
        <v>396.0878652679051</v>
      </c>
      <c r="FK90" s="62">
        <f t="shared" si="102"/>
        <v>327.26339199235406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9">
        <f t="shared" si="56"/>
        <v>183.33333333333334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11.5</v>
      </c>
      <c r="N91" s="14">
        <f>IF('Données projet'!$A$36&gt;35,N90+M91-V90,IF(A91&lt;'Données projet'!$A$36,$K$205^A91,IF(A91='Données projet'!$A$36,'Données projet'!$B$36,N90+M91-V90)))</f>
        <v>465.99999999999966</v>
      </c>
      <c r="O91" s="14">
        <f>N91*VLOOKUP('Données projet'!$B$9,Paramètres!$A$1:$I$89,3,0)*VLOOKUP('Données projet'!$B$9,Paramètres!$A$1:$I$89,5,0)</f>
        <v>399.82799999999975</v>
      </c>
      <c r="P91" s="14">
        <f t="shared" si="87"/>
        <v>91.741793988042701</v>
      </c>
      <c r="Q91" s="22">
        <f t="shared" si="54"/>
        <v>856.15072452917377</v>
      </c>
      <c r="R91" s="62">
        <f t="shared" si="55"/>
        <v>1129.8324568983676</v>
      </c>
      <c r="S91" s="62">
        <f ca="1">AVERAGE(OFFSET($R$3,0,0,'Données projet'!$E$9+1,1))-AVERAGE(OFFSET($H$3,0,0,'Données projet'!$E$9+1,1))</f>
        <v>478.11504516179713</v>
      </c>
      <c r="T91" s="62">
        <f t="shared" si="88"/>
        <v>249.93713224442419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-4.5224624045658861E-14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394.49874384716014</v>
      </c>
      <c r="AO91" s="62">
        <f t="shared" si="90"/>
        <v>423.72519584013378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-4.5224624045658861E-14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394.49874384716014</v>
      </c>
      <c r="BJ91" s="62">
        <f t="shared" si="92"/>
        <v>423.72519584013378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275.45855999999998</v>
      </c>
      <c r="CA91" s="14">
        <f t="shared" si="93"/>
        <v>66.006360579066197</v>
      </c>
      <c r="CB91" s="22">
        <f t="shared" si="64"/>
        <v>594.71807000854017</v>
      </c>
      <c r="CC91" s="62">
        <f t="shared" si="65"/>
        <v>868.39980237773386</v>
      </c>
      <c r="CD91" s="62">
        <f ca="1">AVERAGE(OFFSET($CC$3,0,0,'Données projet'!$E$12+1,1))-AVERAGE(OFFSET($H$3,0,0,'Données projet'!$E$12+1,1))</f>
        <v>496.33873798282525</v>
      </c>
      <c r="CE91" s="62">
        <f t="shared" si="94"/>
        <v>280.25465074992246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3.8461538461538454</v>
      </c>
      <c r="CT91" s="13">
        <f>IF('Données projet'!$A$140&gt;35,CT90+CS91-DB90,IF(A91&lt;'Données projet'!$A$140,$CQ$205^A91,IF(A91='Données projet'!$A$140,'Données projet'!$B$140,CT90+CS91-DB90)))</f>
        <v>241.02564102564097</v>
      </c>
      <c r="CU91" s="18">
        <f>CT91*VLOOKUP('Données projet'!$B$13,Paramètres!$A$1:$I$89,3,0)*VLOOKUP('Données projet'!$B$13,Paramètres!$A$1:$I$89,5,0)</f>
        <v>229.35999999999996</v>
      </c>
      <c r="CV91" s="14">
        <f t="shared" si="95"/>
        <v>56.144276133877753</v>
      </c>
      <c r="CW91" s="22">
        <f t="shared" si="67"/>
        <v>497.25328093317034</v>
      </c>
      <c r="CX91" s="62">
        <f t="shared" si="68"/>
        <v>770.93501330236404</v>
      </c>
      <c r="CY91" s="62">
        <f ca="1">AVERAGE(OFFSET($CX$3,0,0,'Données projet'!$E$13+1,1))-AVERAGE(OFFSET($H$3,0,0,'Données projet'!$E$13+1,1))</f>
        <v>441.15969139782891</v>
      </c>
      <c r="CZ91" s="62">
        <f t="shared" si="96"/>
        <v>315.06466790224783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5.6843418860808015E-14</v>
      </c>
      <c r="DP91" s="18">
        <f>DO91*VLOOKUP('Données projet'!$B$14,Paramètres!$A$1:$I$89,3,0)*VLOOKUP('Données projet'!$B$14,Paramètres!$A$1:$I$89,5,0)</f>
        <v>4.4337866711430253E-14</v>
      </c>
      <c r="DQ91" s="14">
        <f t="shared" si="97"/>
        <v>7.3222115536967035E-13</v>
      </c>
      <c r="DR91" s="22">
        <f t="shared" si="70"/>
        <v>1.3525069634579169E-12</v>
      </c>
      <c r="DS91" s="62">
        <f t="shared" si="71"/>
        <v>273.68173236919506</v>
      </c>
      <c r="DT91" s="62">
        <f ca="1">AVERAGE(OFFSET($DS$3,0,0,'Données projet'!$E$14+1,1))-AVERAGE(OFFSET($H$3,0,0,'Données projet'!$E$14+1,1))</f>
        <v>309.21625451786218</v>
      </c>
      <c r="DU91" s="62">
        <f t="shared" si="98"/>
        <v>302.59481222418219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-1.1368683772161603E-13</v>
      </c>
      <c r="EK91" s="18">
        <f>EJ91*VLOOKUP('Données projet'!$B$15,Paramètres!$A$1:$I$89,3,0)*VLOOKUP('Données projet'!$B$15,Paramètres!$A$1:$I$89,5,0)</f>
        <v>-9.9316821433603781E-14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298.56812743477741</v>
      </c>
      <c r="EP91" s="62">
        <f t="shared" si="100"/>
        <v>276.01618888357268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4.3589743589743648</v>
      </c>
      <c r="FE91" s="13">
        <f>IF('Données projet'!$A$218&gt;35,FE90+FD91-FM90,IF(A91&lt;'Données projet'!$A$218,$FB$205^A91,IF(A91='Données projet'!$A$218,'Données projet'!$B$218,FE90+FD91-FM90)))</f>
        <v>333.58974358974365</v>
      </c>
      <c r="FF91" s="18">
        <f>FE91*VLOOKUP('Données projet'!$B$16,Paramètres!$A$1:$I$89,3,0)*VLOOKUP('Données projet'!$B$16,Paramètres!$A$1:$I$89,5,0)</f>
        <v>223.77200000000005</v>
      </c>
      <c r="FG91" s="14">
        <f t="shared" si="101"/>
        <v>54.933898381063038</v>
      </c>
      <c r="FH91" s="22">
        <f t="shared" si="76"/>
        <v>485.4127730136849</v>
      </c>
      <c r="FI91" s="62">
        <f t="shared" si="77"/>
        <v>759.09450538287865</v>
      </c>
      <c r="FJ91" s="62">
        <f ca="1">AVERAGE(OFFSET($FI$3,0,0,'Données projet'!$E$16+1,1))-AVERAGE(OFFSET($H$3,0,0,'Données projet'!$E$16+1,1))</f>
        <v>396.0878652679051</v>
      </c>
      <c r="FK91" s="62">
        <f t="shared" si="102"/>
        <v>327.26339199235406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9">
        <f t="shared" si="56"/>
        <v>183.33333333333334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11.5</v>
      </c>
      <c r="N92" s="14">
        <f>IF('Données projet'!$A$36&gt;35,N91+M92-V91,IF(A92&lt;'Données projet'!$A$36,$K$205^A92,IF(A92='Données projet'!$A$36,'Données projet'!$B$36,N91+M92-V91)))</f>
        <v>477.49999999999966</v>
      </c>
      <c r="O92" s="14">
        <f>N92*VLOOKUP('Données projet'!$B$9,Paramètres!$A$1:$I$89,3,0)*VLOOKUP('Données projet'!$B$9,Paramètres!$A$1:$I$89,5,0)</f>
        <v>409.69499999999977</v>
      </c>
      <c r="P92" s="14">
        <f t="shared" si="87"/>
        <v>93.739429782288525</v>
      </c>
      <c r="Q92" s="22">
        <f t="shared" si="54"/>
        <v>876.81496520415214</v>
      </c>
      <c r="R92" s="62">
        <f t="shared" si="55"/>
        <v>1150.8376089156757</v>
      </c>
      <c r="S92" s="62">
        <f ca="1">AVERAGE(OFFSET($R$3,0,0,'Données projet'!$E$9+1,1))-AVERAGE(OFFSET($H$3,0,0,'Données projet'!$E$9+1,1))</f>
        <v>478.11504516179713</v>
      </c>
      <c r="T92" s="62">
        <f t="shared" si="88"/>
        <v>249.93713224442419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-4.5224624045658861E-14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394.49874384716014</v>
      </c>
      <c r="AO92" s="62">
        <f t="shared" si="90"/>
        <v>423.72519584013378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-4.5224624045658861E-14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394.49874384716014</v>
      </c>
      <c r="BJ92" s="62">
        <f t="shared" si="92"/>
        <v>423.72519584013378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280.87488000000008</v>
      </c>
      <c r="CA92" s="14">
        <f t="shared" si="93"/>
        <v>67.151862592195855</v>
      </c>
      <c r="CB92" s="22">
        <f t="shared" si="64"/>
        <v>606.14657668140785</v>
      </c>
      <c r="CC92" s="62">
        <f t="shared" si="65"/>
        <v>880.16922039293149</v>
      </c>
      <c r="CD92" s="62">
        <f ca="1">AVERAGE(OFFSET($CC$3,0,0,'Données projet'!$E$12+1,1))-AVERAGE(OFFSET($H$3,0,0,'Données projet'!$E$12+1,1))</f>
        <v>496.33873798282525</v>
      </c>
      <c r="CE92" s="62">
        <f t="shared" si="94"/>
        <v>280.25465074992246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3.8461538461538454</v>
      </c>
      <c r="CT92" s="13">
        <f>IF('Données projet'!$A$140&gt;35,CT91+CS92-DB91,IF(A92&lt;'Données projet'!$A$140,$CQ$205^A92,IF(A92='Données projet'!$A$140,'Données projet'!$B$140,CT91+CS92-DB91)))</f>
        <v>244.8717948717948</v>
      </c>
      <c r="CU92" s="18">
        <f>CT92*VLOOKUP('Données projet'!$B$13,Paramètres!$A$1:$I$89,3,0)*VLOOKUP('Données projet'!$B$13,Paramètres!$A$1:$I$89,5,0)</f>
        <v>233.01999999999995</v>
      </c>
      <c r="CV92" s="14">
        <f t="shared" si="95"/>
        <v>56.935179547462297</v>
      </c>
      <c r="CW92" s="22">
        <f t="shared" si="67"/>
        <v>505.00527104516345</v>
      </c>
      <c r="CX92" s="62">
        <f t="shared" si="68"/>
        <v>779.0279147566871</v>
      </c>
      <c r="CY92" s="62">
        <f ca="1">AVERAGE(OFFSET($CX$3,0,0,'Données projet'!$E$13+1,1))-AVERAGE(OFFSET($H$3,0,0,'Données projet'!$E$13+1,1))</f>
        <v>441.15969139782891</v>
      </c>
      <c r="CZ92" s="62">
        <f t="shared" si="96"/>
        <v>315.06466790224783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5.6843418860808015E-14</v>
      </c>
      <c r="DP92" s="18">
        <f>DO92*VLOOKUP('Données projet'!$B$14,Paramètres!$A$1:$I$89,3,0)*VLOOKUP('Données projet'!$B$14,Paramètres!$A$1:$I$89,5,0)</f>
        <v>4.4337866711430253E-14</v>
      </c>
      <c r="DQ92" s="14">
        <f t="shared" si="97"/>
        <v>7.3222115536967035E-13</v>
      </c>
      <c r="DR92" s="22">
        <f t="shared" si="70"/>
        <v>1.3525069634579169E-12</v>
      </c>
      <c r="DS92" s="62">
        <f t="shared" si="71"/>
        <v>274.02264371152495</v>
      </c>
      <c r="DT92" s="62">
        <f ca="1">AVERAGE(OFFSET($DS$3,0,0,'Données projet'!$E$14+1,1))-AVERAGE(OFFSET($H$3,0,0,'Données projet'!$E$14+1,1))</f>
        <v>309.21625451786218</v>
      </c>
      <c r="DU92" s="62">
        <f t="shared" si="98"/>
        <v>302.59481222418219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-1.1368683772161603E-13</v>
      </c>
      <c r="EK92" s="18">
        <f>EJ92*VLOOKUP('Données projet'!$B$15,Paramètres!$A$1:$I$89,3,0)*VLOOKUP('Données projet'!$B$15,Paramètres!$A$1:$I$89,5,0)</f>
        <v>-9.9316821433603781E-14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298.56812743477741</v>
      </c>
      <c r="EP92" s="62">
        <f t="shared" si="100"/>
        <v>276.01618888357268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4.3589743589743648</v>
      </c>
      <c r="FE92" s="13">
        <f>IF('Données projet'!$A$218&gt;35,FE91+FD92-FM91,IF(A92&lt;'Données projet'!$A$218,$FB$205^A92,IF(A92='Données projet'!$A$218,'Données projet'!$B$218,FE91+FD92-FM91)))</f>
        <v>337.94871794871801</v>
      </c>
      <c r="FF92" s="18">
        <f>FE92*VLOOKUP('Données projet'!$B$16,Paramètres!$A$1:$I$89,3,0)*VLOOKUP('Données projet'!$B$16,Paramètres!$A$1:$I$89,5,0)</f>
        <v>226.69600000000005</v>
      </c>
      <c r="FG92" s="14">
        <f t="shared" si="101"/>
        <v>55.567678986325824</v>
      </c>
      <c r="FH92" s="22">
        <f t="shared" si="76"/>
        <v>491.60924090118425</v>
      </c>
      <c r="FI92" s="62">
        <f t="shared" si="77"/>
        <v>765.63188461270784</v>
      </c>
      <c r="FJ92" s="62">
        <f ca="1">AVERAGE(OFFSET($FI$3,0,0,'Données projet'!$E$16+1,1))-AVERAGE(OFFSET($H$3,0,0,'Données projet'!$E$16+1,1))</f>
        <v>396.0878652679051</v>
      </c>
      <c r="FK92" s="62">
        <f t="shared" si="102"/>
        <v>327.26339199235406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9">
        <f t="shared" si="56"/>
        <v>183.33333333333334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489</v>
      </c>
      <c r="L93" s="13">
        <f>VLOOKUP(A93,'Données projet'!$A$35:$I$55,9,0)</f>
        <v>11.5</v>
      </c>
      <c r="M93" s="13">
        <f t="array" ref="M93">INDEX(L:L,MIN(IF(ISNUMBER(L93:L289),ROW(L93:L289),"")))</f>
        <v>11.5</v>
      </c>
      <c r="N93" s="14">
        <f>IF('Données projet'!$A$36&gt;35,N92+M93-V92,IF(A93&lt;'Données projet'!$A$36,$K$205^A93,IF(A93='Données projet'!$A$36,'Données projet'!$B$36,N92+M93-V92)))</f>
        <v>488.99999999999966</v>
      </c>
      <c r="O93" s="14">
        <f>N93*VLOOKUP('Données projet'!$B$9,Paramètres!$A$1:$I$89,3,0)*VLOOKUP('Données projet'!$B$9,Paramètres!$A$1:$I$89,5,0)</f>
        <v>419.56199999999973</v>
      </c>
      <c r="P93" s="14">
        <f t="shared" si="87"/>
        <v>95.731472773408413</v>
      </c>
      <c r="Q93" s="22">
        <f t="shared" si="54"/>
        <v>897.46946508035228</v>
      </c>
      <c r="R93" s="62">
        <f t="shared" si="55"/>
        <v>1171.82710608458</v>
      </c>
      <c r="S93" s="62">
        <f ca="1">AVERAGE(OFFSET($R$3,0,0,'Données projet'!$E$9+1,1))-AVERAGE(OFFSET($H$3,0,0,'Données projet'!$E$9+1,1))</f>
        <v>478.11504516179713</v>
      </c>
      <c r="T93" s="62">
        <f t="shared" si="88"/>
        <v>249.93713224442419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-4.5224624045658861E-14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394.49874384716014</v>
      </c>
      <c r="AO93" s="62">
        <f t="shared" si="90"/>
        <v>423.72519584013378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-4.5224624045658861E-14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394.49874384716014</v>
      </c>
      <c r="BJ93" s="62">
        <f t="shared" si="92"/>
        <v>423.72519584013378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286.29120000000006</v>
      </c>
      <c r="CA93" s="14">
        <f t="shared" si="93"/>
        <v>68.294796094604408</v>
      </c>
      <c r="CB93" s="22">
        <f t="shared" si="64"/>
        <v>617.57060986476938</v>
      </c>
      <c r="CC93" s="62">
        <f t="shared" si="65"/>
        <v>891.92825086899711</v>
      </c>
      <c r="CD93" s="62">
        <f ca="1">AVERAGE(OFFSET($CC$3,0,0,'Données projet'!$E$12+1,1))-AVERAGE(OFFSET($H$3,0,0,'Données projet'!$E$12+1,1))</f>
        <v>496.33873798282525</v>
      </c>
      <c r="CE93" s="62">
        <f t="shared" si="94"/>
        <v>280.25465074992246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248.7179487179487</v>
      </c>
      <c r="CR93" s="13">
        <f>VLOOKUP(A93,'Données projet'!$A$139:$I$159,9,0)</f>
        <v>3.8461538461538454</v>
      </c>
      <c r="CS93" s="13">
        <f t="array" ref="CS93">INDEX(CR:CR,MIN(IF(ISNUMBER(CR93:CR289),ROW(CR93:CR289),"")))</f>
        <v>3.8461538461538454</v>
      </c>
      <c r="CT93" s="13">
        <f>IF('Données projet'!$A$140&gt;35,CT92+CS93-DB92,IF(A93&lt;'Données projet'!$A$140,$CQ$205^A93,IF(A93='Données projet'!$A$140,'Données projet'!$B$140,CT92+CS93-DB92)))</f>
        <v>248.71794871794864</v>
      </c>
      <c r="CU93" s="18">
        <f>CT93*VLOOKUP('Données projet'!$B$13,Paramètres!$A$1:$I$89,3,0)*VLOOKUP('Données projet'!$B$13,Paramètres!$A$1:$I$89,5,0)</f>
        <v>236.67999999999995</v>
      </c>
      <c r="CV93" s="14">
        <f t="shared" si="95"/>
        <v>57.724638232498961</v>
      </c>
      <c r="CW93" s="22">
        <f t="shared" si="67"/>
        <v>512.7547449216022</v>
      </c>
      <c r="CX93" s="62">
        <f t="shared" si="68"/>
        <v>787.11238592582981</v>
      </c>
      <c r="CY93" s="62">
        <f ca="1">AVERAGE(OFFSET($CX$3,0,0,'Données projet'!$E$13+1,1))-AVERAGE(OFFSET($H$3,0,0,'Données projet'!$E$13+1,1))</f>
        <v>441.15969139782891</v>
      </c>
      <c r="CZ93" s="62">
        <f t="shared" si="96"/>
        <v>315.06466790224783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5.6843418860808015E-14</v>
      </c>
      <c r="DP93" s="18">
        <f>DO93*VLOOKUP('Données projet'!$B$14,Paramètres!$A$1:$I$89,3,0)*VLOOKUP('Données projet'!$B$14,Paramètres!$A$1:$I$89,5,0)</f>
        <v>4.4337866711430253E-14</v>
      </c>
      <c r="DQ93" s="14">
        <f t="shared" si="97"/>
        <v>7.3222115536967035E-13</v>
      </c>
      <c r="DR93" s="22">
        <f t="shared" si="70"/>
        <v>1.3525069634579169E-12</v>
      </c>
      <c r="DS93" s="62">
        <f t="shared" si="71"/>
        <v>274.35764100422904</v>
      </c>
      <c r="DT93" s="62">
        <f ca="1">AVERAGE(OFFSET($DS$3,0,0,'Données projet'!$E$14+1,1))-AVERAGE(OFFSET($H$3,0,0,'Données projet'!$E$14+1,1))</f>
        <v>309.21625451786218</v>
      </c>
      <c r="DU93" s="62">
        <f t="shared" si="98"/>
        <v>302.59481222418219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-1.1368683772161603E-13</v>
      </c>
      <c r="EK93" s="18">
        <f>EJ93*VLOOKUP('Données projet'!$B$15,Paramètres!$A$1:$I$89,3,0)*VLOOKUP('Données projet'!$B$15,Paramètres!$A$1:$I$89,5,0)</f>
        <v>-9.9316821433603781E-14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298.56812743477741</v>
      </c>
      <c r="EP93" s="62">
        <f t="shared" si="100"/>
        <v>276.01618888357268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342.30769230769232</v>
      </c>
      <c r="FC93" s="13">
        <f>VLOOKUP(A93,'Données projet'!$A$217:$I$237,9,0)</f>
        <v>4.3589743589743648</v>
      </c>
      <c r="FD93" s="13">
        <f t="array" ref="FD93">INDEX(FC:FC,MIN(IF(ISNUMBER(FC93:FC289),ROW(FC93:FC289),"")))</f>
        <v>4.3589743589743648</v>
      </c>
      <c r="FE93" s="13">
        <f>IF('Données projet'!$A$218&gt;35,FE92+FD93-FM92,IF(A93&lt;'Données projet'!$A$218,$FB$205^A93,IF(A93='Données projet'!$A$218,'Données projet'!$B$218,FE92+FD93-FM92)))</f>
        <v>342.30769230769238</v>
      </c>
      <c r="FF93" s="18">
        <f>FE93*VLOOKUP('Données projet'!$B$16,Paramètres!$A$1:$I$89,3,0)*VLOOKUP('Données projet'!$B$16,Paramètres!$A$1:$I$89,5,0)</f>
        <v>229.62000000000003</v>
      </c>
      <c r="FG93" s="14">
        <f t="shared" si="101"/>
        <v>56.200508741188202</v>
      </c>
      <c r="FH93" s="22">
        <f t="shared" si="76"/>
        <v>497.8040527242361</v>
      </c>
      <c r="FI93" s="62">
        <f t="shared" si="77"/>
        <v>772.16169372846377</v>
      </c>
      <c r="FJ93" s="62">
        <f ca="1">AVERAGE(OFFSET($FI$3,0,0,'Données projet'!$E$16+1,1))-AVERAGE(OFFSET($H$3,0,0,'Données projet'!$E$16+1,1))</f>
        <v>396.0878652679051</v>
      </c>
      <c r="FK93" s="62">
        <f t="shared" si="102"/>
        <v>327.26339199235406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27.564102564102562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9">
        <f t="shared" si="56"/>
        <v>183.33333333333334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11.333333333333334</v>
      </c>
      <c r="N94" s="14">
        <f>IF('Données projet'!$A$36&gt;35,N93+M94-V93,IF(A94&lt;'Données projet'!$A$36,$K$205^A94,IF(A94='Données projet'!$A$36,'Données projet'!$B$36,N93+M94-V93)))</f>
        <v>500.33333333333297</v>
      </c>
      <c r="O94" s="14">
        <f>N94*VLOOKUP('Données projet'!$B$9,Paramètres!$A$1:$I$89,3,0)*VLOOKUP('Données projet'!$B$9,Paramètres!$A$1:$I$89,5,0)</f>
        <v>429.28599999999977</v>
      </c>
      <c r="P94" s="14">
        <f t="shared" si="87"/>
        <v>97.689316592289586</v>
      </c>
      <c r="Q94" s="22">
        <f t="shared" si="54"/>
        <v>917.81534306490391</v>
      </c>
      <c r="R94" s="62">
        <f t="shared" si="55"/>
        <v>1192.502169907749</v>
      </c>
      <c r="S94" s="62">
        <f ca="1">AVERAGE(OFFSET($R$3,0,0,'Données projet'!$E$9+1,1))-AVERAGE(OFFSET($H$3,0,0,'Données projet'!$E$9+1,1))</f>
        <v>478.11504516179713</v>
      </c>
      <c r="T94" s="62">
        <f t="shared" si="88"/>
        <v>249.93713224442419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-4.5224624045658861E-14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394.49874384716014</v>
      </c>
      <c r="AO94" s="62">
        <f t="shared" si="90"/>
        <v>423.72519584013378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-4.5224624045658861E-14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394.49874384716014</v>
      </c>
      <c r="BJ94" s="62">
        <f t="shared" si="92"/>
        <v>423.72519584013378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250.40808000000004</v>
      </c>
      <c r="CA94" s="14">
        <f t="shared" si="93"/>
        <v>60.67331674592576</v>
      </c>
      <c r="CB94" s="22">
        <f t="shared" si="64"/>
        <v>541.80009933248743</v>
      </c>
      <c r="CC94" s="62">
        <f t="shared" si="65"/>
        <v>816.48692617533243</v>
      </c>
      <c r="CD94" s="62">
        <f ca="1">AVERAGE(OFFSET($CC$3,0,0,'Données projet'!$E$12+1,1))-AVERAGE(OFFSET($H$3,0,0,'Données projet'!$E$12+1,1))</f>
        <v>496.33873798282525</v>
      </c>
      <c r="CE94" s="62">
        <f t="shared" si="94"/>
        <v>280.25465074992246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3.8461538461538511</v>
      </c>
      <c r="CT94" s="13">
        <f>IF('Données projet'!$A$140&gt;35,CT93+CS94-DB93,IF(A94&lt;'Données projet'!$A$140,$CQ$205^A94,IF(A94='Données projet'!$A$140,'Données projet'!$B$140,CT93+CS94-DB93)))</f>
        <v>252.56410256410248</v>
      </c>
      <c r="CU94" s="18">
        <f>CT94*VLOOKUP('Données projet'!$B$13,Paramètres!$A$1:$I$89,3,0)*VLOOKUP('Données projet'!$B$13,Paramètres!$A$1:$I$89,5,0)</f>
        <v>240.33999999999992</v>
      </c>
      <c r="CV94" s="14">
        <f t="shared" si="95"/>
        <v>58.512677110228594</v>
      </c>
      <c r="CW94" s="22">
        <f t="shared" si="67"/>
        <v>520.50174596698128</v>
      </c>
      <c r="CX94" s="62">
        <f t="shared" si="68"/>
        <v>795.18857280982638</v>
      </c>
      <c r="CY94" s="62">
        <f ca="1">AVERAGE(OFFSET($CX$3,0,0,'Données projet'!$E$13+1,1))-AVERAGE(OFFSET($H$3,0,0,'Données projet'!$E$13+1,1))</f>
        <v>441.15969139782891</v>
      </c>
      <c r="CZ94" s="62">
        <f t="shared" si="96"/>
        <v>315.06466790224783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5.6843418860808015E-14</v>
      </c>
      <c r="DP94" s="18">
        <f>DO94*VLOOKUP('Données projet'!$B$14,Paramètres!$A$1:$I$89,3,0)*VLOOKUP('Données projet'!$B$14,Paramètres!$A$1:$I$89,5,0)</f>
        <v>4.4337866711430253E-14</v>
      </c>
      <c r="DQ94" s="14">
        <f t="shared" si="97"/>
        <v>7.3222115536967035E-13</v>
      </c>
      <c r="DR94" s="22">
        <f t="shared" si="70"/>
        <v>1.3525069634579169E-12</v>
      </c>
      <c r="DS94" s="62">
        <f t="shared" si="71"/>
        <v>274.68682684284641</v>
      </c>
      <c r="DT94" s="62">
        <f ca="1">AVERAGE(OFFSET($DS$3,0,0,'Données projet'!$E$14+1,1))-AVERAGE(OFFSET($H$3,0,0,'Données projet'!$E$14+1,1))</f>
        <v>309.21625451786218</v>
      </c>
      <c r="DU94" s="62">
        <f t="shared" si="98"/>
        <v>302.59481222418219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-1.1368683772161603E-13</v>
      </c>
      <c r="EK94" s="18">
        <f>EJ94*VLOOKUP('Données projet'!$B$15,Paramètres!$A$1:$I$89,3,0)*VLOOKUP('Données projet'!$B$15,Paramètres!$A$1:$I$89,5,0)</f>
        <v>-9.9316821433603781E-14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298.56812743477741</v>
      </c>
      <c r="EP94" s="62">
        <f t="shared" si="100"/>
        <v>276.01618888357268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4.102564102564088</v>
      </c>
      <c r="FE94" s="13">
        <f>IF('Données projet'!$A$218&gt;35,FE93+FD94-FM93,IF(A94&lt;'Données projet'!$A$218,$FB$205^A94,IF(A94='Données projet'!$A$218,'Données projet'!$B$218,FE93+FD94-FM93)))</f>
        <v>318.84615384615392</v>
      </c>
      <c r="FF94" s="18">
        <f>FE94*VLOOKUP('Données projet'!$B$16,Paramètres!$A$1:$I$89,3,0)*VLOOKUP('Données projet'!$B$16,Paramètres!$A$1:$I$89,5,0)</f>
        <v>213.88200000000003</v>
      </c>
      <c r="FG94" s="14">
        <f t="shared" si="101"/>
        <v>52.782993910626054</v>
      </c>
      <c r="FH94" s="22">
        <f t="shared" si="76"/>
        <v>464.44153106100708</v>
      </c>
      <c r="FI94" s="62">
        <f t="shared" si="77"/>
        <v>739.12835790385213</v>
      </c>
      <c r="FJ94" s="62">
        <f ca="1">AVERAGE(OFFSET($FI$3,0,0,'Données projet'!$E$16+1,1))-AVERAGE(OFFSET($H$3,0,0,'Données projet'!$E$16+1,1))</f>
        <v>396.0878652679051</v>
      </c>
      <c r="FK94" s="62">
        <f t="shared" si="102"/>
        <v>327.26339199235406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9">
        <f t="shared" si="56"/>
        <v>183.33333333333334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11.333333333333334</v>
      </c>
      <c r="N95" s="14">
        <f>IF('Données projet'!$A$36&gt;35,N94+M95-V94,IF(A95&lt;'Données projet'!$A$36,$K$205^A95,IF(A95='Données projet'!$A$36,'Données projet'!$B$36,N94+M95-V94)))</f>
        <v>511.66666666666629</v>
      </c>
      <c r="O95" s="14">
        <f>N95*VLOOKUP('Données projet'!$B$9,Paramètres!$A$1:$I$89,3,0)*VLOOKUP('Données projet'!$B$9,Paramètres!$A$1:$I$89,5,0)</f>
        <v>439.00999999999971</v>
      </c>
      <c r="P95" s="14">
        <f t="shared" si="87"/>
        <v>99.642004610829247</v>
      </c>
      <c r="Q95" s="22">
        <f t="shared" si="54"/>
        <v>938.15224136386041</v>
      </c>
      <c r="R95" s="62">
        <f t="shared" si="55"/>
        <v>1213.1625434069722</v>
      </c>
      <c r="S95" s="62">
        <f ca="1">AVERAGE(OFFSET($R$3,0,0,'Données projet'!$E$9+1,1))-AVERAGE(OFFSET($H$3,0,0,'Données projet'!$E$9+1,1))</f>
        <v>478.11504516179713</v>
      </c>
      <c r="T95" s="62">
        <f t="shared" si="88"/>
        <v>249.93713224442419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-4.5224624045658861E-14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394.49874384716014</v>
      </c>
      <c r="AO95" s="62">
        <f t="shared" si="90"/>
        <v>423.72519584013378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-4.5224624045658861E-14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394.49874384716014</v>
      </c>
      <c r="BJ95" s="62">
        <f t="shared" si="92"/>
        <v>423.72519584013378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255.14736000000002</v>
      </c>
      <c r="CA95" s="14">
        <f t="shared" si="93"/>
        <v>61.686859728645651</v>
      </c>
      <c r="CB95" s="22">
        <f t="shared" si="64"/>
        <v>551.81959936072451</v>
      </c>
      <c r="CC95" s="62">
        <f t="shared" si="65"/>
        <v>826.82990140383617</v>
      </c>
      <c r="CD95" s="62">
        <f ca="1">AVERAGE(OFFSET($CC$3,0,0,'Données projet'!$E$12+1,1))-AVERAGE(OFFSET($H$3,0,0,'Données projet'!$E$12+1,1))</f>
        <v>496.33873798282525</v>
      </c>
      <c r="CE95" s="62">
        <f t="shared" si="94"/>
        <v>280.25465074992246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3.8461538461538511</v>
      </c>
      <c r="CT95" s="13">
        <f>IF('Données projet'!$A$140&gt;35,CT94+CS95-DB94,IF(A95&lt;'Données projet'!$A$140,$CQ$205^A95,IF(A95='Données projet'!$A$140,'Données projet'!$B$140,CT94+CS95-DB94)))</f>
        <v>256.41025641025635</v>
      </c>
      <c r="CU95" s="18">
        <f>CT95*VLOOKUP('Données projet'!$B$13,Paramètres!$A$1:$I$89,3,0)*VLOOKUP('Données projet'!$B$13,Paramètres!$A$1:$I$89,5,0)</f>
        <v>243.99999999999997</v>
      </c>
      <c r="CV95" s="14">
        <f t="shared" si="95"/>
        <v>59.299320299313244</v>
      </c>
      <c r="CW95" s="22">
        <f t="shared" si="67"/>
        <v>528.24631618797048</v>
      </c>
      <c r="CX95" s="62">
        <f t="shared" si="68"/>
        <v>803.25661823108226</v>
      </c>
      <c r="CY95" s="62">
        <f ca="1">AVERAGE(OFFSET($CX$3,0,0,'Données projet'!$E$13+1,1))-AVERAGE(OFFSET($H$3,0,0,'Données projet'!$E$13+1,1))</f>
        <v>441.15969139782891</v>
      </c>
      <c r="CZ95" s="62">
        <f t="shared" si="96"/>
        <v>315.06466790224783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5.6843418860808015E-14</v>
      </c>
      <c r="DP95" s="18">
        <f>DO95*VLOOKUP('Données projet'!$B$14,Paramètres!$A$1:$I$89,3,0)*VLOOKUP('Données projet'!$B$14,Paramètres!$A$1:$I$89,5,0)</f>
        <v>4.4337866711430253E-14</v>
      </c>
      <c r="DQ95" s="14">
        <f t="shared" si="97"/>
        <v>7.3222115536967035E-13</v>
      </c>
      <c r="DR95" s="22">
        <f t="shared" si="70"/>
        <v>1.3525069634579169E-12</v>
      </c>
      <c r="DS95" s="62">
        <f t="shared" si="71"/>
        <v>275.01030204311309</v>
      </c>
      <c r="DT95" s="62">
        <f ca="1">AVERAGE(OFFSET($DS$3,0,0,'Données projet'!$E$14+1,1))-AVERAGE(OFFSET($H$3,0,0,'Données projet'!$E$14+1,1))</f>
        <v>309.21625451786218</v>
      </c>
      <c r="DU95" s="62">
        <f t="shared" si="98"/>
        <v>302.59481222418219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-1.1368683772161603E-13</v>
      </c>
      <c r="EK95" s="18">
        <f>EJ95*VLOOKUP('Données projet'!$B$15,Paramètres!$A$1:$I$89,3,0)*VLOOKUP('Données projet'!$B$15,Paramètres!$A$1:$I$89,5,0)</f>
        <v>-9.9316821433603781E-14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298.56812743477741</v>
      </c>
      <c r="EP95" s="62">
        <f t="shared" si="100"/>
        <v>276.01618888357268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4.102564102564088</v>
      </c>
      <c r="FE95" s="13">
        <f>IF('Données projet'!$A$218&gt;35,FE94+FD95-FM94,IF(A95&lt;'Données projet'!$A$218,$FB$205^A95,IF(A95='Données projet'!$A$218,'Données projet'!$B$218,FE94+FD95-FM94)))</f>
        <v>322.94871794871801</v>
      </c>
      <c r="FF95" s="18">
        <f>FE95*VLOOKUP('Données projet'!$B$16,Paramètres!$A$1:$I$89,3,0)*VLOOKUP('Données projet'!$B$16,Paramètres!$A$1:$I$89,5,0)</f>
        <v>216.63400000000004</v>
      </c>
      <c r="FG95" s="14">
        <f t="shared" si="101"/>
        <v>53.382647066119048</v>
      </c>
      <c r="FH95" s="22">
        <f t="shared" si="76"/>
        <v>470.27899364015747</v>
      </c>
      <c r="FI95" s="62">
        <f t="shared" si="77"/>
        <v>745.28929568326919</v>
      </c>
      <c r="FJ95" s="62">
        <f ca="1">AVERAGE(OFFSET($FI$3,0,0,'Données projet'!$E$16+1,1))-AVERAGE(OFFSET($H$3,0,0,'Données projet'!$E$16+1,1))</f>
        <v>396.0878652679051</v>
      </c>
      <c r="FK95" s="62">
        <f t="shared" si="102"/>
        <v>327.26339199235406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9">
        <f t="shared" si="56"/>
        <v>183.33333333333334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11.333333333333334</v>
      </c>
      <c r="N96" s="14">
        <f>IF('Données projet'!$A$36&gt;35,N95+M96-V95,IF(A96&lt;'Données projet'!$A$36,$K$205^A96,IF(A96='Données projet'!$A$36,'Données projet'!$B$36,N95+M96-V95)))</f>
        <v>522.99999999999966</v>
      </c>
      <c r="O96" s="14">
        <f>N96*VLOOKUP('Données projet'!$B$9,Paramètres!$A$1:$I$89,3,0)*VLOOKUP('Données projet'!$B$9,Paramètres!$A$1:$I$89,5,0)</f>
        <v>448.73399999999981</v>
      </c>
      <c r="P96" s="14">
        <f t="shared" si="87"/>
        <v>101.58966417888674</v>
      </c>
      <c r="Q96" s="22">
        <f t="shared" si="54"/>
        <v>958.48038177822752</v>
      </c>
      <c r="R96" s="62">
        <f t="shared" si="55"/>
        <v>1233.8085474500635</v>
      </c>
      <c r="S96" s="62">
        <f ca="1">AVERAGE(OFFSET($R$3,0,0,'Données projet'!$E$9+1,1))-AVERAGE(OFFSET($H$3,0,0,'Données projet'!$E$9+1,1))</f>
        <v>478.11504516179713</v>
      </c>
      <c r="T96" s="62">
        <f t="shared" si="88"/>
        <v>249.93713224442419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-4.5224624045658861E-14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394.49874384716014</v>
      </c>
      <c r="AO96" s="62">
        <f t="shared" si="90"/>
        <v>423.72519584013378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-4.5224624045658861E-14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394.49874384716014</v>
      </c>
      <c r="BJ96" s="62">
        <f t="shared" si="92"/>
        <v>423.72519584013378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259.88664</v>
      </c>
      <c r="CA96" s="14">
        <f t="shared" si="93"/>
        <v>62.698213571884004</v>
      </c>
      <c r="CB96" s="22">
        <f t="shared" si="64"/>
        <v>561.835286637698</v>
      </c>
      <c r="CC96" s="62">
        <f t="shared" si="65"/>
        <v>837.16345230953402</v>
      </c>
      <c r="CD96" s="62">
        <f ca="1">AVERAGE(OFFSET($CC$3,0,0,'Données projet'!$E$12+1,1))-AVERAGE(OFFSET($H$3,0,0,'Données projet'!$E$12+1,1))</f>
        <v>496.33873798282525</v>
      </c>
      <c r="CE96" s="62">
        <f t="shared" si="94"/>
        <v>280.25465074992246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3.8461538461538511</v>
      </c>
      <c r="CT96" s="13">
        <f>IF('Données projet'!$A$140&gt;35,CT95+CS96-DB95,IF(A96&lt;'Données projet'!$A$140,$CQ$205^A96,IF(A96='Données projet'!$A$140,'Données projet'!$B$140,CT95+CS96-DB95)))</f>
        <v>260.25641025641022</v>
      </c>
      <c r="CU96" s="18">
        <f>CT96*VLOOKUP('Données projet'!$B$13,Paramètres!$A$1:$I$89,3,0)*VLOOKUP('Données projet'!$B$13,Paramètres!$A$1:$I$89,5,0)</f>
        <v>247.65999999999994</v>
      </c>
      <c r="CV96" s="14">
        <f t="shared" si="95"/>
        <v>60.084591153326222</v>
      </c>
      <c r="CW96" s="22">
        <f t="shared" si="67"/>
        <v>535.98849625870969</v>
      </c>
      <c r="CX96" s="62">
        <f t="shared" si="68"/>
        <v>811.31666193054571</v>
      </c>
      <c r="CY96" s="62">
        <f ca="1">AVERAGE(OFFSET($CX$3,0,0,'Données projet'!$E$13+1,1))-AVERAGE(OFFSET($H$3,0,0,'Données projet'!$E$13+1,1))</f>
        <v>441.15969139782891</v>
      </c>
      <c r="CZ96" s="62">
        <f t="shared" si="96"/>
        <v>315.06466790224783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5.6843418860808015E-14</v>
      </c>
      <c r="DP96" s="18">
        <f>DO96*VLOOKUP('Données projet'!$B$14,Paramètres!$A$1:$I$89,3,0)*VLOOKUP('Données projet'!$B$14,Paramètres!$A$1:$I$89,5,0)</f>
        <v>4.4337866711430253E-14</v>
      </c>
      <c r="DQ96" s="14">
        <f t="shared" si="97"/>
        <v>7.3222115536967035E-13</v>
      </c>
      <c r="DR96" s="22">
        <f t="shared" si="70"/>
        <v>1.3525069634579169E-12</v>
      </c>
      <c r="DS96" s="62">
        <f t="shared" si="71"/>
        <v>275.32816567183733</v>
      </c>
      <c r="DT96" s="62">
        <f ca="1">AVERAGE(OFFSET($DS$3,0,0,'Données projet'!$E$14+1,1))-AVERAGE(OFFSET($H$3,0,0,'Données projet'!$E$14+1,1))</f>
        <v>309.21625451786218</v>
      </c>
      <c r="DU96" s="62">
        <f t="shared" si="98"/>
        <v>302.59481222418219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-1.1368683772161603E-13</v>
      </c>
      <c r="EK96" s="18">
        <f>EJ96*VLOOKUP('Données projet'!$B$15,Paramètres!$A$1:$I$89,3,0)*VLOOKUP('Données projet'!$B$15,Paramètres!$A$1:$I$89,5,0)</f>
        <v>-9.9316821433603781E-14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298.56812743477741</v>
      </c>
      <c r="EP96" s="62">
        <f t="shared" si="100"/>
        <v>276.01618888357268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4.102564102564088</v>
      </c>
      <c r="FE96" s="13">
        <f>IF('Données projet'!$A$218&gt;35,FE95+FD96-FM95,IF(A96&lt;'Données projet'!$A$218,$FB$205^A96,IF(A96='Données projet'!$A$218,'Données projet'!$B$218,FE95+FD96-FM95)))</f>
        <v>327.0512820512821</v>
      </c>
      <c r="FF96" s="18">
        <f>FE96*VLOOKUP('Données projet'!$B$16,Paramètres!$A$1:$I$89,3,0)*VLOOKUP('Données projet'!$B$16,Paramètres!$A$1:$I$89,5,0)</f>
        <v>219.38600000000002</v>
      </c>
      <c r="FG96" s="14">
        <f t="shared" si="101"/>
        <v>53.981414155321495</v>
      </c>
      <c r="FH96" s="22">
        <f t="shared" si="76"/>
        <v>476.11491298718494</v>
      </c>
      <c r="FI96" s="62">
        <f t="shared" si="77"/>
        <v>751.4430786590209</v>
      </c>
      <c r="FJ96" s="62">
        <f ca="1">AVERAGE(OFFSET($FI$3,0,0,'Données projet'!$E$16+1,1))-AVERAGE(OFFSET($H$3,0,0,'Données projet'!$E$16+1,1))</f>
        <v>396.0878652679051</v>
      </c>
      <c r="FK96" s="62">
        <f t="shared" si="102"/>
        <v>327.26339199235406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9">
        <f t="shared" si="56"/>
        <v>183.33333333333334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11.333333333333334</v>
      </c>
      <c r="N97" s="14">
        <f>IF('Données projet'!$A$36&gt;35,N96+M97-V96,IF(A97&lt;'Données projet'!$A$36,$K$205^A97,IF(A97='Données projet'!$A$36,'Données projet'!$B$36,N96+M97-V96)))</f>
        <v>534.33333333333303</v>
      </c>
      <c r="O97" s="14">
        <f>N97*VLOOKUP('Données projet'!$B$9,Paramètres!$A$1:$I$89,3,0)*VLOOKUP('Données projet'!$B$9,Paramètres!$A$1:$I$89,5,0)</f>
        <v>458.4579999999998</v>
      </c>
      <c r="P97" s="14">
        <f t="shared" si="87"/>
        <v>103.53241681177968</v>
      </c>
      <c r="Q97" s="22">
        <f t="shared" si="54"/>
        <v>978.79997594718259</v>
      </c>
      <c r="R97" s="62">
        <f t="shared" si="55"/>
        <v>1254.4404910244211</v>
      </c>
      <c r="S97" s="62">
        <f ca="1">AVERAGE(OFFSET($R$3,0,0,'Données projet'!$E$9+1,1))-AVERAGE(OFFSET($H$3,0,0,'Données projet'!$E$9+1,1))</f>
        <v>478.11504516179713</v>
      </c>
      <c r="T97" s="62">
        <f t="shared" si="88"/>
        <v>249.93713224442419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-4.5224624045658861E-14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394.49874384716014</v>
      </c>
      <c r="AO97" s="62">
        <f t="shared" si="90"/>
        <v>423.72519584013378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-4.5224624045658861E-14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394.49874384716014</v>
      </c>
      <c r="BJ97" s="62">
        <f t="shared" si="92"/>
        <v>423.72519584013378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264.62591999999995</v>
      </c>
      <c r="CA97" s="14">
        <f t="shared" si="93"/>
        <v>63.707422801198604</v>
      </c>
      <c r="CB97" s="22">
        <f t="shared" si="64"/>
        <v>571.84723871208746</v>
      </c>
      <c r="CC97" s="62">
        <f t="shared" si="65"/>
        <v>847.48775378932601</v>
      </c>
      <c r="CD97" s="62">
        <f ca="1">AVERAGE(OFFSET($CC$3,0,0,'Données projet'!$E$12+1,1))-AVERAGE(OFFSET($H$3,0,0,'Données projet'!$E$12+1,1))</f>
        <v>496.33873798282525</v>
      </c>
      <c r="CE97" s="62">
        <f t="shared" si="94"/>
        <v>280.25465074992246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3.8461538461538511</v>
      </c>
      <c r="CT97" s="13">
        <f>IF('Données projet'!$A$140&gt;35,CT96+CS97-DB96,IF(A97&lt;'Données projet'!$A$140,$CQ$205^A97,IF(A97='Données projet'!$A$140,'Données projet'!$B$140,CT96+CS97-DB96)))</f>
        <v>264.10256410256409</v>
      </c>
      <c r="CU97" s="18">
        <f>CT97*VLOOKUP('Données projet'!$B$13,Paramètres!$A$1:$I$89,3,0)*VLOOKUP('Données projet'!$B$13,Paramètres!$A$1:$I$89,5,0)</f>
        <v>251.32</v>
      </c>
      <c r="CV97" s="14">
        <f t="shared" si="95"/>
        <v>60.868512295963441</v>
      </c>
      <c r="CW97" s="22">
        <f t="shared" si="67"/>
        <v>543.72832558213634</v>
      </c>
      <c r="CX97" s="62">
        <f t="shared" si="68"/>
        <v>819.36884065937488</v>
      </c>
      <c r="CY97" s="62">
        <f ca="1">AVERAGE(OFFSET($CX$3,0,0,'Données projet'!$E$13+1,1))-AVERAGE(OFFSET($H$3,0,0,'Données projet'!$E$13+1,1))</f>
        <v>441.15969139782891</v>
      </c>
      <c r="CZ97" s="62">
        <f t="shared" si="96"/>
        <v>315.06466790224783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5.6843418860808015E-14</v>
      </c>
      <c r="DP97" s="18">
        <f>DO97*VLOOKUP('Données projet'!$B$14,Paramètres!$A$1:$I$89,3,0)*VLOOKUP('Données projet'!$B$14,Paramètres!$A$1:$I$89,5,0)</f>
        <v>4.4337866711430253E-14</v>
      </c>
      <c r="DQ97" s="14">
        <f t="shared" si="97"/>
        <v>7.3222115536967035E-13</v>
      </c>
      <c r="DR97" s="22">
        <f t="shared" si="70"/>
        <v>1.3525069634579169E-12</v>
      </c>
      <c r="DS97" s="62">
        <f t="shared" si="71"/>
        <v>275.64051507723985</v>
      </c>
      <c r="DT97" s="62">
        <f ca="1">AVERAGE(OFFSET($DS$3,0,0,'Données projet'!$E$14+1,1))-AVERAGE(OFFSET($H$3,0,0,'Données projet'!$E$14+1,1))</f>
        <v>309.21625451786218</v>
      </c>
      <c r="DU97" s="62">
        <f t="shared" si="98"/>
        <v>302.59481222418219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-1.1368683772161603E-13</v>
      </c>
      <c r="EK97" s="18">
        <f>EJ97*VLOOKUP('Données projet'!$B$15,Paramètres!$A$1:$I$89,3,0)*VLOOKUP('Données projet'!$B$15,Paramètres!$A$1:$I$89,5,0)</f>
        <v>-9.9316821433603781E-14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298.56812743477741</v>
      </c>
      <c r="EP97" s="62">
        <f t="shared" si="100"/>
        <v>276.01618888357268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4.102564102564088</v>
      </c>
      <c r="FE97" s="13">
        <f>IF('Données projet'!$A$218&gt;35,FE96+FD97-FM96,IF(A97&lt;'Données projet'!$A$218,$FB$205^A97,IF(A97='Données projet'!$A$218,'Données projet'!$B$218,FE96+FD97-FM96)))</f>
        <v>331.15384615384619</v>
      </c>
      <c r="FF97" s="18">
        <f>FE97*VLOOKUP('Données projet'!$B$16,Paramètres!$A$1:$I$89,3,0)*VLOOKUP('Données projet'!$B$16,Paramètres!$A$1:$I$89,5,0)</f>
        <v>222.13800000000001</v>
      </c>
      <c r="FG97" s="14">
        <f t="shared" si="101"/>
        <v>54.579307578512022</v>
      </c>
      <c r="FH97" s="22">
        <f t="shared" si="76"/>
        <v>481.94931069924172</v>
      </c>
      <c r="FI97" s="62">
        <f t="shared" si="77"/>
        <v>757.58982577648021</v>
      </c>
      <c r="FJ97" s="62">
        <f ca="1">AVERAGE(OFFSET($FI$3,0,0,'Données projet'!$E$16+1,1))-AVERAGE(OFFSET($H$3,0,0,'Données projet'!$E$16+1,1))</f>
        <v>396.0878652679051</v>
      </c>
      <c r="FK97" s="62">
        <f t="shared" si="102"/>
        <v>327.26339199235406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9">
        <f t="shared" si="56"/>
        <v>183.33333333333334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11.333333333333334</v>
      </c>
      <c r="N98" s="14">
        <f>IF('Données projet'!$A$36&gt;35,N97+M98-V97,IF(A98&lt;'Données projet'!$A$36,$K$205^A98,IF(A98='Données projet'!$A$36,'Données projet'!$B$36,N97+M98-V97)))</f>
        <v>545.6666666666664</v>
      </c>
      <c r="O98" s="14">
        <f>N98*VLOOKUP('Données projet'!$B$9,Paramètres!$A$1:$I$89,3,0)*VLOOKUP('Données projet'!$B$9,Paramètres!$A$1:$I$89,5,0)</f>
        <v>468.18199999999985</v>
      </c>
      <c r="P98" s="14">
        <f t="shared" si="87"/>
        <v>105.47037857558523</v>
      </c>
      <c r="Q98" s="22">
        <f t="shared" si="54"/>
        <v>999.11122601914394</v>
      </c>
      <c r="R98" s="62">
        <f t="shared" si="55"/>
        <v>1275.0586719379098</v>
      </c>
      <c r="S98" s="62">
        <f ca="1">AVERAGE(OFFSET($R$3,0,0,'Données projet'!$E$9+1,1))-AVERAGE(OFFSET($H$3,0,0,'Données projet'!$E$9+1,1))</f>
        <v>478.11504516179713</v>
      </c>
      <c r="T98" s="62">
        <f t="shared" si="88"/>
        <v>249.93713224442419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-4.5224624045658861E-14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394.49874384716014</v>
      </c>
      <c r="AO98" s="62">
        <f t="shared" si="90"/>
        <v>423.72519584013378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-4.5224624045658861E-14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394.49874384716014</v>
      </c>
      <c r="BJ98" s="62">
        <f t="shared" si="92"/>
        <v>423.72519584013378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269.36519999999996</v>
      </c>
      <c r="CA98" s="14">
        <f t="shared" si="93"/>
        <v>64.714530255967034</v>
      </c>
      <c r="CB98" s="22">
        <f t="shared" si="64"/>
        <v>581.85553019580914</v>
      </c>
      <c r="CC98" s="62">
        <f t="shared" si="65"/>
        <v>857.80297611457513</v>
      </c>
      <c r="CD98" s="62">
        <f ca="1">AVERAGE(OFFSET($CC$3,0,0,'Données projet'!$E$12+1,1))-AVERAGE(OFFSET($H$3,0,0,'Données projet'!$E$12+1,1))</f>
        <v>496.33873798282525</v>
      </c>
      <c r="CE98" s="62">
        <f t="shared" si="94"/>
        <v>280.25465074992246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267.94871794871796</v>
      </c>
      <c r="CR98" s="13">
        <f>VLOOKUP(A98,'Données projet'!$A$139:$I$159,9,0)</f>
        <v>3.8461538461538511</v>
      </c>
      <c r="CS98" s="13">
        <f t="array" ref="CS98">INDEX(CR:CR,MIN(IF(ISNUMBER(CR98:CR294),ROW(CR98:CR294),"")))</f>
        <v>3.8461538461538511</v>
      </c>
      <c r="CT98" s="13">
        <f>IF('Données projet'!$A$140&gt;35,CT97+CS98-DB97,IF(A98&lt;'Données projet'!$A$140,$CQ$205^A98,IF(A98='Données projet'!$A$140,'Données projet'!$B$140,CT97+CS98-DB97)))</f>
        <v>267.94871794871796</v>
      </c>
      <c r="CU98" s="18">
        <f>CT98*VLOOKUP('Données projet'!$B$13,Paramètres!$A$1:$I$89,3,0)*VLOOKUP('Données projet'!$B$13,Paramètres!$A$1:$I$89,5,0)</f>
        <v>254.98000000000002</v>
      </c>
      <c r="CV98" s="14">
        <f t="shared" si="95"/>
        <v>61.651105654144821</v>
      </c>
      <c r="CW98" s="22">
        <f t="shared" si="67"/>
        <v>551.46584234763566</v>
      </c>
      <c r="CX98" s="62">
        <f t="shared" si="68"/>
        <v>827.41328826640165</v>
      </c>
      <c r="CY98" s="62">
        <f ca="1">AVERAGE(OFFSET($CX$3,0,0,'Données projet'!$E$13+1,1))-AVERAGE(OFFSET($H$3,0,0,'Données projet'!$E$13+1,1))</f>
        <v>441.15969139782891</v>
      </c>
      <c r="CZ98" s="62">
        <f t="shared" si="96"/>
        <v>315.06466790224783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27.564102564102562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5.6843418860808015E-14</v>
      </c>
      <c r="DP98" s="18">
        <f>DO98*VLOOKUP('Données projet'!$B$14,Paramètres!$A$1:$I$89,3,0)*VLOOKUP('Données projet'!$B$14,Paramètres!$A$1:$I$89,5,0)</f>
        <v>4.4337866711430253E-14</v>
      </c>
      <c r="DQ98" s="14">
        <f t="shared" si="97"/>
        <v>7.3222115536967035E-13</v>
      </c>
      <c r="DR98" s="22">
        <f t="shared" si="70"/>
        <v>1.3525069634579169E-12</v>
      </c>
      <c r="DS98" s="62">
        <f t="shared" si="71"/>
        <v>275.9474459187673</v>
      </c>
      <c r="DT98" s="62">
        <f ca="1">AVERAGE(OFFSET($DS$3,0,0,'Données projet'!$E$14+1,1))-AVERAGE(OFFSET($H$3,0,0,'Données projet'!$E$14+1,1))</f>
        <v>309.21625451786218</v>
      </c>
      <c r="DU98" s="62">
        <f t="shared" si="98"/>
        <v>302.59481222418219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-1.1368683772161603E-13</v>
      </c>
      <c r="EK98" s="18">
        <f>EJ98*VLOOKUP('Données projet'!$B$15,Paramètres!$A$1:$I$89,3,0)*VLOOKUP('Données projet'!$B$15,Paramètres!$A$1:$I$89,5,0)</f>
        <v>-9.9316821433603781E-14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298.56812743477741</v>
      </c>
      <c r="EP98" s="62">
        <f t="shared" si="100"/>
        <v>276.01618888357268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335.25641025641022</v>
      </c>
      <c r="FC98" s="13">
        <f>VLOOKUP(A98,'Données projet'!$A$217:$I$237,9,0)</f>
        <v>4.102564102564088</v>
      </c>
      <c r="FD98" s="13">
        <f t="array" ref="FD98">INDEX(FC:FC,MIN(IF(ISNUMBER(FC98:FC294),ROW(FC98:FC294),"")))</f>
        <v>4.102564102564088</v>
      </c>
      <c r="FE98" s="13">
        <f>IF('Données projet'!$A$218&gt;35,FE97+FD98-FM97,IF(A98&lt;'Données projet'!$A$218,$FB$205^A98,IF(A98='Données projet'!$A$218,'Données projet'!$B$218,FE97+FD98-FM97)))</f>
        <v>335.25641025641028</v>
      </c>
      <c r="FF98" s="18">
        <f>FE98*VLOOKUP('Données projet'!$B$16,Paramètres!$A$1:$I$89,3,0)*VLOOKUP('Données projet'!$B$16,Paramètres!$A$1:$I$89,5,0)</f>
        <v>224.89000000000001</v>
      </c>
      <c r="FG98" s="14">
        <f t="shared" si="101"/>
        <v>55.17633941105067</v>
      </c>
      <c r="FH98" s="22">
        <f t="shared" si="76"/>
        <v>487.78220780757994</v>
      </c>
      <c r="FI98" s="62">
        <f t="shared" si="77"/>
        <v>763.72965372634587</v>
      </c>
      <c r="FJ98" s="62">
        <f ca="1">AVERAGE(OFFSET($FI$3,0,0,'Données projet'!$E$16+1,1))-AVERAGE(OFFSET($H$3,0,0,'Données projet'!$E$16+1,1))</f>
        <v>396.0878652679051</v>
      </c>
      <c r="FK98" s="62">
        <f t="shared" si="102"/>
        <v>327.26339199235406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9">
        <f t="shared" si="56"/>
        <v>183.33333333333334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557</v>
      </c>
      <c r="L99" s="13">
        <f>VLOOKUP(A99,'Données projet'!$A$35:$I$55,9,0)</f>
        <v>11.333333333333334</v>
      </c>
      <c r="M99" s="13">
        <f t="array" ref="M99">INDEX(L:L,MIN(IF(ISNUMBER(L99:L295),ROW(L99:L295),"")))</f>
        <v>11.333333333333334</v>
      </c>
      <c r="N99" s="14">
        <f>IF('Données projet'!$A$36&gt;35,N98+M99-V98,IF(A99&lt;'Données projet'!$A$36,$K$205^A99,IF(A99='Données projet'!$A$36,'Données projet'!$B$36,N98+M99-V98)))</f>
        <v>556.99999999999977</v>
      </c>
      <c r="O99" s="14">
        <f>N99*VLOOKUP('Données projet'!$B$9,Paramètres!$A$1:$I$89,3,0)*VLOOKUP('Données projet'!$B$9,Paramètres!$A$1:$I$89,5,0)</f>
        <v>477.90599999999989</v>
      </c>
      <c r="P99" s="14">
        <f t="shared" si="87"/>
        <v>107.4036604395269</v>
      </c>
      <c r="Q99" s="22">
        <f t="shared" ref="Q99:Q130" si="107">(O99+P99)*0.475*44/12</f>
        <v>1019.4143252655093</v>
      </c>
      <c r="R99" s="62">
        <f t="shared" si="55"/>
        <v>1295.6633774618967</v>
      </c>
      <c r="S99" s="62">
        <f ca="1">AVERAGE(OFFSET($R$3,0,0,'Données projet'!$E$9+1,1))-AVERAGE(OFFSET($H$3,0,0,'Données projet'!$E$9+1,1))</f>
        <v>478.11504516179713</v>
      </c>
      <c r="T99" s="62">
        <f t="shared" si="88"/>
        <v>249.93713224442419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-4.5224624045658861E-14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394.49874384716014</v>
      </c>
      <c r="AO99" s="62">
        <f t="shared" si="90"/>
        <v>423.72519584013378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-4.5224624045658861E-14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394.49874384716014</v>
      </c>
      <c r="BJ99" s="62">
        <f t="shared" si="92"/>
        <v>423.72519584013378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274.10447999999991</v>
      </c>
      <c r="CA99" s="14">
        <f t="shared" si="93"/>
        <v>65.719577181765516</v>
      </c>
      <c r="CB99" s="22">
        <f t="shared" si="64"/>
        <v>591.86023292490802</v>
      </c>
      <c r="CC99" s="62">
        <f t="shared" si="65"/>
        <v>868.10928512129544</v>
      </c>
      <c r="CD99" s="62">
        <f ca="1">AVERAGE(OFFSET($CC$3,0,0,'Données projet'!$E$12+1,1))-AVERAGE(OFFSET($H$3,0,0,'Données projet'!$E$12+1,1))</f>
        <v>496.33873798282525</v>
      </c>
      <c r="CE99" s="62">
        <f t="shared" si="94"/>
        <v>280.25465074992246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3.5897435897435854</v>
      </c>
      <c r="CT99" s="13">
        <f>IF('Données projet'!$A$140&gt;35,CT98+CS99-DB98,IF(A99&lt;'Données projet'!$A$140,$CQ$205^A99,IF(A99='Données projet'!$A$140,'Données projet'!$B$140,CT98+CS99-DB98)))</f>
        <v>243.97435897435898</v>
      </c>
      <c r="CU99" s="18">
        <f>CT99*VLOOKUP('Données projet'!$B$13,Paramètres!$A$1:$I$89,3,0)*VLOOKUP('Données projet'!$B$13,Paramètres!$A$1:$I$89,5,0)</f>
        <v>232.166</v>
      </c>
      <c r="CV99" s="14">
        <f t="shared" si="95"/>
        <v>56.750765573960223</v>
      </c>
      <c r="CW99" s="22">
        <f t="shared" si="67"/>
        <v>503.19670004131399</v>
      </c>
      <c r="CX99" s="62">
        <f t="shared" si="68"/>
        <v>779.44575223770141</v>
      </c>
      <c r="CY99" s="62">
        <f ca="1">AVERAGE(OFFSET($CX$3,0,0,'Données projet'!$E$13+1,1))-AVERAGE(OFFSET($H$3,0,0,'Données projet'!$E$13+1,1))</f>
        <v>441.15969139782891</v>
      </c>
      <c r="CZ99" s="62">
        <f t="shared" si="96"/>
        <v>315.06466790224783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5.6843418860808015E-14</v>
      </c>
      <c r="DP99" s="18">
        <f>DO99*VLOOKUP('Données projet'!$B$14,Paramètres!$A$1:$I$89,3,0)*VLOOKUP('Données projet'!$B$14,Paramètres!$A$1:$I$89,5,0)</f>
        <v>4.4337866711430253E-14</v>
      </c>
      <c r="DQ99" s="14">
        <f t="shared" si="97"/>
        <v>7.3222115536967035E-13</v>
      </c>
      <c r="DR99" s="22">
        <f t="shared" si="70"/>
        <v>1.3525069634579169E-12</v>
      </c>
      <c r="DS99" s="62">
        <f t="shared" si="71"/>
        <v>276.24905219638879</v>
      </c>
      <c r="DT99" s="62">
        <f ca="1">AVERAGE(OFFSET($DS$3,0,0,'Données projet'!$E$14+1,1))-AVERAGE(OFFSET($H$3,0,0,'Données projet'!$E$14+1,1))</f>
        <v>309.21625451786218</v>
      </c>
      <c r="DU99" s="62">
        <f t="shared" si="98"/>
        <v>302.59481222418219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-1.1368683772161603E-13</v>
      </c>
      <c r="EK99" s="18">
        <f>EJ99*VLOOKUP('Données projet'!$B$15,Paramètres!$A$1:$I$89,3,0)*VLOOKUP('Données projet'!$B$15,Paramètres!$A$1:$I$89,5,0)</f>
        <v>-9.9316821433603781E-14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298.56812743477741</v>
      </c>
      <c r="EP99" s="62">
        <f t="shared" si="100"/>
        <v>276.01618888357268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3.9743589743589838</v>
      </c>
      <c r="FE99" s="13">
        <f>IF('Données projet'!$A$218&gt;35,FE98+FD99-FM98,IF(A99&lt;'Données projet'!$A$218,$FB$205^A99,IF(A99='Données projet'!$A$218,'Données projet'!$B$218,FE98+FD99-FM98)))</f>
        <v>339.23076923076928</v>
      </c>
      <c r="FF99" s="18">
        <f>FE99*VLOOKUP('Données projet'!$B$16,Paramètres!$A$1:$I$89,3,0)*VLOOKUP('Données projet'!$B$16,Paramètres!$A$1:$I$89,5,0)</f>
        <v>227.55600000000004</v>
      </c>
      <c r="FG99" s="14">
        <f t="shared" si="101"/>
        <v>55.753903477108544</v>
      </c>
      <c r="FH99" s="22">
        <f t="shared" si="76"/>
        <v>493.43141522263085</v>
      </c>
      <c r="FI99" s="62">
        <f t="shared" si="77"/>
        <v>769.68046741901821</v>
      </c>
      <c r="FJ99" s="62">
        <f ca="1">AVERAGE(OFFSET($FI$3,0,0,'Données projet'!$E$16+1,1))-AVERAGE(OFFSET($H$3,0,0,'Données projet'!$E$16+1,1))</f>
        <v>396.0878652679051</v>
      </c>
      <c r="FK99" s="62">
        <f t="shared" si="102"/>
        <v>327.26339199235406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9">
        <f t="shared" si="56"/>
        <v>183.33333333333334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11.333333333333334</v>
      </c>
      <c r="N100" s="14">
        <f>IF('Données projet'!$A$36&gt;35,N99+M100-V99,IF(A100&lt;'Données projet'!$A$36,$K$205^A100,IF(A100='Données projet'!$A$36,'Données projet'!$B$36,N99+M100-V99)))</f>
        <v>568.33333333333314</v>
      </c>
      <c r="O100" s="14">
        <f>N100*VLOOKUP('Données projet'!$B$9,Paramètres!$A$1:$I$89,3,0)*VLOOKUP('Données projet'!$B$9,Paramètres!$A$1:$I$89,5,0)</f>
        <v>487.62999999999988</v>
      </c>
      <c r="P100" s="14">
        <f t="shared" si="87"/>
        <v>109.33236859887117</v>
      </c>
      <c r="Q100" s="22">
        <f t="shared" si="107"/>
        <v>1039.7094586430337</v>
      </c>
      <c r="R100" s="62">
        <f t="shared" si="55"/>
        <v>1316.2548849224165</v>
      </c>
      <c r="S100" s="62">
        <f ca="1">AVERAGE(OFFSET($R$3,0,0,'Données projet'!$E$9+1,1))-AVERAGE(OFFSET($H$3,0,0,'Données projet'!$E$9+1,1))</f>
        <v>478.11504516179713</v>
      </c>
      <c r="T100" s="62">
        <f t="shared" si="88"/>
        <v>249.93713224442419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-4.5224624045658861E-14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394.49874384716014</v>
      </c>
      <c r="AO100" s="62">
        <f t="shared" si="90"/>
        <v>423.72519584013378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-4.5224624045658861E-14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394.49874384716014</v>
      </c>
      <c r="BJ100" s="62">
        <f t="shared" si="92"/>
        <v>423.72519584013378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278.84375999999992</v>
      </c>
      <c r="CA100" s="14">
        <f t="shared" si="93"/>
        <v>66.722603316177725</v>
      </c>
      <c r="CB100" s="22">
        <f t="shared" si="64"/>
        <v>601.86141610900938</v>
      </c>
      <c r="CC100" s="62">
        <f t="shared" si="65"/>
        <v>878.40684238839219</v>
      </c>
      <c r="CD100" s="62">
        <f ca="1">AVERAGE(OFFSET($CC$3,0,0,'Données projet'!$E$12+1,1))-AVERAGE(OFFSET($H$3,0,0,'Données projet'!$E$12+1,1))</f>
        <v>496.33873798282525</v>
      </c>
      <c r="CE100" s="62">
        <f t="shared" si="94"/>
        <v>280.25465074992246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3.5897435897435854</v>
      </c>
      <c r="CT100" s="13">
        <f>IF('Données projet'!$A$140&gt;35,CT99+CS100-DB99,IF(A100&lt;'Données projet'!$A$140,$CQ$205^A100,IF(A100='Données projet'!$A$140,'Données projet'!$B$140,CT99+CS100-DB99)))</f>
        <v>247.56410256410257</v>
      </c>
      <c r="CU100" s="18">
        <f>CT100*VLOOKUP('Données projet'!$B$13,Paramètres!$A$1:$I$89,3,0)*VLOOKUP('Données projet'!$B$13,Paramètres!$A$1:$I$89,5,0)</f>
        <v>235.58199999999999</v>
      </c>
      <c r="CV100" s="14">
        <f t="shared" si="95"/>
        <v>57.487950824806624</v>
      </c>
      <c r="CW100" s="22">
        <f t="shared" si="67"/>
        <v>510.4301643532047</v>
      </c>
      <c r="CX100" s="62">
        <f t="shared" si="68"/>
        <v>786.97559063258745</v>
      </c>
      <c r="CY100" s="62">
        <f ca="1">AVERAGE(OFFSET($CX$3,0,0,'Données projet'!$E$13+1,1))-AVERAGE(OFFSET($H$3,0,0,'Données projet'!$E$13+1,1))</f>
        <v>441.15969139782891</v>
      </c>
      <c r="CZ100" s="62">
        <f t="shared" si="96"/>
        <v>315.06466790224783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5.6843418860808015E-14</v>
      </c>
      <c r="DP100" s="18">
        <f>DO100*VLOOKUP('Données projet'!$B$14,Paramètres!$A$1:$I$89,3,0)*VLOOKUP('Données projet'!$B$14,Paramètres!$A$1:$I$89,5,0)</f>
        <v>4.4337866711430253E-14</v>
      </c>
      <c r="DQ100" s="14">
        <f t="shared" si="97"/>
        <v>7.3222115536967035E-13</v>
      </c>
      <c r="DR100" s="22">
        <f t="shared" si="70"/>
        <v>1.3525069634579169E-12</v>
      </c>
      <c r="DS100" s="62">
        <f t="shared" si="71"/>
        <v>276.54542627938417</v>
      </c>
      <c r="DT100" s="62">
        <f ca="1">AVERAGE(OFFSET($DS$3,0,0,'Données projet'!$E$14+1,1))-AVERAGE(OFFSET($H$3,0,0,'Données projet'!$E$14+1,1))</f>
        <v>309.21625451786218</v>
      </c>
      <c r="DU100" s="62">
        <f t="shared" si="98"/>
        <v>302.59481222418219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-1.1368683772161603E-13</v>
      </c>
      <c r="EK100" s="18">
        <f>EJ100*VLOOKUP('Données projet'!$B$15,Paramètres!$A$1:$I$89,3,0)*VLOOKUP('Données projet'!$B$15,Paramètres!$A$1:$I$89,5,0)</f>
        <v>-9.9316821433603781E-14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298.56812743477741</v>
      </c>
      <c r="EP100" s="62">
        <f t="shared" si="100"/>
        <v>276.01618888357268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3.9743589743589838</v>
      </c>
      <c r="FE100" s="13">
        <f>IF('Données projet'!$A$218&gt;35,FE99+FD100-FM99,IF(A100&lt;'Données projet'!$A$218,$FB$205^A100,IF(A100='Données projet'!$A$218,'Données projet'!$B$218,FE99+FD100-FM99)))</f>
        <v>343.20512820512829</v>
      </c>
      <c r="FF100" s="18">
        <f>FE100*VLOOKUP('Données projet'!$B$16,Paramètres!$A$1:$I$89,3,0)*VLOOKUP('Données projet'!$B$16,Paramètres!$A$1:$I$89,5,0)</f>
        <v>230.22200000000004</v>
      </c>
      <c r="FG100" s="14">
        <f t="shared" si="101"/>
        <v>56.330680425949346</v>
      </c>
      <c r="FH100" s="22">
        <f t="shared" si="76"/>
        <v>499.07925174186192</v>
      </c>
      <c r="FI100" s="62">
        <f t="shared" si="77"/>
        <v>775.62467802124479</v>
      </c>
      <c r="FJ100" s="62">
        <f ca="1">AVERAGE(OFFSET($FI$3,0,0,'Données projet'!$E$16+1,1))-AVERAGE(OFFSET($H$3,0,0,'Données projet'!$E$16+1,1))</f>
        <v>396.0878652679051</v>
      </c>
      <c r="FK100" s="62">
        <f t="shared" si="102"/>
        <v>327.26339199235406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9">
        <f t="shared" si="56"/>
        <v>183.33333333333334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11.333333333333334</v>
      </c>
      <c r="N101" s="14">
        <f>IF('Données projet'!$A$36&gt;35,N100+M101-V100,IF(A101&lt;'Données projet'!$A$36,$K$205^A101,IF(A101='Données projet'!$A$36,'Données projet'!$B$36,N100+M101-V100)))</f>
        <v>579.66666666666652</v>
      </c>
      <c r="O101" s="14">
        <f>N101*VLOOKUP('Données projet'!$B$9,Paramètres!$A$1:$I$89,3,0)*VLOOKUP('Données projet'!$B$9,Paramètres!$A$1:$I$89,5,0)</f>
        <v>497.35399999999993</v>
      </c>
      <c r="P101" s="14">
        <f t="shared" si="87"/>
        <v>111.25660477134088</v>
      </c>
      <c r="Q101" s="22">
        <f t="shared" si="107"/>
        <v>1059.9968033100852</v>
      </c>
      <c r="R101" s="62">
        <f t="shared" si="55"/>
        <v>1336.8334622447164</v>
      </c>
      <c r="S101" s="62">
        <f ca="1">AVERAGE(OFFSET($R$3,0,0,'Données projet'!$E$9+1,1))-AVERAGE(OFFSET($H$3,0,0,'Données projet'!$E$9+1,1))</f>
        <v>478.11504516179713</v>
      </c>
      <c r="T101" s="62">
        <f t="shared" si="88"/>
        <v>249.93713224442419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-4.5224624045658861E-14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394.49874384716014</v>
      </c>
      <c r="AO101" s="62">
        <f t="shared" si="90"/>
        <v>423.72519584013378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-4.5224624045658861E-14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394.49874384716014</v>
      </c>
      <c r="BJ101" s="62">
        <f t="shared" si="92"/>
        <v>423.72519584013378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283.58303999999993</v>
      </c>
      <c r="CA101" s="14">
        <f t="shared" si="93"/>
        <v>67.723646968605209</v>
      </c>
      <c r="CB101" s="22">
        <f t="shared" si="64"/>
        <v>611.85914647032064</v>
      </c>
      <c r="CC101" s="62">
        <f t="shared" si="65"/>
        <v>888.69580540495201</v>
      </c>
      <c r="CD101" s="62">
        <f ca="1">AVERAGE(OFFSET($CC$3,0,0,'Données projet'!$E$12+1,1))-AVERAGE(OFFSET($H$3,0,0,'Données projet'!$E$12+1,1))</f>
        <v>496.33873798282525</v>
      </c>
      <c r="CE101" s="62">
        <f t="shared" si="94"/>
        <v>280.25465074992246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3.5897435897435854</v>
      </c>
      <c r="CT101" s="13">
        <f>IF('Données projet'!$A$140&gt;35,CT100+CS101-DB100,IF(A101&lt;'Données projet'!$A$140,$CQ$205^A101,IF(A101='Données projet'!$A$140,'Données projet'!$B$140,CT100+CS101-DB100)))</f>
        <v>251.15384615384616</v>
      </c>
      <c r="CU101" s="18">
        <f>CT101*VLOOKUP('Données projet'!$B$13,Paramètres!$A$1:$I$89,3,0)*VLOOKUP('Données projet'!$B$13,Paramètres!$A$1:$I$89,5,0)</f>
        <v>238.99799999999999</v>
      </c>
      <c r="CV101" s="14">
        <f t="shared" si="95"/>
        <v>58.223892835547517</v>
      </c>
      <c r="CW101" s="22">
        <f t="shared" si="67"/>
        <v>517.66146335524525</v>
      </c>
      <c r="CX101" s="62">
        <f t="shared" si="68"/>
        <v>794.49812228987662</v>
      </c>
      <c r="CY101" s="62">
        <f ca="1">AVERAGE(OFFSET($CX$3,0,0,'Données projet'!$E$13+1,1))-AVERAGE(OFFSET($H$3,0,0,'Données projet'!$E$13+1,1))</f>
        <v>441.15969139782891</v>
      </c>
      <c r="CZ101" s="62">
        <f t="shared" si="96"/>
        <v>315.06466790224783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5.6843418860808015E-14</v>
      </c>
      <c r="DP101" s="18">
        <f>DO101*VLOOKUP('Données projet'!$B$14,Paramètres!$A$1:$I$89,3,0)*VLOOKUP('Données projet'!$B$14,Paramètres!$A$1:$I$89,5,0)</f>
        <v>4.4337866711430253E-14</v>
      </c>
      <c r="DQ101" s="14">
        <f t="shared" si="97"/>
        <v>7.3222115536967035E-13</v>
      </c>
      <c r="DR101" s="22">
        <f t="shared" si="70"/>
        <v>1.3525069634579169E-12</v>
      </c>
      <c r="DS101" s="62">
        <f t="shared" si="71"/>
        <v>276.83665893463274</v>
      </c>
      <c r="DT101" s="62">
        <f ca="1">AVERAGE(OFFSET($DS$3,0,0,'Données projet'!$E$14+1,1))-AVERAGE(OFFSET($H$3,0,0,'Données projet'!$E$14+1,1))</f>
        <v>309.21625451786218</v>
      </c>
      <c r="DU101" s="62">
        <f t="shared" si="98"/>
        <v>302.59481222418219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-1.1368683772161603E-13</v>
      </c>
      <c r="EK101" s="18">
        <f>EJ101*VLOOKUP('Données projet'!$B$15,Paramètres!$A$1:$I$89,3,0)*VLOOKUP('Données projet'!$B$15,Paramètres!$A$1:$I$89,5,0)</f>
        <v>-9.9316821433603781E-14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298.56812743477741</v>
      </c>
      <c r="EP101" s="62">
        <f t="shared" si="100"/>
        <v>276.01618888357268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3.9743589743589838</v>
      </c>
      <c r="FE101" s="13">
        <f>IF('Données projet'!$A$218&gt;35,FE100+FD101-FM100,IF(A101&lt;'Données projet'!$A$218,$FB$205^A101,IF(A101='Données projet'!$A$218,'Données projet'!$B$218,FE100+FD101-FM100)))</f>
        <v>347.1794871794873</v>
      </c>
      <c r="FF101" s="18">
        <f>FE101*VLOOKUP('Données projet'!$B$16,Paramètres!$A$1:$I$89,3,0)*VLOOKUP('Données projet'!$B$16,Paramètres!$A$1:$I$89,5,0)</f>
        <v>232.88800000000009</v>
      </c>
      <c r="FG101" s="14">
        <f t="shared" si="101"/>
        <v>56.906680427068601</v>
      </c>
      <c r="FH101" s="22">
        <f t="shared" si="76"/>
        <v>504.72573507714452</v>
      </c>
      <c r="FI101" s="62">
        <f t="shared" si="77"/>
        <v>781.56239401177595</v>
      </c>
      <c r="FJ101" s="62">
        <f ca="1">AVERAGE(OFFSET($FI$3,0,0,'Données projet'!$E$16+1,1))-AVERAGE(OFFSET($H$3,0,0,'Données projet'!$E$16+1,1))</f>
        <v>396.0878652679051</v>
      </c>
      <c r="FK101" s="62">
        <f t="shared" si="102"/>
        <v>327.26339199235406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9">
        <f t="shared" si="56"/>
        <v>183.33333333333334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>
        <f>VLOOKUP(A102,'Données projet'!$A$35:$I$55,2,0)</f>
        <v>591</v>
      </c>
      <c r="L102" s="13">
        <f>VLOOKUP(A102,'Données projet'!$A$35:$I$55,9,0)</f>
        <v>11.333333333333334</v>
      </c>
      <c r="M102" s="13">
        <f t="array" ref="M102">INDEX(L:L,MIN(IF(ISNUMBER(L102:L298),ROW(L102:L298),"")))</f>
        <v>11.333333333333334</v>
      </c>
      <c r="N102" s="14">
        <f>IF('Données projet'!$A$36&gt;35,N101+M102-V101,IF(A102&lt;'Données projet'!$A$36,$K$205^A102,IF(A102='Données projet'!$A$36,'Données projet'!$B$36,N101+M102-V101)))</f>
        <v>590.99999999999989</v>
      </c>
      <c r="O102" s="14">
        <f>N102*VLOOKUP('Données projet'!$B$9,Paramètres!$A$1:$I$89,3,0)*VLOOKUP('Données projet'!$B$9,Paramètres!$A$1:$I$89,5,0)</f>
        <v>507.07799999999997</v>
      </c>
      <c r="P102" s="14">
        <f t="shared" si="87"/>
        <v>113.17646646969149</v>
      </c>
      <c r="Q102" s="22">
        <f t="shared" si="107"/>
        <v>1080.2765291013793</v>
      </c>
      <c r="R102" s="62">
        <f t="shared" si="55"/>
        <v>1357.3993684557895</v>
      </c>
      <c r="S102" s="62">
        <f ca="1">AVERAGE(OFFSET($R$3,0,0,'Données projet'!$E$9+1,1))-AVERAGE(OFFSET($H$3,0,0,'Données projet'!$E$9+1,1))</f>
        <v>478.11504516179713</v>
      </c>
      <c r="T102" s="62">
        <f t="shared" si="88"/>
        <v>249.93713224442419</v>
      </c>
      <c r="U102" s="16">
        <f>IF(ISNA(VLOOKUP(A102,'Données projet'!$A$35:$I$55,3,0)),0,VLOOKUP(A102,'Données projet'!$A$35:$I$55,3,0))</f>
        <v>10</v>
      </c>
      <c r="V102" s="16">
        <f>IF(ISNA(VLOOKUP(A102,'Données projet'!$A$35:$I$55,4,0)),0,VLOOKUP(A102,'Données projet'!$A$35:$I$55,4,0))</f>
        <v>591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-4.5224624045658861E-14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394.49874384716014</v>
      </c>
      <c r="AO102" s="62">
        <f t="shared" si="90"/>
        <v>423.72519584013378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-4.5224624045658861E-14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394.49874384716014</v>
      </c>
      <c r="BJ102" s="62">
        <f t="shared" si="92"/>
        <v>423.72519584013378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288.32231999999988</v>
      </c>
      <c r="CA102" s="14">
        <f t="shared" si="93"/>
        <v>68.722745094590621</v>
      </c>
      <c r="CB102" s="22">
        <f t="shared" si="64"/>
        <v>621.85348837307845</v>
      </c>
      <c r="CC102" s="62">
        <f t="shared" si="65"/>
        <v>898.97632772748852</v>
      </c>
      <c r="CD102" s="62">
        <f ca="1">AVERAGE(OFFSET($CC$3,0,0,'Données projet'!$E$12+1,1))-AVERAGE(OFFSET($H$3,0,0,'Données projet'!$E$12+1,1))</f>
        <v>496.33873798282525</v>
      </c>
      <c r="CE102" s="62">
        <f t="shared" si="94"/>
        <v>280.25465074992246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3.5897435897435854</v>
      </c>
      <c r="CT102" s="13">
        <f>IF('Données projet'!$A$140&gt;35,CT101+CS102-DB101,IF(A102&lt;'Données projet'!$A$140,$CQ$205^A102,IF(A102='Données projet'!$A$140,'Données projet'!$B$140,CT101+CS102-DB101)))</f>
        <v>254.74358974358975</v>
      </c>
      <c r="CU102" s="18">
        <f>CT102*VLOOKUP('Données projet'!$B$13,Paramètres!$A$1:$I$89,3,0)*VLOOKUP('Données projet'!$B$13,Paramètres!$A$1:$I$89,5,0)</f>
        <v>242.41400000000002</v>
      </c>
      <c r="CV102" s="14">
        <f t="shared" si="95"/>
        <v>58.958611429073422</v>
      </c>
      <c r="CW102" s="22">
        <f t="shared" si="67"/>
        <v>524.89063157230294</v>
      </c>
      <c r="CX102" s="62">
        <f t="shared" si="68"/>
        <v>802.01347092671313</v>
      </c>
      <c r="CY102" s="62">
        <f ca="1">AVERAGE(OFFSET($CX$3,0,0,'Données projet'!$E$13+1,1))-AVERAGE(OFFSET($H$3,0,0,'Données projet'!$E$13+1,1))</f>
        <v>441.15969139782891</v>
      </c>
      <c r="CZ102" s="62">
        <f t="shared" si="96"/>
        <v>315.06466790224783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5.6843418860808015E-14</v>
      </c>
      <c r="DP102" s="18">
        <f>DO102*VLOOKUP('Données projet'!$B$14,Paramètres!$A$1:$I$89,3,0)*VLOOKUP('Données projet'!$B$14,Paramètres!$A$1:$I$89,5,0)</f>
        <v>4.4337866711430253E-14</v>
      </c>
      <c r="DQ102" s="14">
        <f t="shared" si="97"/>
        <v>7.3222115536967035E-13</v>
      </c>
      <c r="DR102" s="22">
        <f t="shared" si="70"/>
        <v>1.3525069634579169E-12</v>
      </c>
      <c r="DS102" s="62">
        <f t="shared" si="71"/>
        <v>277.1228393544115</v>
      </c>
      <c r="DT102" s="62">
        <f ca="1">AVERAGE(OFFSET($DS$3,0,0,'Données projet'!$E$14+1,1))-AVERAGE(OFFSET($H$3,0,0,'Données projet'!$E$14+1,1))</f>
        <v>309.21625451786218</v>
      </c>
      <c r="DU102" s="62">
        <f t="shared" si="98"/>
        <v>302.59481222418219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-1.1368683772161603E-13</v>
      </c>
      <c r="EK102" s="18">
        <f>EJ102*VLOOKUP('Données projet'!$B$15,Paramètres!$A$1:$I$89,3,0)*VLOOKUP('Données projet'!$B$15,Paramètres!$A$1:$I$89,5,0)</f>
        <v>-9.9316821433603781E-14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298.56812743477741</v>
      </c>
      <c r="EP102" s="62">
        <f t="shared" si="100"/>
        <v>276.01618888357268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3.9743589743589838</v>
      </c>
      <c r="FE102" s="13">
        <f>IF('Données projet'!$A$218&gt;35,FE101+FD102-FM101,IF(A102&lt;'Données projet'!$A$218,$FB$205^A102,IF(A102='Données projet'!$A$218,'Données projet'!$B$218,FE101+FD102-FM101)))</f>
        <v>351.1538461538463</v>
      </c>
      <c r="FF102" s="18">
        <f>FE102*VLOOKUP('Données projet'!$B$16,Paramètres!$A$1:$I$89,3,0)*VLOOKUP('Données projet'!$B$16,Paramètres!$A$1:$I$89,5,0)</f>
        <v>235.55400000000009</v>
      </c>
      <c r="FG102" s="14">
        <f t="shared" si="101"/>
        <v>57.481913403727333</v>
      </c>
      <c r="FH102" s="22">
        <f t="shared" si="76"/>
        <v>510.37088251149186</v>
      </c>
      <c r="FI102" s="62">
        <f t="shared" si="77"/>
        <v>787.49372186590199</v>
      </c>
      <c r="FJ102" s="62">
        <f ca="1">AVERAGE(OFFSET($FI$3,0,0,'Données projet'!$E$16+1,1))-AVERAGE(OFFSET($H$3,0,0,'Données projet'!$E$16+1,1))</f>
        <v>396.0878652679051</v>
      </c>
      <c r="FK102" s="62">
        <f t="shared" si="102"/>
        <v>327.26339199235406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9">
        <f t="shared" si="56"/>
        <v>183.33333333333334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-9.7543306765146564E-14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478.11504516179713</v>
      </c>
      <c r="T103" s="62">
        <f t="shared" si="88"/>
        <v>249.93713224442419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-4.5224624045658861E-14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394.49874384716014</v>
      </c>
      <c r="AO103" s="62">
        <f t="shared" si="90"/>
        <v>423.72519584013378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-4.5224624045658861E-14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394.49874384716014</v>
      </c>
      <c r="BJ103" s="62">
        <f t="shared" si="92"/>
        <v>423.72519584013378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293.06159999999983</v>
      </c>
      <c r="CA103" s="14">
        <f t="shared" si="93"/>
        <v>69.719933365116546</v>
      </c>
      <c r="CB103" s="22">
        <f t="shared" si="64"/>
        <v>631.84450394424437</v>
      </c>
      <c r="CC103" s="62">
        <f t="shared" si="65"/>
        <v>909.24855912795351</v>
      </c>
      <c r="CD103" s="62">
        <f ca="1">AVERAGE(OFFSET($CC$3,0,0,'Données projet'!$E$12+1,1))-AVERAGE(OFFSET($H$3,0,0,'Données projet'!$E$12+1,1))</f>
        <v>496.33873798282525</v>
      </c>
      <c r="CE103" s="62">
        <f t="shared" si="94"/>
        <v>280.25465074992246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258.33333333333331</v>
      </c>
      <c r="CR103" s="13">
        <f>VLOOKUP(A103,'Données projet'!$A$139:$I$159,9,0)</f>
        <v>3.5897435897435854</v>
      </c>
      <c r="CS103" s="13">
        <f t="array" ref="CS103">INDEX(CR:CR,MIN(IF(ISNUMBER(CR103:CR299),ROW(CR103:CR299),"")))</f>
        <v>3.5897435897435854</v>
      </c>
      <c r="CT103" s="13">
        <f>IF('Données projet'!$A$140&gt;35,CT102+CS103-DB102,IF(A103&lt;'Données projet'!$A$140,$CQ$205^A103,IF(A103='Données projet'!$A$140,'Données projet'!$B$140,CT102+CS103-DB102)))</f>
        <v>258.33333333333331</v>
      </c>
      <c r="CU103" s="18">
        <f>CT103*VLOOKUP('Données projet'!$B$13,Paramètres!$A$1:$I$89,3,0)*VLOOKUP('Données projet'!$B$13,Paramètres!$A$1:$I$89,5,0)</f>
        <v>245.82999999999998</v>
      </c>
      <c r="CV103" s="14">
        <f t="shared" si="95"/>
        <v>59.692125837514034</v>
      </c>
      <c r="CW103" s="22">
        <f t="shared" si="67"/>
        <v>532.11770250033692</v>
      </c>
      <c r="CX103" s="62">
        <f t="shared" si="68"/>
        <v>809.52175768404618</v>
      </c>
      <c r="CY103" s="62">
        <f ca="1">AVERAGE(OFFSET($CX$3,0,0,'Données projet'!$E$13+1,1))-AVERAGE(OFFSET($H$3,0,0,'Données projet'!$E$13+1,1))</f>
        <v>441.15969139782891</v>
      </c>
      <c r="CZ103" s="62">
        <f t="shared" si="96"/>
        <v>315.06466790224783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5.6843418860808015E-14</v>
      </c>
      <c r="DP103" s="18">
        <f>DO103*VLOOKUP('Données projet'!$B$14,Paramètres!$A$1:$I$89,3,0)*VLOOKUP('Données projet'!$B$14,Paramètres!$A$1:$I$89,5,0)</f>
        <v>4.4337866711430253E-14</v>
      </c>
      <c r="DQ103" s="14">
        <f t="shared" si="97"/>
        <v>7.3222115536967035E-13</v>
      </c>
      <c r="DR103" s="22">
        <f t="shared" si="70"/>
        <v>1.3525069634579169E-12</v>
      </c>
      <c r="DS103" s="62">
        <f t="shared" si="71"/>
        <v>277.40405518371057</v>
      </c>
      <c r="DT103" s="62">
        <f ca="1">AVERAGE(OFFSET($DS$3,0,0,'Données projet'!$E$14+1,1))-AVERAGE(OFFSET($H$3,0,0,'Données projet'!$E$14+1,1))</f>
        <v>309.21625451786218</v>
      </c>
      <c r="DU103" s="62">
        <f t="shared" si="98"/>
        <v>302.59481222418219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-1.1368683772161603E-13</v>
      </c>
      <c r="EK103" s="18">
        <f>EJ103*VLOOKUP('Données projet'!$B$15,Paramètres!$A$1:$I$89,3,0)*VLOOKUP('Données projet'!$B$15,Paramètres!$A$1:$I$89,5,0)</f>
        <v>-9.9316821433603781E-14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298.56812743477741</v>
      </c>
      <c r="EP103" s="62">
        <f t="shared" si="100"/>
        <v>276.01618888357268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355.12820512820514</v>
      </c>
      <c r="FC103" s="13">
        <f>VLOOKUP(A103,'Données projet'!$A$217:$I$237,9,0)</f>
        <v>3.9743589743589838</v>
      </c>
      <c r="FD103" s="13">
        <f t="array" ref="FD103">INDEX(FC:FC,MIN(IF(ISNUMBER(FC103:FC299),ROW(FC103:FC299),"")))</f>
        <v>3.9743589743589838</v>
      </c>
      <c r="FE103" s="13">
        <f>IF('Données projet'!$A$218&gt;35,FE102+FD103-FM102,IF(A103&lt;'Données projet'!$A$218,$FB$205^A103,IF(A103='Données projet'!$A$218,'Données projet'!$B$218,FE102+FD103-FM102)))</f>
        <v>355.12820512820531</v>
      </c>
      <c r="FF103" s="18">
        <f>FE103*VLOOKUP('Données projet'!$B$16,Paramètres!$A$1:$I$89,3,0)*VLOOKUP('Données projet'!$B$16,Paramètres!$A$1:$I$89,5,0)</f>
        <v>238.22000000000014</v>
      </c>
      <c r="FG103" s="14">
        <f t="shared" si="101"/>
        <v>58.05638904163186</v>
      </c>
      <c r="FH103" s="22">
        <f t="shared" si="76"/>
        <v>516.01471091417579</v>
      </c>
      <c r="FI103" s="62">
        <f t="shared" si="77"/>
        <v>793.41876609788505</v>
      </c>
      <c r="FJ103" s="62">
        <f ca="1">AVERAGE(OFFSET($FI$3,0,0,'Données projet'!$E$16+1,1))-AVERAGE(OFFSET($H$3,0,0,'Données projet'!$E$16+1,1))</f>
        <v>396.0878652679051</v>
      </c>
      <c r="FK103" s="62">
        <f t="shared" si="102"/>
        <v>327.26339199235406</v>
      </c>
      <c r="FL103" s="16">
        <f>IF(ISNA(VLOOKUP(A103,'Données projet'!$A$217:$I$237,3,0)),0,VLOOKUP(A103,'Données projet'!$A$217:$I$237,3,0))</f>
        <v>9</v>
      </c>
      <c r="FM103" s="16">
        <f>IF(ISNA(VLOOKUP(A103,'Données projet'!$A$217:$I$237,4,0)),0,VLOOKUP(A103,'Données projet'!$A$217:$I$237,4,0))</f>
        <v>25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9">
        <f t="shared" si="56"/>
        <v>183.33333333333334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-9.7543306765146564E-14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478.11504516179713</v>
      </c>
      <c r="T104" s="62">
        <f t="shared" si="88"/>
        <v>249.93713224442419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-4.5224624045658861E-14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394.49874384716014</v>
      </c>
      <c r="AO104" s="62">
        <f t="shared" si="90"/>
        <v>423.72519584013378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-4.5224624045658861E-14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394.49874384716014</v>
      </c>
      <c r="BJ104" s="62">
        <f t="shared" si="92"/>
        <v>423.72519584013378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256.69487999999984</v>
      </c>
      <c r="CA104" s="14">
        <f t="shared" si="93"/>
        <v>62.017336223177502</v>
      </c>
      <c r="CB104" s="22">
        <f t="shared" si="64"/>
        <v>555.09044325536718</v>
      </c>
      <c r="CC104" s="62">
        <f t="shared" si="65"/>
        <v>832.77083580244152</v>
      </c>
      <c r="CD104" s="62">
        <f ca="1">AVERAGE(OFFSET($CC$3,0,0,'Données projet'!$E$12+1,1))-AVERAGE(OFFSET($H$3,0,0,'Données projet'!$E$12+1,1))</f>
        <v>496.33873798282525</v>
      </c>
      <c r="CE104" s="62">
        <f t="shared" si="94"/>
        <v>280.25465074992246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3.3974358974359005</v>
      </c>
      <c r="CT104" s="13">
        <f>IF('Données projet'!$A$140&gt;35,CT103+CS104-DB103,IF(A104&lt;'Données projet'!$A$140,$CQ$205^A104,IF(A104='Données projet'!$A$140,'Données projet'!$B$140,CT103+CS104-DB103)))</f>
        <v>261.73076923076923</v>
      </c>
      <c r="CU104" s="18">
        <f>CT104*VLOOKUP('Données projet'!$B$13,Paramètres!$A$1:$I$89,3,0)*VLOOKUP('Données projet'!$B$13,Paramètres!$A$1:$I$89,5,0)</f>
        <v>249.06300000000002</v>
      </c>
      <c r="CV104" s="14">
        <f t="shared" si="95"/>
        <v>60.385252576343511</v>
      </c>
      <c r="CW104" s="22">
        <f t="shared" si="67"/>
        <v>538.95570657046494</v>
      </c>
      <c r="CX104" s="62">
        <f t="shared" si="68"/>
        <v>816.63609911753929</v>
      </c>
      <c r="CY104" s="62">
        <f ca="1">AVERAGE(OFFSET($CX$3,0,0,'Données projet'!$E$13+1,1))-AVERAGE(OFFSET($H$3,0,0,'Données projet'!$E$13+1,1))</f>
        <v>441.15969139782891</v>
      </c>
      <c r="CZ104" s="62">
        <f t="shared" si="96"/>
        <v>315.06466790224783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5.6843418860808015E-14</v>
      </c>
      <c r="DP104" s="18">
        <f>DO104*VLOOKUP('Données projet'!$B$14,Paramètres!$A$1:$I$89,3,0)*VLOOKUP('Données projet'!$B$14,Paramètres!$A$1:$I$89,5,0)</f>
        <v>4.4337866711430253E-14</v>
      </c>
      <c r="DQ104" s="14">
        <f t="shared" si="97"/>
        <v>7.3222115536967035E-13</v>
      </c>
      <c r="DR104" s="22">
        <f t="shared" si="70"/>
        <v>1.3525069634579169E-12</v>
      </c>
      <c r="DS104" s="62">
        <f t="shared" si="71"/>
        <v>277.68039254707577</v>
      </c>
      <c r="DT104" s="62">
        <f ca="1">AVERAGE(OFFSET($DS$3,0,0,'Données projet'!$E$14+1,1))-AVERAGE(OFFSET($H$3,0,0,'Données projet'!$E$14+1,1))</f>
        <v>309.21625451786218</v>
      </c>
      <c r="DU104" s="62">
        <f t="shared" si="98"/>
        <v>302.59481222418219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-1.1368683772161603E-13</v>
      </c>
      <c r="EK104" s="18">
        <f>EJ104*VLOOKUP('Données projet'!$B$15,Paramètres!$A$1:$I$89,3,0)*VLOOKUP('Données projet'!$B$15,Paramètres!$A$1:$I$89,5,0)</f>
        <v>-9.9316821433603781E-14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298.56812743477741</v>
      </c>
      <c r="EP104" s="62">
        <f t="shared" si="100"/>
        <v>276.01618888357268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3.6538461538461489</v>
      </c>
      <c r="FE104" s="13">
        <f>IF('Données projet'!$A$218&gt;35,FE103+FD104-FM103,IF(A104&lt;'Données projet'!$A$218,$FB$205^A104,IF(A104='Données projet'!$A$218,'Données projet'!$B$218,FE103+FD104-FM103)))</f>
        <v>333.78205128205144</v>
      </c>
      <c r="FF104" s="18">
        <f>FE104*VLOOKUP('Données projet'!$B$16,Paramètres!$A$1:$I$89,3,0)*VLOOKUP('Données projet'!$B$16,Paramètres!$A$1:$I$89,5,0)</f>
        <v>223.90100000000012</v>
      </c>
      <c r="FG104" s="14">
        <f t="shared" si="101"/>
        <v>54.961879528873183</v>
      </c>
      <c r="FH104" s="22">
        <f t="shared" si="76"/>
        <v>485.68618184612097</v>
      </c>
      <c r="FI104" s="62">
        <f t="shared" si="77"/>
        <v>763.36657439319538</v>
      </c>
      <c r="FJ104" s="62">
        <f ca="1">AVERAGE(OFFSET($FI$3,0,0,'Données projet'!$E$16+1,1))-AVERAGE(OFFSET($H$3,0,0,'Données projet'!$E$16+1,1))</f>
        <v>396.0878652679051</v>
      </c>
      <c r="FK104" s="62">
        <f t="shared" si="102"/>
        <v>327.26339199235406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9">
        <f t="shared" si="56"/>
        <v>183.33333333333334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-9.7543306765146564E-14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478.11504516179713</v>
      </c>
      <c r="T105" s="62">
        <f t="shared" si="88"/>
        <v>249.93713224442419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-4.5224624045658861E-14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394.49874384716014</v>
      </c>
      <c r="AO105" s="62">
        <f t="shared" si="90"/>
        <v>423.72519584013378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-4.5224624045658861E-14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394.49874384716014</v>
      </c>
      <c r="BJ105" s="62">
        <f t="shared" si="92"/>
        <v>423.72519584013378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260.95055999999983</v>
      </c>
      <c r="CA105" s="14">
        <f t="shared" si="93"/>
        <v>62.924955880176938</v>
      </c>
      <c r="CB105" s="22">
        <f t="shared" si="64"/>
        <v>564.08319015797451</v>
      </c>
      <c r="CC105" s="62">
        <f t="shared" si="65"/>
        <v>842.03512623295751</v>
      </c>
      <c r="CD105" s="62">
        <f ca="1">AVERAGE(OFFSET($CC$3,0,0,'Données projet'!$E$12+1,1))-AVERAGE(OFFSET($H$3,0,0,'Données projet'!$E$12+1,1))</f>
        <v>496.33873798282525</v>
      </c>
      <c r="CE105" s="62">
        <f t="shared" si="94"/>
        <v>280.25465074992246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3.3974358974359005</v>
      </c>
      <c r="CT105" s="13">
        <f>IF('Données projet'!$A$140&gt;35,CT104+CS105-DB104,IF(A105&lt;'Données projet'!$A$140,$CQ$205^A105,IF(A105='Données projet'!$A$140,'Données projet'!$B$140,CT104+CS105-DB104)))</f>
        <v>265.12820512820514</v>
      </c>
      <c r="CU105" s="18">
        <f>CT105*VLOOKUP('Données projet'!$B$13,Paramètres!$A$1:$I$89,3,0)*VLOOKUP('Données projet'!$B$13,Paramètres!$A$1:$I$89,5,0)</f>
        <v>252.29600000000002</v>
      </c>
      <c r="CV105" s="14">
        <f t="shared" si="95"/>
        <v>61.077332796544965</v>
      </c>
      <c r="CW105" s="22">
        <f t="shared" si="67"/>
        <v>545.7918879539825</v>
      </c>
      <c r="CX105" s="62">
        <f t="shared" si="68"/>
        <v>823.74382402896549</v>
      </c>
      <c r="CY105" s="62">
        <f ca="1">AVERAGE(OFFSET($CX$3,0,0,'Données projet'!$E$13+1,1))-AVERAGE(OFFSET($H$3,0,0,'Données projet'!$E$13+1,1))</f>
        <v>441.15969139782891</v>
      </c>
      <c r="CZ105" s="62">
        <f t="shared" si="96"/>
        <v>315.06466790224783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5.6843418860808015E-14</v>
      </c>
      <c r="DP105" s="18">
        <f>DO105*VLOOKUP('Données projet'!$B$14,Paramètres!$A$1:$I$89,3,0)*VLOOKUP('Données projet'!$B$14,Paramètres!$A$1:$I$89,5,0)</f>
        <v>4.4337866711430253E-14</v>
      </c>
      <c r="DQ105" s="14">
        <f t="shared" si="97"/>
        <v>7.3222115536967035E-13</v>
      </c>
      <c r="DR105" s="22">
        <f t="shared" si="70"/>
        <v>1.3525069634579169E-12</v>
      </c>
      <c r="DS105" s="62">
        <f t="shared" si="71"/>
        <v>277.9519360749843</v>
      </c>
      <c r="DT105" s="62">
        <f ca="1">AVERAGE(OFFSET($DS$3,0,0,'Données projet'!$E$14+1,1))-AVERAGE(OFFSET($H$3,0,0,'Données projet'!$E$14+1,1))</f>
        <v>309.21625451786218</v>
      </c>
      <c r="DU105" s="62">
        <f t="shared" si="98"/>
        <v>302.59481222418219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-1.1368683772161603E-13</v>
      </c>
      <c r="EK105" s="18">
        <f>EJ105*VLOOKUP('Données projet'!$B$15,Paramètres!$A$1:$I$89,3,0)*VLOOKUP('Données projet'!$B$15,Paramètres!$A$1:$I$89,5,0)</f>
        <v>-9.9316821433603781E-14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298.56812743477741</v>
      </c>
      <c r="EP105" s="62">
        <f t="shared" si="100"/>
        <v>276.01618888357268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3.6538461538461489</v>
      </c>
      <c r="FE105" s="13">
        <f>IF('Données projet'!$A$218&gt;35,FE104+FD105-FM104,IF(A105&lt;'Données projet'!$A$218,$FB$205^A105,IF(A105='Données projet'!$A$218,'Données projet'!$B$218,FE104+FD105-FM104)))</f>
        <v>337.43589743589757</v>
      </c>
      <c r="FF105" s="18">
        <f>FE105*VLOOKUP('Données projet'!$B$16,Paramètres!$A$1:$I$89,3,0)*VLOOKUP('Données projet'!$B$16,Paramètres!$A$1:$I$89,5,0)</f>
        <v>226.35200000000009</v>
      </c>
      <c r="FG105" s="14">
        <f t="shared" si="101"/>
        <v>55.493166179246714</v>
      </c>
      <c r="FH105" s="22">
        <f t="shared" si="76"/>
        <v>490.88033109552151</v>
      </c>
      <c r="FI105" s="62">
        <f t="shared" si="77"/>
        <v>768.83226717050445</v>
      </c>
      <c r="FJ105" s="62">
        <f ca="1">AVERAGE(OFFSET($FI$3,0,0,'Données projet'!$E$16+1,1))-AVERAGE(OFFSET($H$3,0,0,'Données projet'!$E$16+1,1))</f>
        <v>396.0878652679051</v>
      </c>
      <c r="FK105" s="62">
        <f t="shared" si="102"/>
        <v>327.26339199235406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9">
        <f t="shared" si="56"/>
        <v>183.33333333333334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-9.7543306765146564E-14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478.11504516179713</v>
      </c>
      <c r="T106" s="62">
        <f t="shared" si="88"/>
        <v>249.93713224442419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-4.5224624045658861E-14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394.49874384716014</v>
      </c>
      <c r="AO106" s="62">
        <f t="shared" si="90"/>
        <v>423.72519584013378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-4.5224624045658861E-14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394.49874384716014</v>
      </c>
      <c r="BJ106" s="62">
        <f t="shared" si="92"/>
        <v>423.72519584013378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265.20623999999975</v>
      </c>
      <c r="CA106" s="14">
        <f t="shared" si="93"/>
        <v>63.830854160896386</v>
      </c>
      <c r="CB106" s="22">
        <f t="shared" si="64"/>
        <v>573.07293899689409</v>
      </c>
      <c r="CC106" s="62">
        <f t="shared" si="65"/>
        <v>851.29170792665673</v>
      </c>
      <c r="CD106" s="62">
        <f ca="1">AVERAGE(OFFSET($CC$3,0,0,'Données projet'!$E$12+1,1))-AVERAGE(OFFSET($H$3,0,0,'Données projet'!$E$12+1,1))</f>
        <v>496.33873798282525</v>
      </c>
      <c r="CE106" s="62">
        <f t="shared" si="94"/>
        <v>280.25465074992246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3.3974358974359005</v>
      </c>
      <c r="CT106" s="13">
        <f>IF('Données projet'!$A$140&gt;35,CT105+CS106-DB105,IF(A106&lt;'Données projet'!$A$140,$CQ$205^A106,IF(A106='Données projet'!$A$140,'Données projet'!$B$140,CT105+CS106-DB105)))</f>
        <v>268.52564102564105</v>
      </c>
      <c r="CU106" s="18">
        <f>CT106*VLOOKUP('Données projet'!$B$13,Paramètres!$A$1:$I$89,3,0)*VLOOKUP('Données projet'!$B$13,Paramètres!$A$1:$I$89,5,0)</f>
        <v>255.52900000000002</v>
      </c>
      <c r="CV106" s="14">
        <f t="shared" si="95"/>
        <v>61.768381459172247</v>
      </c>
      <c r="CW106" s="22">
        <f t="shared" si="67"/>
        <v>552.62627270805831</v>
      </c>
      <c r="CX106" s="62">
        <f t="shared" si="68"/>
        <v>830.84504163782094</v>
      </c>
      <c r="CY106" s="62">
        <f ca="1">AVERAGE(OFFSET($CX$3,0,0,'Données projet'!$E$13+1,1))-AVERAGE(OFFSET($H$3,0,0,'Données projet'!$E$13+1,1))</f>
        <v>441.15969139782891</v>
      </c>
      <c r="CZ106" s="62">
        <f t="shared" si="96"/>
        <v>315.06466790224783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5.6843418860808015E-14</v>
      </c>
      <c r="DP106" s="18">
        <f>DO106*VLOOKUP('Données projet'!$B$14,Paramètres!$A$1:$I$89,3,0)*VLOOKUP('Données projet'!$B$14,Paramètres!$A$1:$I$89,5,0)</f>
        <v>4.4337866711430253E-14</v>
      </c>
      <c r="DQ106" s="14">
        <f t="shared" si="97"/>
        <v>7.3222115536967035E-13</v>
      </c>
      <c r="DR106" s="22">
        <f t="shared" si="70"/>
        <v>1.3525069634579169E-12</v>
      </c>
      <c r="DS106" s="62">
        <f t="shared" si="71"/>
        <v>278.21876892976405</v>
      </c>
      <c r="DT106" s="62">
        <f ca="1">AVERAGE(OFFSET($DS$3,0,0,'Données projet'!$E$14+1,1))-AVERAGE(OFFSET($H$3,0,0,'Données projet'!$E$14+1,1))</f>
        <v>309.21625451786218</v>
      </c>
      <c r="DU106" s="62">
        <f t="shared" si="98"/>
        <v>302.59481222418219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-1.1368683772161603E-13</v>
      </c>
      <c r="EK106" s="18">
        <f>EJ106*VLOOKUP('Données projet'!$B$15,Paramètres!$A$1:$I$89,3,0)*VLOOKUP('Données projet'!$B$15,Paramètres!$A$1:$I$89,5,0)</f>
        <v>-9.9316821433603781E-14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298.56812743477741</v>
      </c>
      <c r="EP106" s="62">
        <f t="shared" si="100"/>
        <v>276.01618888357268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3.6538461538461489</v>
      </c>
      <c r="FE106" s="13">
        <f>IF('Données projet'!$A$218&gt;35,FE105+FD106-FM105,IF(A106&lt;'Données projet'!$A$218,$FB$205^A106,IF(A106='Données projet'!$A$218,'Données projet'!$B$218,FE105+FD106-FM105)))</f>
        <v>341.0897435897437</v>
      </c>
      <c r="FF106" s="18">
        <f>FE106*VLOOKUP('Données projet'!$B$16,Paramètres!$A$1:$I$89,3,0)*VLOOKUP('Données projet'!$B$16,Paramètres!$A$1:$I$89,5,0)</f>
        <v>228.80300000000008</v>
      </c>
      <c r="FG106" s="14">
        <f t="shared" si="101"/>
        <v>56.023783598437618</v>
      </c>
      <c r="FH106" s="22">
        <f t="shared" si="76"/>
        <v>496.07331476727899</v>
      </c>
      <c r="FI106" s="62">
        <f t="shared" si="77"/>
        <v>774.29208369704168</v>
      </c>
      <c r="FJ106" s="62">
        <f ca="1">AVERAGE(OFFSET($FI$3,0,0,'Données projet'!$E$16+1,1))-AVERAGE(OFFSET($H$3,0,0,'Données projet'!$E$16+1,1))</f>
        <v>396.0878652679051</v>
      </c>
      <c r="FK106" s="62">
        <f t="shared" si="102"/>
        <v>327.26339199235406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9">
        <f t="shared" si="56"/>
        <v>183.33333333333334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-9.7543306765146564E-14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478.11504516179713</v>
      </c>
      <c r="T107" s="62">
        <f t="shared" si="88"/>
        <v>249.93713224442419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-4.5224624045658861E-14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394.49874384716014</v>
      </c>
      <c r="AO107" s="62">
        <f t="shared" si="90"/>
        <v>423.72519584013378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-4.5224624045658861E-14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394.49874384716014</v>
      </c>
      <c r="BJ107" s="62">
        <f t="shared" si="92"/>
        <v>423.72519584013378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269.46191999999974</v>
      </c>
      <c r="CA107" s="14">
        <f t="shared" si="93"/>
        <v>64.735061876839055</v>
      </c>
      <c r="CB107" s="22">
        <f t="shared" si="64"/>
        <v>582.05974343549417</v>
      </c>
      <c r="CC107" s="62">
        <f t="shared" si="65"/>
        <v>860.54071626655514</v>
      </c>
      <c r="CD107" s="62">
        <f ca="1">AVERAGE(OFFSET($CC$3,0,0,'Données projet'!$E$12+1,1))-AVERAGE(OFFSET($H$3,0,0,'Données projet'!$E$12+1,1))</f>
        <v>496.33873798282525</v>
      </c>
      <c r="CE107" s="62">
        <f t="shared" si="94"/>
        <v>280.25465074992246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3.3974358974359005</v>
      </c>
      <c r="CT107" s="13">
        <f>IF('Données projet'!$A$140&gt;35,CT106+CS107-DB106,IF(A107&lt;'Données projet'!$A$140,$CQ$205^A107,IF(A107='Données projet'!$A$140,'Données projet'!$B$140,CT106+CS107-DB106)))</f>
        <v>271.92307692307696</v>
      </c>
      <c r="CU107" s="18">
        <f>CT107*VLOOKUP('Données projet'!$B$13,Paramètres!$A$1:$I$89,3,0)*VLOOKUP('Données projet'!$B$13,Paramètres!$A$1:$I$89,5,0)</f>
        <v>258.76200000000006</v>
      </c>
      <c r="CV107" s="14">
        <f t="shared" si="95"/>
        <v>62.458413124928875</v>
      </c>
      <c r="CW107" s="22">
        <f t="shared" si="67"/>
        <v>559.4588861925846</v>
      </c>
      <c r="CX107" s="62">
        <f t="shared" si="68"/>
        <v>837.93985902364557</v>
      </c>
      <c r="CY107" s="62">
        <f ca="1">AVERAGE(OFFSET($CX$3,0,0,'Données projet'!$E$13+1,1))-AVERAGE(OFFSET($H$3,0,0,'Données projet'!$E$13+1,1))</f>
        <v>441.15969139782891</v>
      </c>
      <c r="CZ107" s="62">
        <f t="shared" si="96"/>
        <v>315.06466790224783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5.6843418860808015E-14</v>
      </c>
      <c r="DP107" s="18">
        <f>DO107*VLOOKUP('Données projet'!$B$14,Paramètres!$A$1:$I$89,3,0)*VLOOKUP('Données projet'!$B$14,Paramètres!$A$1:$I$89,5,0)</f>
        <v>4.4337866711430253E-14</v>
      </c>
      <c r="DQ107" s="14">
        <f t="shared" si="97"/>
        <v>7.3222115536967035E-13</v>
      </c>
      <c r="DR107" s="22">
        <f t="shared" si="70"/>
        <v>1.3525069634579169E-12</v>
      </c>
      <c r="DS107" s="62">
        <f t="shared" si="71"/>
        <v>278.48097283106227</v>
      </c>
      <c r="DT107" s="62">
        <f ca="1">AVERAGE(OFFSET($DS$3,0,0,'Données projet'!$E$14+1,1))-AVERAGE(OFFSET($H$3,0,0,'Données projet'!$E$14+1,1))</f>
        <v>309.21625451786218</v>
      </c>
      <c r="DU107" s="62">
        <f t="shared" si="98"/>
        <v>302.59481222418219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-1.1368683772161603E-13</v>
      </c>
      <c r="EK107" s="18">
        <f>EJ107*VLOOKUP('Données projet'!$B$15,Paramètres!$A$1:$I$89,3,0)*VLOOKUP('Données projet'!$B$15,Paramètres!$A$1:$I$89,5,0)</f>
        <v>-9.9316821433603781E-14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298.56812743477741</v>
      </c>
      <c r="EP107" s="62">
        <f t="shared" si="100"/>
        <v>276.01618888357268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3.6538461538461489</v>
      </c>
      <c r="FE107" s="13">
        <f>IF('Données projet'!$A$218&gt;35,FE106+FD107-FM106,IF(A107&lt;'Données projet'!$A$218,$FB$205^A107,IF(A107='Données projet'!$A$218,'Données projet'!$B$218,FE106+FD107-FM106)))</f>
        <v>344.74358974358984</v>
      </c>
      <c r="FF107" s="18">
        <f>FE107*VLOOKUP('Données projet'!$B$16,Paramètres!$A$1:$I$89,3,0)*VLOOKUP('Données projet'!$B$16,Paramètres!$A$1:$I$89,5,0)</f>
        <v>231.25400000000008</v>
      </c>
      <c r="FG107" s="14">
        <f t="shared" si="101"/>
        <v>56.553739785222149</v>
      </c>
      <c r="FH107" s="22">
        <f t="shared" si="76"/>
        <v>501.26514679259532</v>
      </c>
      <c r="FI107" s="62">
        <f t="shared" si="77"/>
        <v>779.74611962365623</v>
      </c>
      <c r="FJ107" s="62">
        <f ca="1">AVERAGE(OFFSET($FI$3,0,0,'Données projet'!$E$16+1,1))-AVERAGE(OFFSET($H$3,0,0,'Données projet'!$E$16+1,1))</f>
        <v>396.0878652679051</v>
      </c>
      <c r="FK107" s="62">
        <f t="shared" si="102"/>
        <v>327.26339199235406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9">
        <f t="shared" si="56"/>
        <v>183.33333333333334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-9.7543306765146564E-14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478.11504516179713</v>
      </c>
      <c r="T108" s="62">
        <f t="shared" si="88"/>
        <v>249.93713224442419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-4.5224624045658861E-14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394.49874384716014</v>
      </c>
      <c r="AO108" s="62">
        <f t="shared" si="90"/>
        <v>423.72519584013378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-4.5224624045658861E-14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394.49874384716014</v>
      </c>
      <c r="BJ108" s="62">
        <f t="shared" si="92"/>
        <v>423.72519584013378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273.71759999999972</v>
      </c>
      <c r="CA108" s="14">
        <f t="shared" si="93"/>
        <v>65.637608810456612</v>
      </c>
      <c r="CB108" s="22">
        <f t="shared" si="64"/>
        <v>591.04365534487806</v>
      </c>
      <c r="CC108" s="62">
        <f t="shared" si="65"/>
        <v>869.78228342574982</v>
      </c>
      <c r="CD108" s="62">
        <f ca="1">AVERAGE(OFFSET($CC$3,0,0,'Données projet'!$E$12+1,1))-AVERAGE(OFFSET($H$3,0,0,'Données projet'!$E$12+1,1))</f>
        <v>496.33873798282525</v>
      </c>
      <c r="CE108" s="62">
        <f t="shared" si="94"/>
        <v>280.25465074992246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3.3974358974359005</v>
      </c>
      <c r="CT108" s="13">
        <f>IF('Données projet'!$A$140&gt;35,CT107+CS108-DB107,IF(A108&lt;'Données projet'!$A$140,$CQ$205^A108,IF(A108='Données projet'!$A$140,'Données projet'!$B$140,CT107+CS108-DB107)))</f>
        <v>275.32051282051287</v>
      </c>
      <c r="CU108" s="18">
        <f>CT108*VLOOKUP('Données projet'!$B$13,Paramètres!$A$1:$I$89,3,0)*VLOOKUP('Données projet'!$B$13,Paramètres!$A$1:$I$89,5,0)</f>
        <v>261.99500000000006</v>
      </c>
      <c r="CV108" s="14">
        <f t="shared" si="95"/>
        <v>63.147441969746581</v>
      </c>
      <c r="CW108" s="22">
        <f t="shared" si="67"/>
        <v>566.28975309730868</v>
      </c>
      <c r="CX108" s="62">
        <f t="shared" si="68"/>
        <v>845.02838117818044</v>
      </c>
      <c r="CY108" s="62">
        <f ca="1">AVERAGE(OFFSET($CX$3,0,0,'Données projet'!$E$13+1,1))-AVERAGE(OFFSET($H$3,0,0,'Données projet'!$E$13+1,1))</f>
        <v>441.15969139782891</v>
      </c>
      <c r="CZ108" s="62">
        <f t="shared" si="96"/>
        <v>315.06466790224783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5.6843418860808015E-14</v>
      </c>
      <c r="DP108" s="18">
        <f>DO108*VLOOKUP('Données projet'!$B$14,Paramètres!$A$1:$I$89,3,0)*VLOOKUP('Données projet'!$B$14,Paramètres!$A$1:$I$89,5,0)</f>
        <v>4.4337866711430253E-14</v>
      </c>
      <c r="DQ108" s="14">
        <f t="shared" si="97"/>
        <v>7.3222115536967035E-13</v>
      </c>
      <c r="DR108" s="22">
        <f t="shared" si="70"/>
        <v>1.3525069634579169E-12</v>
      </c>
      <c r="DS108" s="62">
        <f t="shared" si="71"/>
        <v>278.73862808087313</v>
      </c>
      <c r="DT108" s="62">
        <f ca="1">AVERAGE(OFFSET($DS$3,0,0,'Données projet'!$E$14+1,1))-AVERAGE(OFFSET($H$3,0,0,'Données projet'!$E$14+1,1))</f>
        <v>309.21625451786218</v>
      </c>
      <c r="DU108" s="62">
        <f t="shared" si="98"/>
        <v>302.59481222418219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-1.1368683772161603E-13</v>
      </c>
      <c r="EK108" s="18">
        <f>EJ108*VLOOKUP('Données projet'!$B$15,Paramètres!$A$1:$I$89,3,0)*VLOOKUP('Données projet'!$B$15,Paramètres!$A$1:$I$89,5,0)</f>
        <v>-9.9316821433603781E-14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298.56812743477741</v>
      </c>
      <c r="EP108" s="62">
        <f t="shared" si="100"/>
        <v>276.01618888357268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3.6538461538461489</v>
      </c>
      <c r="FE108" s="13">
        <f>IF('Données projet'!$A$218&gt;35,FE107+FD108-FM107,IF(A108&lt;'Données projet'!$A$218,$FB$205^A108,IF(A108='Données projet'!$A$218,'Données projet'!$B$218,FE107+FD108-FM107)))</f>
        <v>348.39743589743597</v>
      </c>
      <c r="FF108" s="18">
        <f>FE108*VLOOKUP('Données projet'!$B$16,Paramètres!$A$1:$I$89,3,0)*VLOOKUP('Données projet'!$B$16,Paramètres!$A$1:$I$89,5,0)</f>
        <v>233.70500000000004</v>
      </c>
      <c r="FG108" s="14">
        <f t="shared" si="101"/>
        <v>57.0830425590554</v>
      </c>
      <c r="FH108" s="22">
        <f t="shared" si="76"/>
        <v>506.4558407903549</v>
      </c>
      <c r="FI108" s="62">
        <f t="shared" si="77"/>
        <v>785.19446887122672</v>
      </c>
      <c r="FJ108" s="62">
        <f ca="1">AVERAGE(OFFSET($FI$3,0,0,'Données projet'!$E$16+1,1))-AVERAGE(OFFSET($H$3,0,0,'Données projet'!$E$16+1,1))</f>
        <v>396.0878652679051</v>
      </c>
      <c r="FK108" s="62">
        <f t="shared" si="102"/>
        <v>327.26339199235406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9">
        <f t="shared" si="56"/>
        <v>183.33333333333334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-9.7543306765146564E-14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478.11504516179713</v>
      </c>
      <c r="T109" s="62">
        <f t="shared" si="88"/>
        <v>249.93713224442419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-4.5224624045658861E-14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394.49874384716014</v>
      </c>
      <c r="AO109" s="62">
        <f t="shared" si="90"/>
        <v>423.72519584013378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-4.5224624045658861E-14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394.49874384716014</v>
      </c>
      <c r="BJ109" s="62">
        <f t="shared" si="92"/>
        <v>423.72519584013378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277.9732799999997</v>
      </c>
      <c r="CA109" s="14">
        <f t="shared" si="93"/>
        <v>66.538523764973135</v>
      </c>
      <c r="CB109" s="22">
        <f t="shared" si="64"/>
        <v>600.0247248906611</v>
      </c>
      <c r="CC109" s="62">
        <f t="shared" si="65"/>
        <v>879.01653847879015</v>
      </c>
      <c r="CD109" s="62">
        <f ca="1">AVERAGE(OFFSET($CC$3,0,0,'Données projet'!$E$12+1,1))-AVERAGE(OFFSET($H$3,0,0,'Données projet'!$E$12+1,1))</f>
        <v>496.33873798282525</v>
      </c>
      <c r="CE109" s="62">
        <f t="shared" si="94"/>
        <v>280.25465074992246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3.3974358974359005</v>
      </c>
      <c r="CT109" s="13">
        <f>IF('Données projet'!$A$140&gt;35,CT108+CS109-DB108,IF(A109&lt;'Données projet'!$A$140,$CQ$205^A109,IF(A109='Données projet'!$A$140,'Données projet'!$B$140,CT108+CS109-DB108)))</f>
        <v>278.71794871794879</v>
      </c>
      <c r="CU109" s="18">
        <f>CT109*VLOOKUP('Données projet'!$B$13,Paramètres!$A$1:$I$89,3,0)*VLOOKUP('Données projet'!$B$13,Paramètres!$A$1:$I$89,5,0)</f>
        <v>265.22800000000007</v>
      </c>
      <c r="CV109" s="14">
        <f t="shared" si="95"/>
        <v>63.835481799573074</v>
      </c>
      <c r="CW109" s="22">
        <f t="shared" si="67"/>
        <v>573.11889746758982</v>
      </c>
      <c r="CX109" s="62">
        <f t="shared" si="68"/>
        <v>852.11071105571887</v>
      </c>
      <c r="CY109" s="62">
        <f ca="1">AVERAGE(OFFSET($CX$3,0,0,'Données projet'!$E$13+1,1))-AVERAGE(OFFSET($H$3,0,0,'Données projet'!$E$13+1,1))</f>
        <v>441.15969139782891</v>
      </c>
      <c r="CZ109" s="62">
        <f t="shared" si="96"/>
        <v>315.06466790224783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5.6843418860808015E-14</v>
      </c>
      <c r="DP109" s="18">
        <f>DO109*VLOOKUP('Données projet'!$B$14,Paramètres!$A$1:$I$89,3,0)*VLOOKUP('Données projet'!$B$14,Paramètres!$A$1:$I$89,5,0)</f>
        <v>4.4337866711430253E-14</v>
      </c>
      <c r="DQ109" s="14">
        <f t="shared" si="97"/>
        <v>7.3222115536967035E-13</v>
      </c>
      <c r="DR109" s="22">
        <f t="shared" si="70"/>
        <v>1.3525069634579169E-12</v>
      </c>
      <c r="DS109" s="62">
        <f t="shared" si="71"/>
        <v>278.99181358813047</v>
      </c>
      <c r="DT109" s="62">
        <f ca="1">AVERAGE(OFFSET($DS$3,0,0,'Données projet'!$E$14+1,1))-AVERAGE(OFFSET($H$3,0,0,'Données projet'!$E$14+1,1))</f>
        <v>309.21625451786218</v>
      </c>
      <c r="DU109" s="62">
        <f t="shared" si="98"/>
        <v>302.59481222418219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-1.1368683772161603E-13</v>
      </c>
      <c r="EK109" s="18">
        <f>EJ109*VLOOKUP('Données projet'!$B$15,Paramètres!$A$1:$I$89,3,0)*VLOOKUP('Données projet'!$B$15,Paramètres!$A$1:$I$89,5,0)</f>
        <v>-9.9316821433603781E-14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298.56812743477741</v>
      </c>
      <c r="EP109" s="62">
        <f t="shared" si="100"/>
        <v>276.01618888357268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3.6538461538461489</v>
      </c>
      <c r="FE109" s="13">
        <f>IF('Données projet'!$A$218&gt;35,FE108+FD109-FM108,IF(A109&lt;'Données projet'!$A$218,$FB$205^A109,IF(A109='Données projet'!$A$218,'Données projet'!$B$218,FE108+FD109-FM108)))</f>
        <v>352.0512820512821</v>
      </c>
      <c r="FF109" s="18">
        <f>FE109*VLOOKUP('Données projet'!$B$16,Paramètres!$A$1:$I$89,3,0)*VLOOKUP('Données projet'!$B$16,Paramètres!$A$1:$I$89,5,0)</f>
        <v>236.15600000000003</v>
      </c>
      <c r="FG109" s="14">
        <f t="shared" si="101"/>
        <v>57.611699565928937</v>
      </c>
      <c r="FH109" s="22">
        <f t="shared" si="76"/>
        <v>511.64541007732623</v>
      </c>
      <c r="FI109" s="62">
        <f t="shared" si="77"/>
        <v>790.63722366545539</v>
      </c>
      <c r="FJ109" s="62">
        <f ca="1">AVERAGE(OFFSET($FI$3,0,0,'Données projet'!$E$16+1,1))-AVERAGE(OFFSET($H$3,0,0,'Données projet'!$E$16+1,1))</f>
        <v>396.0878652679051</v>
      </c>
      <c r="FK109" s="62">
        <f t="shared" si="102"/>
        <v>327.26339199235406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9">
        <f t="shared" si="56"/>
        <v>183.33333333333334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-9.7543306765146564E-14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478.11504516179713</v>
      </c>
      <c r="T110" s="62">
        <f t="shared" si="88"/>
        <v>249.93713224442419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-4.5224624045658861E-14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394.49874384716014</v>
      </c>
      <c r="AO110" s="62">
        <f t="shared" si="90"/>
        <v>423.72519584013378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-4.5224624045658861E-14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394.49874384716014</v>
      </c>
      <c r="BJ110" s="62">
        <f t="shared" si="92"/>
        <v>423.72519584013378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282.22895999999969</v>
      </c>
      <c r="CA110" s="14">
        <f t="shared" si="93"/>
        <v>67.437834611070301</v>
      </c>
      <c r="CB110" s="22">
        <f t="shared" si="64"/>
        <v>609.00300061428027</v>
      </c>
      <c r="CC110" s="62">
        <f t="shared" si="65"/>
        <v>888.24360750715391</v>
      </c>
      <c r="CD110" s="62">
        <f ca="1">AVERAGE(OFFSET($CC$3,0,0,'Données projet'!$E$12+1,1))-AVERAGE(OFFSET($H$3,0,0,'Données projet'!$E$12+1,1))</f>
        <v>496.33873798282525</v>
      </c>
      <c r="CE110" s="62">
        <f t="shared" si="94"/>
        <v>280.25465074992246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3.3974358974359005</v>
      </c>
      <c r="CT110" s="13">
        <f>IF('Données projet'!$A$140&gt;35,CT109+CS110-DB109,IF(A110&lt;'Données projet'!$A$140,$CQ$205^A110,IF(A110='Données projet'!$A$140,'Données projet'!$B$140,CT109+CS110-DB109)))</f>
        <v>282.1153846153847</v>
      </c>
      <c r="CU110" s="18">
        <f>CT110*VLOOKUP('Données projet'!$B$13,Paramètres!$A$1:$I$89,3,0)*VLOOKUP('Données projet'!$B$13,Paramètres!$A$1:$I$89,5,0)</f>
        <v>268.46100000000007</v>
      </c>
      <c r="CV110" s="14">
        <f t="shared" si="95"/>
        <v>64.522546064418151</v>
      </c>
      <c r="CW110" s="22">
        <f t="shared" si="67"/>
        <v>579.94634272886162</v>
      </c>
      <c r="CX110" s="62">
        <f t="shared" si="68"/>
        <v>859.18694962173527</v>
      </c>
      <c r="CY110" s="62">
        <f ca="1">AVERAGE(OFFSET($CX$3,0,0,'Données projet'!$E$13+1,1))-AVERAGE(OFFSET($H$3,0,0,'Données projet'!$E$13+1,1))</f>
        <v>441.15969139782891</v>
      </c>
      <c r="CZ110" s="62">
        <f t="shared" si="96"/>
        <v>315.06466790224783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5.6843418860808015E-14</v>
      </c>
      <c r="DP110" s="18">
        <f>DO110*VLOOKUP('Données projet'!$B$14,Paramètres!$A$1:$I$89,3,0)*VLOOKUP('Données projet'!$B$14,Paramètres!$A$1:$I$89,5,0)</f>
        <v>4.4337866711430253E-14</v>
      </c>
      <c r="DQ110" s="14">
        <f t="shared" si="97"/>
        <v>7.3222115536967035E-13</v>
      </c>
      <c r="DR110" s="22">
        <f t="shared" si="70"/>
        <v>1.3525069634579169E-12</v>
      </c>
      <c r="DS110" s="62">
        <f t="shared" si="71"/>
        <v>279.24060689287501</v>
      </c>
      <c r="DT110" s="62">
        <f ca="1">AVERAGE(OFFSET($DS$3,0,0,'Données projet'!$E$14+1,1))-AVERAGE(OFFSET($H$3,0,0,'Données projet'!$E$14+1,1))</f>
        <v>309.21625451786218</v>
      </c>
      <c r="DU110" s="62">
        <f t="shared" si="98"/>
        <v>302.59481222418219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-1.1368683772161603E-13</v>
      </c>
      <c r="EK110" s="18">
        <f>EJ110*VLOOKUP('Données projet'!$B$15,Paramètres!$A$1:$I$89,3,0)*VLOOKUP('Données projet'!$B$15,Paramètres!$A$1:$I$89,5,0)</f>
        <v>-9.9316821433603781E-14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298.56812743477741</v>
      </c>
      <c r="EP110" s="62">
        <f t="shared" si="100"/>
        <v>276.01618888357268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3.6538461538461489</v>
      </c>
      <c r="FE110" s="13">
        <f>IF('Données projet'!$A$218&gt;35,FE109+FD110-FM109,IF(A110&lt;'Données projet'!$A$218,$FB$205^A110,IF(A110='Données projet'!$A$218,'Données projet'!$B$218,FE109+FD110-FM109)))</f>
        <v>355.70512820512823</v>
      </c>
      <c r="FF110" s="18">
        <f>FE110*VLOOKUP('Données projet'!$B$16,Paramètres!$A$1:$I$89,3,0)*VLOOKUP('Données projet'!$B$16,Paramètres!$A$1:$I$89,5,0)</f>
        <v>238.607</v>
      </c>
      <c r="FG110" s="14">
        <f t="shared" si="101"/>
        <v>58.139718283978347</v>
      </c>
      <c r="FH110" s="22">
        <f t="shared" si="76"/>
        <v>516.83386767792888</v>
      </c>
      <c r="FI110" s="62">
        <f t="shared" si="77"/>
        <v>796.07447457080252</v>
      </c>
      <c r="FJ110" s="62">
        <f ca="1">AVERAGE(OFFSET($FI$3,0,0,'Données projet'!$E$16+1,1))-AVERAGE(OFFSET($H$3,0,0,'Données projet'!$E$16+1,1))</f>
        <v>396.0878652679051</v>
      </c>
      <c r="FK110" s="62">
        <f t="shared" si="102"/>
        <v>327.26339199235406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9">
        <f t="shared" si="56"/>
        <v>183.33333333333334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-9.7543306765146564E-14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478.11504516179713</v>
      </c>
      <c r="T111" s="62">
        <f t="shared" si="88"/>
        <v>249.93713224442419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-4.5224624045658861E-14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394.49874384716014</v>
      </c>
      <c r="AO111" s="62">
        <f t="shared" si="90"/>
        <v>423.72519584013378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-4.5224624045658861E-14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394.49874384716014</v>
      </c>
      <c r="BJ111" s="62">
        <f t="shared" si="92"/>
        <v>423.72519584013378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286.48463999999967</v>
      </c>
      <c r="CA111" s="14">
        <f t="shared" si="93"/>
        <v>68.335568330677432</v>
      </c>
      <c r="CB111" s="22">
        <f t="shared" si="64"/>
        <v>617.97852950926267</v>
      </c>
      <c r="CC111" s="62">
        <f t="shared" si="65"/>
        <v>897.46361369926194</v>
      </c>
      <c r="CD111" s="62">
        <f ca="1">AVERAGE(OFFSET($CC$3,0,0,'Données projet'!$E$12+1,1))-AVERAGE(OFFSET($H$3,0,0,'Données projet'!$E$12+1,1))</f>
        <v>496.33873798282525</v>
      </c>
      <c r="CE111" s="62">
        <f t="shared" si="94"/>
        <v>280.25465074992246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3.3974358974359005</v>
      </c>
      <c r="CT111" s="13">
        <f>IF('Données projet'!$A$140&gt;35,CT110+CS111-DB110,IF(A111&lt;'Données projet'!$A$140,$CQ$205^A111,IF(A111='Données projet'!$A$140,'Données projet'!$B$140,CT110+CS111-DB110)))</f>
        <v>285.51282051282061</v>
      </c>
      <c r="CU111" s="18">
        <f>CT111*VLOOKUP('Données projet'!$B$13,Paramètres!$A$1:$I$89,3,0)*VLOOKUP('Données projet'!$B$13,Paramètres!$A$1:$I$89,5,0)</f>
        <v>271.69400000000007</v>
      </c>
      <c r="CV111" s="14">
        <f t="shared" si="95"/>
        <v>65.208647871703889</v>
      </c>
      <c r="CW111" s="22">
        <f t="shared" si="67"/>
        <v>586.77211170988437</v>
      </c>
      <c r="CX111" s="62">
        <f t="shared" si="68"/>
        <v>866.25719589988375</v>
      </c>
      <c r="CY111" s="62">
        <f ca="1">AVERAGE(OFFSET($CX$3,0,0,'Données projet'!$E$13+1,1))-AVERAGE(OFFSET($H$3,0,0,'Données projet'!$E$13+1,1))</f>
        <v>441.15969139782891</v>
      </c>
      <c r="CZ111" s="62">
        <f t="shared" si="96"/>
        <v>315.06466790224783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5.6843418860808015E-14</v>
      </c>
      <c r="DP111" s="18">
        <f>DO111*VLOOKUP('Données projet'!$B$14,Paramètres!$A$1:$I$89,3,0)*VLOOKUP('Données projet'!$B$14,Paramètres!$A$1:$I$89,5,0)</f>
        <v>4.4337866711430253E-14</v>
      </c>
      <c r="DQ111" s="14">
        <f t="shared" si="97"/>
        <v>7.3222115536967035E-13</v>
      </c>
      <c r="DR111" s="22">
        <f t="shared" si="70"/>
        <v>1.3525069634579169E-12</v>
      </c>
      <c r="DS111" s="62">
        <f t="shared" si="71"/>
        <v>279.48508419000069</v>
      </c>
      <c r="DT111" s="62">
        <f ca="1">AVERAGE(OFFSET($DS$3,0,0,'Données projet'!$E$14+1,1))-AVERAGE(OFFSET($H$3,0,0,'Données projet'!$E$14+1,1))</f>
        <v>309.21625451786218</v>
      </c>
      <c r="DU111" s="62">
        <f t="shared" si="98"/>
        <v>302.59481222418219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-1.1368683772161603E-13</v>
      </c>
      <c r="EK111" s="18">
        <f>EJ111*VLOOKUP('Données projet'!$B$15,Paramètres!$A$1:$I$89,3,0)*VLOOKUP('Données projet'!$B$15,Paramètres!$A$1:$I$89,5,0)</f>
        <v>-9.9316821433603781E-14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298.56812743477741</v>
      </c>
      <c r="EP111" s="62">
        <f t="shared" si="100"/>
        <v>276.01618888357268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3.6538461538461489</v>
      </c>
      <c r="FE111" s="13">
        <f>IF('Données projet'!$A$218&gt;35,FE110+FD111-FM110,IF(A111&lt;'Données projet'!$A$218,$FB$205^A111,IF(A111='Données projet'!$A$218,'Données projet'!$B$218,FE110+FD111-FM110)))</f>
        <v>359.35897435897436</v>
      </c>
      <c r="FF111" s="18">
        <f>FE111*VLOOKUP('Données projet'!$B$16,Paramètres!$A$1:$I$89,3,0)*VLOOKUP('Données projet'!$B$16,Paramètres!$A$1:$I$89,5,0)</f>
        <v>241.05799999999999</v>
      </c>
      <c r="FG111" s="14">
        <f t="shared" si="101"/>
        <v>58.667106028853908</v>
      </c>
      <c r="FH111" s="22">
        <f t="shared" si="76"/>
        <v>522.02122633358715</v>
      </c>
      <c r="FI111" s="62">
        <f t="shared" si="77"/>
        <v>801.50631052358654</v>
      </c>
      <c r="FJ111" s="62">
        <f ca="1">AVERAGE(OFFSET($FI$3,0,0,'Données projet'!$E$16+1,1))-AVERAGE(OFFSET($H$3,0,0,'Données projet'!$E$16+1,1))</f>
        <v>396.0878652679051</v>
      </c>
      <c r="FK111" s="62">
        <f t="shared" si="102"/>
        <v>327.26339199235406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9">
        <f t="shared" si="56"/>
        <v>183.33333333333334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-9.7543306765146564E-14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478.11504516179713</v>
      </c>
      <c r="T112" s="62">
        <f t="shared" si="88"/>
        <v>249.93713224442419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-4.5224624045658861E-14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394.49874384716014</v>
      </c>
      <c r="AO112" s="62">
        <f t="shared" si="90"/>
        <v>423.72519584013378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-4.5224624045658861E-14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394.49874384716014</v>
      </c>
      <c r="BJ112" s="62">
        <f t="shared" si="92"/>
        <v>423.72519584013378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290.74031999999966</v>
      </c>
      <c r="CA112" s="14">
        <f t="shared" si="93"/>
        <v>69.231751058085507</v>
      </c>
      <c r="CB112" s="22">
        <f t="shared" si="64"/>
        <v>626.95135709283159</v>
      </c>
      <c r="CC112" s="62">
        <f t="shared" si="65"/>
        <v>906.67667744542086</v>
      </c>
      <c r="CD112" s="62">
        <f ca="1">AVERAGE(OFFSET($CC$3,0,0,'Données projet'!$E$12+1,1))-AVERAGE(OFFSET($H$3,0,0,'Données projet'!$E$12+1,1))</f>
        <v>496.33873798282525</v>
      </c>
      <c r="CE112" s="62">
        <f t="shared" si="94"/>
        <v>280.25465074992246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3.3974358974359005</v>
      </c>
      <c r="CT112" s="13">
        <f>IF('Données projet'!$A$140&gt;35,CT111+CS112-DB111,IF(A112&lt;'Données projet'!$A$140,$CQ$205^A112,IF(A112='Données projet'!$A$140,'Données projet'!$B$140,CT111+CS112-DB111)))</f>
        <v>288.91025641025652</v>
      </c>
      <c r="CU112" s="18">
        <f>CT112*VLOOKUP('Données projet'!$B$13,Paramètres!$A$1:$I$89,3,0)*VLOOKUP('Données projet'!$B$13,Paramètres!$A$1:$I$89,5,0)</f>
        <v>274.92700000000013</v>
      </c>
      <c r="CV112" s="14">
        <f t="shared" si="95"/>
        <v>65.893799998961399</v>
      </c>
      <c r="CW112" s="22">
        <f t="shared" si="67"/>
        <v>593.59622666485791</v>
      </c>
      <c r="CX112" s="62">
        <f t="shared" si="68"/>
        <v>873.32154701744719</v>
      </c>
      <c r="CY112" s="62">
        <f ca="1">AVERAGE(OFFSET($CX$3,0,0,'Données projet'!$E$13+1,1))-AVERAGE(OFFSET($H$3,0,0,'Données projet'!$E$13+1,1))</f>
        <v>441.15969139782891</v>
      </c>
      <c r="CZ112" s="62">
        <f t="shared" si="96"/>
        <v>315.06466790224783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5.6843418860808015E-14</v>
      </c>
      <c r="DP112" s="18">
        <f>DO112*VLOOKUP('Données projet'!$B$14,Paramètres!$A$1:$I$89,3,0)*VLOOKUP('Données projet'!$B$14,Paramètres!$A$1:$I$89,5,0)</f>
        <v>4.4337866711430253E-14</v>
      </c>
      <c r="DQ112" s="14">
        <f t="shared" si="97"/>
        <v>7.3222115536967035E-13</v>
      </c>
      <c r="DR112" s="22">
        <f t="shared" si="70"/>
        <v>1.3525069634579169E-12</v>
      </c>
      <c r="DS112" s="62">
        <f t="shared" si="71"/>
        <v>279.72532035259064</v>
      </c>
      <c r="DT112" s="62">
        <f ca="1">AVERAGE(OFFSET($DS$3,0,0,'Données projet'!$E$14+1,1))-AVERAGE(OFFSET($H$3,0,0,'Données projet'!$E$14+1,1))</f>
        <v>309.21625451786218</v>
      </c>
      <c r="DU112" s="62">
        <f t="shared" si="98"/>
        <v>302.59481222418219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-1.1368683772161603E-13</v>
      </c>
      <c r="EK112" s="18">
        <f>EJ112*VLOOKUP('Données projet'!$B$15,Paramètres!$A$1:$I$89,3,0)*VLOOKUP('Données projet'!$B$15,Paramètres!$A$1:$I$89,5,0)</f>
        <v>-9.9316821433603781E-14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298.56812743477741</v>
      </c>
      <c r="EP112" s="62">
        <f t="shared" si="100"/>
        <v>276.01618888357268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3.6538461538461489</v>
      </c>
      <c r="FE112" s="13">
        <f>IF('Données projet'!$A$218&gt;35,FE111+FD112-FM111,IF(A112&lt;'Données projet'!$A$218,$FB$205^A112,IF(A112='Données projet'!$A$218,'Données projet'!$B$218,FE111+FD112-FM111)))</f>
        <v>363.0128205128205</v>
      </c>
      <c r="FF112" s="18">
        <f>FE112*VLOOKUP('Données projet'!$B$16,Paramètres!$A$1:$I$89,3,0)*VLOOKUP('Données projet'!$B$16,Paramètres!$A$1:$I$89,5,0)</f>
        <v>243.50900000000001</v>
      </c>
      <c r="FG112" s="14">
        <f t="shared" si="101"/>
        <v>59.193869958866358</v>
      </c>
      <c r="FH112" s="22">
        <f t="shared" si="76"/>
        <v>527.20749851169228</v>
      </c>
      <c r="FI112" s="62">
        <f t="shared" si="77"/>
        <v>806.93281886428156</v>
      </c>
      <c r="FJ112" s="62">
        <f ca="1">AVERAGE(OFFSET($FI$3,0,0,'Données projet'!$E$16+1,1))-AVERAGE(OFFSET($H$3,0,0,'Données projet'!$E$16+1,1))</f>
        <v>396.0878652679051</v>
      </c>
      <c r="FK112" s="62">
        <f t="shared" si="102"/>
        <v>327.26339199235406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9">
        <f t="shared" si="56"/>
        <v>183.33333333333334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-9.7543306765146564E-14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478.11504516179713</v>
      </c>
      <c r="T113" s="62">
        <f t="shared" si="88"/>
        <v>249.93713224442419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-4.5224624045658861E-14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394.49874384716014</v>
      </c>
      <c r="AO113" s="62">
        <f t="shared" si="90"/>
        <v>423.72519584013378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-4.5224624045658861E-14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394.49874384716014</v>
      </c>
      <c r="BJ113" s="62">
        <f t="shared" si="92"/>
        <v>423.72519584013378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294.99599999999958</v>
      </c>
      <c r="CA113" s="14">
        <f t="shared" si="93"/>
        <v>70.126408118585317</v>
      </c>
      <c r="CB113" s="22">
        <f t="shared" si="64"/>
        <v>635.92152747320199</v>
      </c>
      <c r="CC113" s="62">
        <f t="shared" si="65"/>
        <v>915.88291642804779</v>
      </c>
      <c r="CD113" s="62">
        <f ca="1">AVERAGE(OFFSET($CC$3,0,0,'Données projet'!$E$12+1,1))-AVERAGE(OFFSET($H$3,0,0,'Données projet'!$E$12+1,1))</f>
        <v>496.33873798282525</v>
      </c>
      <c r="CE113" s="62">
        <f t="shared" si="94"/>
        <v>280.25465074992246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292.30769230769232</v>
      </c>
      <c r="CR113" s="13">
        <f>VLOOKUP(A113,'Données projet'!$A$139:$I$159,9,0)</f>
        <v>3.3974358974359005</v>
      </c>
      <c r="CS113" s="13">
        <f t="array" ref="CS113">INDEX(CR:CR,MIN(IF(ISNUMBER(CR113:CR309),ROW(CR113:CR309),"")))</f>
        <v>3.3974358974359005</v>
      </c>
      <c r="CT113" s="13">
        <f>IF('Données projet'!$A$140&gt;35,CT112+CS113-DB112,IF(A113&lt;'Données projet'!$A$140,$CQ$205^A113,IF(A113='Données projet'!$A$140,'Données projet'!$B$140,CT112+CS113-DB112)))</f>
        <v>292.30769230769243</v>
      </c>
      <c r="CU113" s="18">
        <f>CT113*VLOOKUP('Données projet'!$B$13,Paramètres!$A$1:$I$89,3,0)*VLOOKUP('Données projet'!$B$13,Paramètres!$A$1:$I$89,5,0)</f>
        <v>278.16000000000014</v>
      </c>
      <c r="CV113" s="14">
        <f t="shared" si="95"/>
        <v>66.578014905913179</v>
      </c>
      <c r="CW113" s="22">
        <f t="shared" si="67"/>
        <v>600.41870929446566</v>
      </c>
      <c r="CX113" s="62">
        <f t="shared" si="68"/>
        <v>880.38009824931146</v>
      </c>
      <c r="CY113" s="62">
        <f ca="1">AVERAGE(OFFSET($CX$3,0,0,'Données projet'!$E$13+1,1))-AVERAGE(OFFSET($H$3,0,0,'Données projet'!$E$13+1,1))</f>
        <v>441.15969139782891</v>
      </c>
      <c r="CZ113" s="62">
        <f t="shared" si="96"/>
        <v>315.06466790224783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37.820512820512818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5.6843418860808015E-14</v>
      </c>
      <c r="DP113" s="18">
        <f>DO113*VLOOKUP('Données projet'!$B$14,Paramètres!$A$1:$I$89,3,0)*VLOOKUP('Données projet'!$B$14,Paramètres!$A$1:$I$89,5,0)</f>
        <v>4.4337866711430253E-14</v>
      </c>
      <c r="DQ113" s="14">
        <f t="shared" si="97"/>
        <v>7.3222115536967035E-13</v>
      </c>
      <c r="DR113" s="22">
        <f t="shared" si="70"/>
        <v>1.3525069634579169E-12</v>
      </c>
      <c r="DS113" s="62">
        <f t="shared" si="71"/>
        <v>279.96138895484722</v>
      </c>
      <c r="DT113" s="62">
        <f ca="1">AVERAGE(OFFSET($DS$3,0,0,'Données projet'!$E$14+1,1))-AVERAGE(OFFSET($H$3,0,0,'Données projet'!$E$14+1,1))</f>
        <v>309.21625451786218</v>
      </c>
      <c r="DU113" s="62">
        <f t="shared" si="98"/>
        <v>302.59481222418219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-1.1368683772161603E-13</v>
      </c>
      <c r="EK113" s="18">
        <f>EJ113*VLOOKUP('Données projet'!$B$15,Paramètres!$A$1:$I$89,3,0)*VLOOKUP('Données projet'!$B$15,Paramètres!$A$1:$I$89,5,0)</f>
        <v>-9.9316821433603781E-14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298.56812743477741</v>
      </c>
      <c r="EP113" s="62">
        <f t="shared" si="100"/>
        <v>276.01618888357268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366.66666666666663</v>
      </c>
      <c r="FC113" s="13">
        <f>VLOOKUP(A113,'Données projet'!$A$217:$I$237,9,0)</f>
        <v>3.6538461538461489</v>
      </c>
      <c r="FD113" s="13">
        <f t="array" ref="FD113">INDEX(FC:FC,MIN(IF(ISNUMBER(FC113:FC309),ROW(FC113:FC309),"")))</f>
        <v>3.6538461538461489</v>
      </c>
      <c r="FE113" s="13">
        <f>IF('Données projet'!$A$218&gt;35,FE112+FD113-FM112,IF(A113&lt;'Données projet'!$A$218,$FB$205^A113,IF(A113='Données projet'!$A$218,'Données projet'!$B$218,FE112+FD113-FM112)))</f>
        <v>366.66666666666663</v>
      </c>
      <c r="FF113" s="18">
        <f>FE113*VLOOKUP('Données projet'!$B$16,Paramètres!$A$1:$I$89,3,0)*VLOOKUP('Données projet'!$B$16,Paramètres!$A$1:$I$89,5,0)</f>
        <v>245.95999999999998</v>
      </c>
      <c r="FG113" s="14">
        <f t="shared" si="101"/>
        <v>59.7200170799197</v>
      </c>
      <c r="FH113" s="22">
        <f t="shared" si="76"/>
        <v>532.39269641419344</v>
      </c>
      <c r="FI113" s="62">
        <f t="shared" si="77"/>
        <v>812.35408536903924</v>
      </c>
      <c r="FJ113" s="62">
        <f ca="1">AVERAGE(OFFSET($FI$3,0,0,'Données projet'!$E$16+1,1))-AVERAGE(OFFSET($H$3,0,0,'Données projet'!$E$16+1,1))</f>
        <v>396.0878652679051</v>
      </c>
      <c r="FK113" s="62">
        <f t="shared" si="102"/>
        <v>327.26339199235406</v>
      </c>
      <c r="FL113" s="16">
        <f>IF(ISNA(VLOOKUP(A113,'Données projet'!$A$217:$I$237,3,0)),0,VLOOKUP(A113,'Données projet'!$A$217:$I$237,3,0))</f>
        <v>10</v>
      </c>
      <c r="FM113" s="16">
        <f>IF(ISNA(VLOOKUP(A113,'Données projet'!$A$217:$I$237,4,0)),0,VLOOKUP(A113,'Données projet'!$A$217:$I$237,4,0))</f>
        <v>366.66666666666663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9">
        <f t="shared" si="56"/>
        <v>183.33333333333334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-9.7543306765146564E-14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478.11504516179713</v>
      </c>
      <c r="T114" s="62">
        <f t="shared" si="88"/>
        <v>249.93713224442419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-4.5224624045658861E-14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394.49874384716014</v>
      </c>
      <c r="AO114" s="62">
        <f t="shared" si="90"/>
        <v>423.72519584013378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-4.5224624045658861E-14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394.49874384716014</v>
      </c>
      <c r="BJ114" s="62">
        <f t="shared" si="92"/>
        <v>423.72519584013378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260.85383999999959</v>
      </c>
      <c r="CA114" s="14">
        <f t="shared" si="93"/>
        <v>62.904347395903649</v>
      </c>
      <c r="CB114" s="22">
        <f t="shared" si="64"/>
        <v>563.87884304786473</v>
      </c>
      <c r="CC114" s="62">
        <f t="shared" si="65"/>
        <v>844.07220534248836</v>
      </c>
      <c r="CD114" s="62">
        <f ca="1">AVERAGE(OFFSET($CC$3,0,0,'Données projet'!$E$12+1,1))-AVERAGE(OFFSET($H$3,0,0,'Données projet'!$E$12+1,1))</f>
        <v>496.33873798282525</v>
      </c>
      <c r="CE114" s="62">
        <f t="shared" si="94"/>
        <v>280.25465074992246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3.141025641025641</v>
      </c>
      <c r="CT114" s="13">
        <f>IF('Données projet'!$A$140&gt;35,CT113+CS114-DB113,IF(A114&lt;'Données projet'!$A$140,$CQ$205^A114,IF(A114='Données projet'!$A$140,'Données projet'!$B$140,CT113+CS114-DB113)))</f>
        <v>257.62820512820525</v>
      </c>
      <c r="CU114" s="18">
        <f>CT114*VLOOKUP('Données projet'!$B$13,Paramètres!$A$1:$I$89,3,0)*VLOOKUP('Données projet'!$B$13,Paramètres!$A$1:$I$89,5,0)</f>
        <v>245.15900000000013</v>
      </c>
      <c r="CV114" s="14">
        <f t="shared" si="95"/>
        <v>59.548136793550292</v>
      </c>
      <c r="CW114" s="22">
        <f t="shared" si="67"/>
        <v>530.69826324876692</v>
      </c>
      <c r="CX114" s="62">
        <f t="shared" si="68"/>
        <v>810.89162554339055</v>
      </c>
      <c r="CY114" s="62">
        <f ca="1">AVERAGE(OFFSET($CX$3,0,0,'Données projet'!$E$13+1,1))-AVERAGE(OFFSET($H$3,0,0,'Données projet'!$E$13+1,1))</f>
        <v>441.15969139782891</v>
      </c>
      <c r="CZ114" s="62">
        <f t="shared" si="96"/>
        <v>315.06466790224783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4.4337866711430253E-14</v>
      </c>
      <c r="DQ114" s="14">
        <f t="shared" si="97"/>
        <v>7.3222115536967035E-13</v>
      </c>
      <c r="DR114" s="22">
        <f t="shared" si="70"/>
        <v>1.3525069634579169E-12</v>
      </c>
      <c r="DS114" s="62">
        <f t="shared" si="71"/>
        <v>280.19336229462493</v>
      </c>
      <c r="DT114" s="62">
        <f ca="1">AVERAGE(OFFSET($DS$3,0,0,'Données projet'!$E$14+1,1))-AVERAGE(OFFSET($H$3,0,0,'Données projet'!$E$14+1,1))</f>
        <v>309.21625451786218</v>
      </c>
      <c r="DU114" s="62">
        <f t="shared" si="98"/>
        <v>302.59481222418219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-1.1368683772161603E-13</v>
      </c>
      <c r="EK114" s="18">
        <f>EJ114*VLOOKUP('Données projet'!$B$15,Paramètres!$A$1:$I$89,3,0)*VLOOKUP('Données projet'!$B$15,Paramètres!$A$1:$I$89,5,0)</f>
        <v>-9.9316821433603781E-14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298.56812743477741</v>
      </c>
      <c r="EP114" s="62">
        <f t="shared" si="100"/>
        <v>276.01618888357268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>
        <f>FE114*VLOOKUP('Données projet'!$B$16,Paramètres!$A$1:$I$89,3,0)*VLOOKUP('Données projet'!$B$16,Paramètres!$A$1:$I$89,5,0)</f>
        <v>0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396.0878652679051</v>
      </c>
      <c r="FK114" s="62">
        <f t="shared" si="102"/>
        <v>327.26339199235406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9">
        <f t="shared" si="56"/>
        <v>183.33333333333334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-9.7543306765146564E-14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478.11504516179713</v>
      </c>
      <c r="T115" s="62">
        <f t="shared" si="88"/>
        <v>249.93713224442419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-4.5224624045658861E-14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394.49874384716014</v>
      </c>
      <c r="AO115" s="62">
        <f t="shared" si="90"/>
        <v>423.72519584013378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-4.5224624045658861E-14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394.49874384716014</v>
      </c>
      <c r="BJ115" s="62">
        <f t="shared" si="92"/>
        <v>423.72519584013378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264.4324799999996</v>
      </c>
      <c r="CA115" s="14">
        <f t="shared" si="93"/>
        <v>63.666272015882292</v>
      </c>
      <c r="CB115" s="22">
        <f t="shared" si="64"/>
        <v>571.43865976099426</v>
      </c>
      <c r="CC115" s="62">
        <f t="shared" si="65"/>
        <v>851.85997117656507</v>
      </c>
      <c r="CD115" s="62">
        <f ca="1">AVERAGE(OFFSET($CC$3,0,0,'Données projet'!$E$12+1,1))-AVERAGE(OFFSET($H$3,0,0,'Données projet'!$E$12+1,1))</f>
        <v>496.33873798282525</v>
      </c>
      <c r="CE115" s="62">
        <f t="shared" si="94"/>
        <v>280.25465074992246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3.141025641025641</v>
      </c>
      <c r="CT115" s="13">
        <f>IF('Données projet'!$A$140&gt;35,CT114+CS115-DB114,IF(A115&lt;'Données projet'!$A$140,$CQ$205^A115,IF(A115='Données projet'!$A$140,'Données projet'!$B$140,CT114+CS115-DB114)))</f>
        <v>260.76923076923089</v>
      </c>
      <c r="CU115" s="18">
        <f>CT115*VLOOKUP('Données projet'!$B$13,Paramètres!$A$1:$I$89,3,0)*VLOOKUP('Données projet'!$B$13,Paramètres!$A$1:$I$89,5,0)</f>
        <v>248.14800000000011</v>
      </c>
      <c r="CV115" s="14">
        <f t="shared" si="95"/>
        <v>60.189191470108021</v>
      </c>
      <c r="CW115" s="22">
        <f t="shared" si="67"/>
        <v>537.02060847710493</v>
      </c>
      <c r="CX115" s="62">
        <f t="shared" si="68"/>
        <v>817.44191989267574</v>
      </c>
      <c r="CY115" s="62">
        <f ca="1">AVERAGE(OFFSET($CX$3,0,0,'Données projet'!$E$13+1,1))-AVERAGE(OFFSET($H$3,0,0,'Données projet'!$E$13+1,1))</f>
        <v>441.15969139782891</v>
      </c>
      <c r="CZ115" s="62">
        <f t="shared" si="96"/>
        <v>315.06466790224783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4.4337866711430253E-14</v>
      </c>
      <c r="DQ115" s="14">
        <f t="shared" si="97"/>
        <v>7.3222115536967035E-13</v>
      </c>
      <c r="DR115" s="22">
        <f t="shared" si="70"/>
        <v>1.3525069634579169E-12</v>
      </c>
      <c r="DS115" s="62">
        <f t="shared" si="71"/>
        <v>280.42131141557223</v>
      </c>
      <c r="DT115" s="62">
        <f ca="1">AVERAGE(OFFSET($DS$3,0,0,'Données projet'!$E$14+1,1))-AVERAGE(OFFSET($H$3,0,0,'Données projet'!$E$14+1,1))</f>
        <v>309.21625451786218</v>
      </c>
      <c r="DU115" s="62">
        <f t="shared" si="98"/>
        <v>302.59481222418219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-1.1368683772161603E-13</v>
      </c>
      <c r="EK115" s="18">
        <f>EJ115*VLOOKUP('Données projet'!$B$15,Paramètres!$A$1:$I$89,3,0)*VLOOKUP('Données projet'!$B$15,Paramètres!$A$1:$I$89,5,0)</f>
        <v>-9.9316821433603781E-14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298.56812743477741</v>
      </c>
      <c r="EP115" s="62">
        <f t="shared" si="100"/>
        <v>276.01618888357268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>
        <f>FE115*VLOOKUP('Données projet'!$B$16,Paramètres!$A$1:$I$89,3,0)*VLOOKUP('Données projet'!$B$16,Paramètres!$A$1:$I$89,5,0)</f>
        <v>0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396.0878652679051</v>
      </c>
      <c r="FK115" s="62">
        <f t="shared" si="102"/>
        <v>327.26339199235406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9">
        <f t="shared" si="56"/>
        <v>183.33333333333334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-9.7543306765146564E-14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478.11504516179713</v>
      </c>
      <c r="T116" s="62">
        <f t="shared" si="88"/>
        <v>249.93713224442419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-4.5224624045658861E-14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394.49874384716014</v>
      </c>
      <c r="AO116" s="62">
        <f t="shared" si="90"/>
        <v>423.72519584013378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-4.5224624045658861E-14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394.49874384716014</v>
      </c>
      <c r="BJ116" s="62">
        <f t="shared" si="92"/>
        <v>423.72519584013378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268.01111999999961</v>
      </c>
      <c r="CA116" s="14">
        <f t="shared" si="93"/>
        <v>64.426997301716796</v>
      </c>
      <c r="CB116" s="22">
        <f t="shared" si="64"/>
        <v>578.99638763382268</v>
      </c>
      <c r="CC116" s="62">
        <f t="shared" si="65"/>
        <v>859.64169376271025</v>
      </c>
      <c r="CD116" s="62">
        <f ca="1">AVERAGE(OFFSET($CC$3,0,0,'Données projet'!$E$12+1,1))-AVERAGE(OFFSET($H$3,0,0,'Données projet'!$E$12+1,1))</f>
        <v>496.33873798282525</v>
      </c>
      <c r="CE116" s="62">
        <f t="shared" si="94"/>
        <v>280.25465074992246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3.141025641025641</v>
      </c>
      <c r="CT116" s="13">
        <f>IF('Données projet'!$A$140&gt;35,CT115+CS116-DB115,IF(A116&lt;'Données projet'!$A$140,$CQ$205^A116,IF(A116='Données projet'!$A$140,'Données projet'!$B$140,CT115+CS116-DB115)))</f>
        <v>263.91025641025652</v>
      </c>
      <c r="CU116" s="18">
        <f>CT116*VLOOKUP('Données projet'!$B$13,Paramètres!$A$1:$I$89,3,0)*VLOOKUP('Données projet'!$B$13,Paramètres!$A$1:$I$89,5,0)</f>
        <v>251.13700000000011</v>
      </c>
      <c r="CV116" s="14">
        <f t="shared" si="95"/>
        <v>60.82934795323235</v>
      </c>
      <c r="CW116" s="22">
        <f t="shared" si="67"/>
        <v>543.34138935187991</v>
      </c>
      <c r="CX116" s="62">
        <f t="shared" si="68"/>
        <v>823.98669548076759</v>
      </c>
      <c r="CY116" s="62">
        <f ca="1">AVERAGE(OFFSET($CX$3,0,0,'Données projet'!$E$13+1,1))-AVERAGE(OFFSET($H$3,0,0,'Données projet'!$E$13+1,1))</f>
        <v>441.15969139782891</v>
      </c>
      <c r="CZ116" s="62">
        <f t="shared" si="96"/>
        <v>315.06466790224783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4.4337866711430253E-14</v>
      </c>
      <c r="DQ116" s="14">
        <f t="shared" si="97"/>
        <v>7.3222115536967035E-13</v>
      </c>
      <c r="DR116" s="22">
        <f t="shared" si="70"/>
        <v>1.3525069634579169E-12</v>
      </c>
      <c r="DS116" s="62">
        <f t="shared" si="71"/>
        <v>280.64530612888899</v>
      </c>
      <c r="DT116" s="62">
        <f ca="1">AVERAGE(OFFSET($DS$3,0,0,'Données projet'!$E$14+1,1))-AVERAGE(OFFSET($H$3,0,0,'Données projet'!$E$14+1,1))</f>
        <v>309.21625451786218</v>
      </c>
      <c r="DU116" s="62">
        <f t="shared" si="98"/>
        <v>302.59481222418219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-1.1368683772161603E-13</v>
      </c>
      <c r="EK116" s="18">
        <f>EJ116*VLOOKUP('Données projet'!$B$15,Paramètres!$A$1:$I$89,3,0)*VLOOKUP('Données projet'!$B$15,Paramètres!$A$1:$I$89,5,0)</f>
        <v>-9.9316821433603781E-14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298.56812743477741</v>
      </c>
      <c r="EP116" s="62">
        <f t="shared" si="100"/>
        <v>276.01618888357268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>
        <f>FE116*VLOOKUP('Données projet'!$B$16,Paramètres!$A$1:$I$89,3,0)*VLOOKUP('Données projet'!$B$16,Paramètres!$A$1:$I$89,5,0)</f>
        <v>0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396.0878652679051</v>
      </c>
      <c r="FK116" s="62">
        <f t="shared" si="102"/>
        <v>327.26339199235406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9">
        <f t="shared" si="56"/>
        <v>183.33333333333334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-9.7543306765146564E-14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478.11504516179713</v>
      </c>
      <c r="T117" s="62">
        <f t="shared" si="88"/>
        <v>249.93713224442419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-4.5224624045658861E-14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394.49874384716014</v>
      </c>
      <c r="AO117" s="62">
        <f t="shared" si="90"/>
        <v>423.72519584013378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-4.5224624045658861E-14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394.49874384716014</v>
      </c>
      <c r="BJ117" s="62">
        <f t="shared" si="92"/>
        <v>423.72519584013378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271.58975999999956</v>
      </c>
      <c r="CA117" s="14">
        <f t="shared" si="93"/>
        <v>65.186541118848012</v>
      </c>
      <c r="CB117" s="22">
        <f t="shared" si="64"/>
        <v>586.55205778199286</v>
      </c>
      <c r="CC117" s="62">
        <f t="shared" si="65"/>
        <v>867.41747281669836</v>
      </c>
      <c r="CD117" s="62">
        <f ca="1">AVERAGE(OFFSET($CC$3,0,0,'Données projet'!$E$12+1,1))-AVERAGE(OFFSET($H$3,0,0,'Données projet'!$E$12+1,1))</f>
        <v>496.33873798282525</v>
      </c>
      <c r="CE117" s="62">
        <f t="shared" si="94"/>
        <v>280.25465074992246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3.141025641025641</v>
      </c>
      <c r="CT117" s="13">
        <f>IF('Données projet'!$A$140&gt;35,CT116+CS117-DB116,IF(A117&lt;'Données projet'!$A$140,$CQ$205^A117,IF(A117='Données projet'!$A$140,'Données projet'!$B$140,CT116+CS117-DB116)))</f>
        <v>267.05128205128216</v>
      </c>
      <c r="CU117" s="18">
        <f>CT117*VLOOKUP('Données projet'!$B$13,Paramètres!$A$1:$I$89,3,0)*VLOOKUP('Données projet'!$B$13,Paramètres!$A$1:$I$89,5,0)</f>
        <v>254.12600000000012</v>
      </c>
      <c r="CV117" s="14">
        <f t="shared" si="95"/>
        <v>61.46861816974539</v>
      </c>
      <c r="CW117" s="22">
        <f t="shared" si="67"/>
        <v>549.66062664564004</v>
      </c>
      <c r="CX117" s="62">
        <f t="shared" si="68"/>
        <v>830.52604168034554</v>
      </c>
      <c r="CY117" s="62">
        <f ca="1">AVERAGE(OFFSET($CX$3,0,0,'Données projet'!$E$13+1,1))-AVERAGE(OFFSET($H$3,0,0,'Données projet'!$E$13+1,1))</f>
        <v>441.15969139782891</v>
      </c>
      <c r="CZ117" s="62">
        <f t="shared" si="96"/>
        <v>315.06466790224783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4.4337866711430253E-14</v>
      </c>
      <c r="DQ117" s="14">
        <f t="shared" si="97"/>
        <v>7.3222115536967035E-13</v>
      </c>
      <c r="DR117" s="22">
        <f t="shared" si="70"/>
        <v>1.3525069634579169E-12</v>
      </c>
      <c r="DS117" s="62">
        <f t="shared" si="71"/>
        <v>280.86541503470681</v>
      </c>
      <c r="DT117" s="62">
        <f ca="1">AVERAGE(OFFSET($DS$3,0,0,'Données projet'!$E$14+1,1))-AVERAGE(OFFSET($H$3,0,0,'Données projet'!$E$14+1,1))</f>
        <v>309.21625451786218</v>
      </c>
      <c r="DU117" s="62">
        <f t="shared" si="98"/>
        <v>302.59481222418219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-1.1368683772161603E-13</v>
      </c>
      <c r="EK117" s="18">
        <f>EJ117*VLOOKUP('Données projet'!$B$15,Paramètres!$A$1:$I$89,3,0)*VLOOKUP('Données projet'!$B$15,Paramètres!$A$1:$I$89,5,0)</f>
        <v>-9.9316821433603781E-14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298.56812743477741</v>
      </c>
      <c r="EP117" s="62">
        <f t="shared" si="100"/>
        <v>276.01618888357268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>
        <f>FE117*VLOOKUP('Données projet'!$B$16,Paramètres!$A$1:$I$89,3,0)*VLOOKUP('Données projet'!$B$16,Paramètres!$A$1:$I$89,5,0)</f>
        <v>0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396.0878652679051</v>
      </c>
      <c r="FK117" s="62">
        <f t="shared" si="102"/>
        <v>327.26339199235406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9">
        <f t="shared" si="56"/>
        <v>183.33333333333334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-9.7543306765146564E-14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478.11504516179713</v>
      </c>
      <c r="T118" s="62">
        <f t="shared" si="88"/>
        <v>249.93713224442419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-4.5224624045658861E-14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394.49874384716014</v>
      </c>
      <c r="AO118" s="62">
        <f t="shared" si="90"/>
        <v>423.72519584013378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-4.5224624045658861E-14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394.49874384716014</v>
      </c>
      <c r="BJ118" s="62">
        <f t="shared" si="92"/>
        <v>423.72519584013378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275.16839999999956</v>
      </c>
      <c r="CA118" s="14">
        <f t="shared" si="93"/>
        <v>65.944920834841554</v>
      </c>
      <c r="CB118" s="22">
        <f t="shared" si="64"/>
        <v>594.10570045401494</v>
      </c>
      <c r="CC118" s="62">
        <f t="shared" si="65"/>
        <v>875.18740599711214</v>
      </c>
      <c r="CD118" s="62">
        <f ca="1">AVERAGE(OFFSET($CC$3,0,0,'Données projet'!$E$12+1,1))-AVERAGE(OFFSET($H$3,0,0,'Données projet'!$E$12+1,1))</f>
        <v>496.33873798282525</v>
      </c>
      <c r="CE118" s="62">
        <f t="shared" si="94"/>
        <v>280.25465074992246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3.141025641025641</v>
      </c>
      <c r="CT118" s="13">
        <f>IF('Données projet'!$A$140&gt;35,CT117+CS118-DB117,IF(A118&lt;'Données projet'!$A$140,$CQ$205^A118,IF(A118='Données projet'!$A$140,'Données projet'!$B$140,CT117+CS118-DB117)))</f>
        <v>270.19230769230779</v>
      </c>
      <c r="CU118" s="18">
        <f>CT118*VLOOKUP('Données projet'!$B$13,Paramètres!$A$1:$I$89,3,0)*VLOOKUP('Données projet'!$B$13,Paramètres!$A$1:$I$89,5,0)</f>
        <v>257.11500000000007</v>
      </c>
      <c r="CV118" s="14">
        <f t="shared" si="95"/>
        <v>62.107013749759211</v>
      </c>
      <c r="CW118" s="22">
        <f t="shared" si="67"/>
        <v>555.97834061416404</v>
      </c>
      <c r="CX118" s="62">
        <f t="shared" si="68"/>
        <v>837.06004615726124</v>
      </c>
      <c r="CY118" s="62">
        <f ca="1">AVERAGE(OFFSET($CX$3,0,0,'Données projet'!$E$13+1,1))-AVERAGE(OFFSET($H$3,0,0,'Données projet'!$E$13+1,1))</f>
        <v>441.15969139782891</v>
      </c>
      <c r="CZ118" s="62">
        <f t="shared" si="96"/>
        <v>315.06466790224783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4.4337866711430253E-14</v>
      </c>
      <c r="DQ118" s="14">
        <f t="shared" si="97"/>
        <v>7.3222115536967035E-13</v>
      </c>
      <c r="DR118" s="22">
        <f t="shared" si="70"/>
        <v>1.3525069634579169E-12</v>
      </c>
      <c r="DS118" s="62">
        <f t="shared" si="71"/>
        <v>281.08170554309862</v>
      </c>
      <c r="DT118" s="62">
        <f ca="1">AVERAGE(OFFSET($DS$3,0,0,'Données projet'!$E$14+1,1))-AVERAGE(OFFSET($H$3,0,0,'Données projet'!$E$14+1,1))</f>
        <v>309.21625451786218</v>
      </c>
      <c r="DU118" s="62">
        <f t="shared" si="98"/>
        <v>302.59481222418219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-1.1368683772161603E-13</v>
      </c>
      <c r="EK118" s="18">
        <f>EJ118*VLOOKUP('Données projet'!$B$15,Paramètres!$A$1:$I$89,3,0)*VLOOKUP('Données projet'!$B$15,Paramètres!$A$1:$I$89,5,0)</f>
        <v>-9.9316821433603781E-14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298.56812743477741</v>
      </c>
      <c r="EP118" s="62">
        <f t="shared" si="100"/>
        <v>276.01618888357268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>
        <f>FE118*VLOOKUP('Données projet'!$B$16,Paramètres!$A$1:$I$89,3,0)*VLOOKUP('Données projet'!$B$16,Paramètres!$A$1:$I$89,5,0)</f>
        <v>0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396.0878652679051</v>
      </c>
      <c r="FK118" s="62">
        <f t="shared" si="102"/>
        <v>327.26339199235406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9">
        <f t="shared" si="56"/>
        <v>183.33333333333334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-9.7543306765146564E-14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478.11504516179713</v>
      </c>
      <c r="T119" s="62">
        <f t="shared" si="88"/>
        <v>249.93713224442419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-4.5224624045658861E-14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394.49874384716014</v>
      </c>
      <c r="AO119" s="62">
        <f t="shared" si="90"/>
        <v>423.72519584013378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-4.5224624045658861E-14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394.49874384716014</v>
      </c>
      <c r="BJ119" s="62">
        <f t="shared" si="92"/>
        <v>423.72519584013378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278.74703999999957</v>
      </c>
      <c r="CA119" s="14">
        <f t="shared" si="93"/>
        <v>66.702153339553135</v>
      </c>
      <c r="CB119" s="22">
        <f t="shared" si="64"/>
        <v>601.65734506638762</v>
      </c>
      <c r="CC119" s="62">
        <f t="shared" si="65"/>
        <v>882.95158896110911</v>
      </c>
      <c r="CD119" s="62">
        <f ca="1">AVERAGE(OFFSET($CC$3,0,0,'Données projet'!$E$12+1,1))-AVERAGE(OFFSET($H$3,0,0,'Données projet'!$E$12+1,1))</f>
        <v>496.33873798282525</v>
      </c>
      <c r="CE119" s="62">
        <f t="shared" si="94"/>
        <v>280.25465074992246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3.141025641025641</v>
      </c>
      <c r="CT119" s="13">
        <f>IF('Données projet'!$A$140&gt;35,CT118+CS119-DB118,IF(A119&lt;'Données projet'!$A$140,$CQ$205^A119,IF(A119='Données projet'!$A$140,'Données projet'!$B$140,CT118+CS119-DB118)))</f>
        <v>273.33333333333343</v>
      </c>
      <c r="CU119" s="18">
        <f>CT119*VLOOKUP('Données projet'!$B$13,Paramètres!$A$1:$I$89,3,0)*VLOOKUP('Données projet'!$B$13,Paramètres!$A$1:$I$89,5,0)</f>
        <v>260.1040000000001</v>
      </c>
      <c r="CV119" s="14">
        <f t="shared" si="95"/>
        <v>62.744546037419411</v>
      </c>
      <c r="CW119" s="22">
        <f t="shared" si="67"/>
        <v>562.29455101517226</v>
      </c>
      <c r="CX119" s="62">
        <f t="shared" si="68"/>
        <v>843.58879490989375</v>
      </c>
      <c r="CY119" s="62">
        <f ca="1">AVERAGE(OFFSET($CX$3,0,0,'Données projet'!$E$13+1,1))-AVERAGE(OFFSET($H$3,0,0,'Données projet'!$E$13+1,1))</f>
        <v>441.15969139782891</v>
      </c>
      <c r="CZ119" s="62">
        <f t="shared" si="96"/>
        <v>315.06466790224783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4.4337866711430253E-14</v>
      </c>
      <c r="DQ119" s="14">
        <f t="shared" si="97"/>
        <v>7.3222115536967035E-13</v>
      </c>
      <c r="DR119" s="22">
        <f t="shared" si="70"/>
        <v>1.3525069634579169E-12</v>
      </c>
      <c r="DS119" s="62">
        <f t="shared" si="71"/>
        <v>281.29424389472285</v>
      </c>
      <c r="DT119" s="62">
        <f ca="1">AVERAGE(OFFSET($DS$3,0,0,'Données projet'!$E$14+1,1))-AVERAGE(OFFSET($H$3,0,0,'Données projet'!$E$14+1,1))</f>
        <v>309.21625451786218</v>
      </c>
      <c r="DU119" s="62">
        <f t="shared" si="98"/>
        <v>302.59481222418219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-1.1368683772161603E-13</v>
      </c>
      <c r="EK119" s="18">
        <f>EJ119*VLOOKUP('Données projet'!$B$15,Paramètres!$A$1:$I$89,3,0)*VLOOKUP('Données projet'!$B$15,Paramètres!$A$1:$I$89,5,0)</f>
        <v>-9.9316821433603781E-14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298.56812743477741</v>
      </c>
      <c r="EP119" s="62">
        <f t="shared" si="100"/>
        <v>276.01618888357268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396.0878652679051</v>
      </c>
      <c r="FK119" s="62">
        <f t="shared" si="102"/>
        <v>327.26339199235406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9">
        <f t="shared" si="56"/>
        <v>183.33333333333334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-9.7543306765146564E-14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478.11504516179713</v>
      </c>
      <c r="T120" s="62">
        <f t="shared" si="88"/>
        <v>249.93713224442419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-4.5224624045658861E-14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394.49874384716014</v>
      </c>
      <c r="AO120" s="62">
        <f t="shared" si="90"/>
        <v>423.72519584013378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-4.5224624045658861E-14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394.49874384716014</v>
      </c>
      <c r="BJ120" s="62">
        <f t="shared" si="92"/>
        <v>423.72519584013378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282.32567999999952</v>
      </c>
      <c r="CA120" s="14">
        <f t="shared" si="93"/>
        <v>67.458255064229917</v>
      </c>
      <c r="CB120" s="22">
        <f t="shared" si="64"/>
        <v>609.20702023686624</v>
      </c>
      <c r="CC120" s="62">
        <f t="shared" si="65"/>
        <v>890.71011541797589</v>
      </c>
      <c r="CD120" s="62">
        <f ca="1">AVERAGE(OFFSET($CC$3,0,0,'Données projet'!$E$12+1,1))-AVERAGE(OFFSET($H$3,0,0,'Données projet'!$E$12+1,1))</f>
        <v>496.33873798282525</v>
      </c>
      <c r="CE120" s="62">
        <f t="shared" si="94"/>
        <v>280.25465074992246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3.141025641025641</v>
      </c>
      <c r="CT120" s="13">
        <f>IF('Données projet'!$A$140&gt;35,CT119+CS120-DB119,IF(A120&lt;'Données projet'!$A$140,$CQ$205^A120,IF(A120='Données projet'!$A$140,'Données projet'!$B$140,CT119+CS120-DB119)))</f>
        <v>276.47435897435906</v>
      </c>
      <c r="CU120" s="18">
        <f>CT120*VLOOKUP('Données projet'!$B$13,Paramètres!$A$1:$I$89,3,0)*VLOOKUP('Données projet'!$B$13,Paramètres!$A$1:$I$89,5,0)</f>
        <v>263.09300000000007</v>
      </c>
      <c r="CV120" s="14">
        <f t="shared" si="95"/>
        <v>63.381226101139966</v>
      </c>
      <c r="CW120" s="22">
        <f t="shared" si="67"/>
        <v>568.60927712615228</v>
      </c>
      <c r="CX120" s="62">
        <f t="shared" si="68"/>
        <v>850.11237230726192</v>
      </c>
      <c r="CY120" s="62">
        <f ca="1">AVERAGE(OFFSET($CX$3,0,0,'Données projet'!$E$13+1,1))-AVERAGE(OFFSET($H$3,0,0,'Données projet'!$E$13+1,1))</f>
        <v>441.15969139782891</v>
      </c>
      <c r="CZ120" s="62">
        <f t="shared" si="96"/>
        <v>315.06466790224783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4.4337866711430253E-14</v>
      </c>
      <c r="DQ120" s="14">
        <f t="shared" si="97"/>
        <v>7.3222115536967035E-13</v>
      </c>
      <c r="DR120" s="22">
        <f t="shared" si="70"/>
        <v>1.3525069634579169E-12</v>
      </c>
      <c r="DS120" s="62">
        <f t="shared" si="71"/>
        <v>281.50309518111101</v>
      </c>
      <c r="DT120" s="62">
        <f ca="1">AVERAGE(OFFSET($DS$3,0,0,'Données projet'!$E$14+1,1))-AVERAGE(OFFSET($H$3,0,0,'Données projet'!$E$14+1,1))</f>
        <v>309.21625451786218</v>
      </c>
      <c r="DU120" s="62">
        <f t="shared" si="98"/>
        <v>302.59481222418219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-1.1368683772161603E-13</v>
      </c>
      <c r="EK120" s="18">
        <f>EJ120*VLOOKUP('Données projet'!$B$15,Paramètres!$A$1:$I$89,3,0)*VLOOKUP('Données projet'!$B$15,Paramètres!$A$1:$I$89,5,0)</f>
        <v>-9.9316821433603781E-14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298.56812743477741</v>
      </c>
      <c r="EP120" s="62">
        <f t="shared" si="100"/>
        <v>276.01618888357268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396.0878652679051</v>
      </c>
      <c r="FK120" s="62">
        <f t="shared" si="102"/>
        <v>327.26339199235406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9">
        <f t="shared" si="56"/>
        <v>183.33333333333334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-9.7543306765146564E-14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478.11504516179713</v>
      </c>
      <c r="T121" s="62">
        <f t="shared" si="88"/>
        <v>249.93713224442419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-4.5224624045658861E-14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394.49874384716014</v>
      </c>
      <c r="AO121" s="62">
        <f t="shared" si="90"/>
        <v>423.72519584013378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-4.5224624045658861E-14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394.49874384716014</v>
      </c>
      <c r="BJ121" s="62">
        <f t="shared" si="92"/>
        <v>423.72519584013378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285.90431999999953</v>
      </c>
      <c r="CA121" s="14">
        <f t="shared" si="93"/>
        <v>68.213241999614453</v>
      </c>
      <c r="CB121" s="22">
        <f t="shared" si="64"/>
        <v>616.75475381599438</v>
      </c>
      <c r="CC121" s="62">
        <f t="shared" si="65"/>
        <v>898.46307718059484</v>
      </c>
      <c r="CD121" s="62">
        <f ca="1">AVERAGE(OFFSET($CC$3,0,0,'Données projet'!$E$12+1,1))-AVERAGE(OFFSET($H$3,0,0,'Données projet'!$E$12+1,1))</f>
        <v>496.33873798282525</v>
      </c>
      <c r="CE121" s="62">
        <f t="shared" si="94"/>
        <v>280.25465074992246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3.141025641025641</v>
      </c>
      <c r="CT121" s="13">
        <f>IF('Données projet'!$A$140&gt;35,CT120+CS121-DB120,IF(A121&lt;'Données projet'!$A$140,$CQ$205^A121,IF(A121='Données projet'!$A$140,'Données projet'!$B$140,CT120+CS121-DB120)))</f>
        <v>279.6153846153847</v>
      </c>
      <c r="CU121" s="18">
        <f>CT121*VLOOKUP('Données projet'!$B$13,Paramètres!$A$1:$I$89,3,0)*VLOOKUP('Données projet'!$B$13,Paramètres!$A$1:$I$89,5,0)</f>
        <v>266.08200000000005</v>
      </c>
      <c r="CV121" s="14">
        <f t="shared" si="95"/>
        <v>64.017064743360152</v>
      </c>
      <c r="CW121" s="22">
        <f t="shared" si="67"/>
        <v>574.92253776135237</v>
      </c>
      <c r="CX121" s="62">
        <f t="shared" si="68"/>
        <v>856.63086112595283</v>
      </c>
      <c r="CY121" s="62">
        <f ca="1">AVERAGE(OFFSET($CX$3,0,0,'Données projet'!$E$13+1,1))-AVERAGE(OFFSET($H$3,0,0,'Données projet'!$E$13+1,1))</f>
        <v>441.15969139782891</v>
      </c>
      <c r="CZ121" s="62">
        <f t="shared" si="96"/>
        <v>315.06466790224783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4.4337866711430253E-14</v>
      </c>
      <c r="DQ121" s="14">
        <f t="shared" si="97"/>
        <v>7.3222115536967035E-13</v>
      </c>
      <c r="DR121" s="22">
        <f t="shared" si="70"/>
        <v>1.3525069634579169E-12</v>
      </c>
      <c r="DS121" s="62">
        <f t="shared" si="71"/>
        <v>281.70832336460177</v>
      </c>
      <c r="DT121" s="62">
        <f ca="1">AVERAGE(OFFSET($DS$3,0,0,'Données projet'!$E$14+1,1))-AVERAGE(OFFSET($H$3,0,0,'Données projet'!$E$14+1,1))</f>
        <v>309.21625451786218</v>
      </c>
      <c r="DU121" s="62">
        <f t="shared" si="98"/>
        <v>302.59481222418219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-1.1368683772161603E-13</v>
      </c>
      <c r="EK121" s="18">
        <f>EJ121*VLOOKUP('Données projet'!$B$15,Paramètres!$A$1:$I$89,3,0)*VLOOKUP('Données projet'!$B$15,Paramètres!$A$1:$I$89,5,0)</f>
        <v>-9.9316821433603781E-14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298.56812743477741</v>
      </c>
      <c r="EP121" s="62">
        <f t="shared" si="100"/>
        <v>276.01618888357268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396.0878652679051</v>
      </c>
      <c r="FK121" s="62">
        <f t="shared" si="102"/>
        <v>327.26339199235406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9">
        <f t="shared" si="56"/>
        <v>183.33333333333334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-9.7543306765146564E-14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478.11504516179713</v>
      </c>
      <c r="T122" s="62">
        <f t="shared" si="88"/>
        <v>249.93713224442419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-4.5224624045658861E-14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394.49874384716014</v>
      </c>
      <c r="AO122" s="62">
        <f t="shared" si="90"/>
        <v>423.72519584013378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-4.5224624045658861E-14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394.49874384716014</v>
      </c>
      <c r="BJ122" s="62">
        <f t="shared" si="92"/>
        <v>423.72519584013378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289.48295999999954</v>
      </c>
      <c r="CA122" s="14">
        <f t="shared" si="93"/>
        <v>68.967129713117401</v>
      </c>
      <c r="CB122" s="22">
        <f t="shared" si="64"/>
        <v>624.300572917012</v>
      </c>
      <c r="CC122" s="62">
        <f t="shared" si="65"/>
        <v>906.21056421494109</v>
      </c>
      <c r="CD122" s="62">
        <f ca="1">AVERAGE(OFFSET($CC$3,0,0,'Données projet'!$E$12+1,1))-AVERAGE(OFFSET($H$3,0,0,'Données projet'!$E$12+1,1))</f>
        <v>496.33873798282525</v>
      </c>
      <c r="CE122" s="62">
        <f t="shared" si="94"/>
        <v>280.25465074992246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3.141025641025641</v>
      </c>
      <c r="CT122" s="13">
        <f>IF('Données projet'!$A$140&gt;35,CT121+CS122-DB121,IF(A122&lt;'Données projet'!$A$140,$CQ$205^A122,IF(A122='Données projet'!$A$140,'Données projet'!$B$140,CT121+CS122-DB121)))</f>
        <v>282.75641025641033</v>
      </c>
      <c r="CU122" s="18">
        <f>CT122*VLOOKUP('Données projet'!$B$13,Paramètres!$A$1:$I$89,3,0)*VLOOKUP('Données projet'!$B$13,Paramètres!$A$1:$I$89,5,0)</f>
        <v>269.07100000000008</v>
      </c>
      <c r="CV122" s="14">
        <f t="shared" si="95"/>
        <v>64.652072509850228</v>
      </c>
      <c r="CW122" s="22">
        <f t="shared" si="67"/>
        <v>581.2343512879894</v>
      </c>
      <c r="CX122" s="62">
        <f t="shared" si="68"/>
        <v>863.14434258591859</v>
      </c>
      <c r="CY122" s="62">
        <f ca="1">AVERAGE(OFFSET($CX$3,0,0,'Données projet'!$E$13+1,1))-AVERAGE(OFFSET($H$3,0,0,'Données projet'!$E$13+1,1))</f>
        <v>441.15969139782891</v>
      </c>
      <c r="CZ122" s="62">
        <f t="shared" si="96"/>
        <v>315.06466790224783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4.4337866711430253E-14</v>
      </c>
      <c r="DQ122" s="14">
        <f t="shared" si="97"/>
        <v>7.3222115536967035E-13</v>
      </c>
      <c r="DR122" s="22">
        <f t="shared" si="70"/>
        <v>1.3525069634579169E-12</v>
      </c>
      <c r="DS122" s="62">
        <f t="shared" si="71"/>
        <v>281.9099912979305</v>
      </c>
      <c r="DT122" s="62">
        <f ca="1">AVERAGE(OFFSET($DS$3,0,0,'Données projet'!$E$14+1,1))-AVERAGE(OFFSET($H$3,0,0,'Données projet'!$E$14+1,1))</f>
        <v>309.21625451786218</v>
      </c>
      <c r="DU122" s="62">
        <f t="shared" si="98"/>
        <v>302.59481222418219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-1.1368683772161603E-13</v>
      </c>
      <c r="EK122" s="18">
        <f>EJ122*VLOOKUP('Données projet'!$B$15,Paramètres!$A$1:$I$89,3,0)*VLOOKUP('Données projet'!$B$15,Paramètres!$A$1:$I$89,5,0)</f>
        <v>-9.9316821433603781E-14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298.56812743477741</v>
      </c>
      <c r="EP122" s="62">
        <f t="shared" si="100"/>
        <v>276.01618888357268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396.0878652679051</v>
      </c>
      <c r="FK122" s="62">
        <f t="shared" si="102"/>
        <v>327.26339199235406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9">
        <f t="shared" si="56"/>
        <v>183.33333333333334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-9.7543306765146564E-14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478.11504516179713</v>
      </c>
      <c r="T123" s="62">
        <f t="shared" si="88"/>
        <v>249.93713224442419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-4.5224624045658861E-14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394.49874384716014</v>
      </c>
      <c r="AO123" s="62">
        <f t="shared" si="90"/>
        <v>423.72519584013378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-4.5224624045658861E-14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394.49874384716014</v>
      </c>
      <c r="BJ123" s="62">
        <f t="shared" si="92"/>
        <v>423.72519584013378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293.06159999999949</v>
      </c>
      <c r="CA123" s="14">
        <f t="shared" si="93"/>
        <v>69.719933365116432</v>
      </c>
      <c r="CB123" s="22">
        <f t="shared" si="64"/>
        <v>631.84450394424357</v>
      </c>
      <c r="CC123" s="62">
        <f t="shared" si="65"/>
        <v>913.95266468772024</v>
      </c>
      <c r="CD123" s="62">
        <f ca="1">AVERAGE(OFFSET($CC$3,0,0,'Données projet'!$E$12+1,1))-AVERAGE(OFFSET($H$3,0,0,'Données projet'!$E$12+1,1))</f>
        <v>496.33873798282525</v>
      </c>
      <c r="CE123" s="62">
        <f t="shared" si="94"/>
        <v>280.25465074992246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285.89743589743591</v>
      </c>
      <c r="CR123" s="13">
        <f>VLOOKUP(A123,'Données projet'!$A$139:$I$159,9,0)</f>
        <v>3.141025641025641</v>
      </c>
      <c r="CS123" s="13">
        <f t="array" ref="CS123">INDEX(CR:CR,MIN(IF(ISNUMBER(CR123:CR319),ROW(CR123:CR319),"")))</f>
        <v>3.141025641025641</v>
      </c>
      <c r="CT123" s="13">
        <f>IF('Données projet'!$A$140&gt;35,CT122+CS123-DB122,IF(A123&lt;'Données projet'!$A$140,$CQ$205^A123,IF(A123='Données projet'!$A$140,'Données projet'!$B$140,CT122+CS123-DB122)))</f>
        <v>285.89743589743597</v>
      </c>
      <c r="CU123" s="18">
        <f>CT123*VLOOKUP('Données projet'!$B$13,Paramètres!$A$1:$I$89,3,0)*VLOOKUP('Données projet'!$B$13,Paramètres!$A$1:$I$89,5,0)</f>
        <v>272.06000000000006</v>
      </c>
      <c r="CV123" s="14">
        <f t="shared" si="95"/>
        <v>65.286259698592175</v>
      </c>
      <c r="CW123" s="22">
        <f t="shared" si="67"/>
        <v>587.54473564171474</v>
      </c>
      <c r="CX123" s="62">
        <f t="shared" si="68"/>
        <v>869.6528963851913</v>
      </c>
      <c r="CY123" s="62">
        <f ca="1">AVERAGE(OFFSET($CX$3,0,0,'Données projet'!$E$13+1,1))-AVERAGE(OFFSET($H$3,0,0,'Données projet'!$E$13+1,1))</f>
        <v>441.15969139782891</v>
      </c>
      <c r="CZ123" s="62">
        <f t="shared" si="96"/>
        <v>315.06466790224783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285.89743589743591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4.4337866711430253E-14</v>
      </c>
      <c r="DQ123" s="14">
        <f t="shared" si="97"/>
        <v>7.3222115536967035E-13</v>
      </c>
      <c r="DR123" s="22">
        <f t="shared" si="70"/>
        <v>1.3525069634579169E-12</v>
      </c>
      <c r="DS123" s="62">
        <f t="shared" si="71"/>
        <v>282.10816074347798</v>
      </c>
      <c r="DT123" s="62">
        <f ca="1">AVERAGE(OFFSET($DS$3,0,0,'Données projet'!$E$14+1,1))-AVERAGE(OFFSET($H$3,0,0,'Données projet'!$E$14+1,1))</f>
        <v>309.21625451786218</v>
      </c>
      <c r="DU123" s="62">
        <f t="shared" si="98"/>
        <v>302.59481222418219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-1.1368683772161603E-13</v>
      </c>
      <c r="EK123" s="18">
        <f>EJ123*VLOOKUP('Données projet'!$B$15,Paramètres!$A$1:$I$89,3,0)*VLOOKUP('Données projet'!$B$15,Paramètres!$A$1:$I$89,5,0)</f>
        <v>-9.9316821433603781E-14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298.56812743477741</v>
      </c>
      <c r="EP123" s="62">
        <f t="shared" si="100"/>
        <v>276.01618888357268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396.0878652679051</v>
      </c>
      <c r="FK123" s="62">
        <f t="shared" si="102"/>
        <v>327.26339199235406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9">
        <f t="shared" si="56"/>
        <v>183.33333333333334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-9.7543306765146564E-14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478.11504516179713</v>
      </c>
      <c r="T124" s="62">
        <f t="shared" si="88"/>
        <v>249.93713224442419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-4.5224624045658861E-14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394.49874384716014</v>
      </c>
      <c r="AO124" s="62">
        <f t="shared" si="90"/>
        <v>423.72519584013378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-4.5224624045658861E-14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394.49874384716014</v>
      </c>
      <c r="BJ124" s="62">
        <f t="shared" si="92"/>
        <v>423.72519584013378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262.30463999999949</v>
      </c>
      <c r="CA124" s="14">
        <f t="shared" si="93"/>
        <v>63.213381472055985</v>
      </c>
      <c r="CB124" s="22">
        <f t="shared" si="64"/>
        <v>566.94388739716328</v>
      </c>
      <c r="CC124" s="62">
        <f t="shared" si="65"/>
        <v>849.24677978934767</v>
      </c>
      <c r="CD124" s="62">
        <f ca="1">AVERAGE(OFFSET($CC$3,0,0,'Données projet'!$E$12+1,1))-AVERAGE(OFFSET($H$3,0,0,'Données projet'!$E$12+1,1))</f>
        <v>496.33873798282525</v>
      </c>
      <c r="CE124" s="62">
        <f t="shared" si="94"/>
        <v>280.25465074992246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5.4092197387944907E-14</v>
      </c>
      <c r="CV124" s="14">
        <f t="shared" si="95"/>
        <v>8.7287050538073676E-13</v>
      </c>
      <c r="CW124" s="22">
        <f t="shared" si="67"/>
        <v>1.6144600406554537E-12</v>
      </c>
      <c r="CX124" s="62">
        <f t="shared" si="68"/>
        <v>282.30289239218598</v>
      </c>
      <c r="CY124" s="62">
        <f ca="1">AVERAGE(OFFSET($CX$3,0,0,'Données projet'!$E$13+1,1))-AVERAGE(OFFSET($H$3,0,0,'Données projet'!$E$13+1,1))</f>
        <v>441.15969139782891</v>
      </c>
      <c r="CZ124" s="62">
        <f t="shared" si="96"/>
        <v>315.06466790224783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4.4337866711430253E-14</v>
      </c>
      <c r="DQ124" s="14">
        <f t="shared" si="97"/>
        <v>7.3222115536967035E-13</v>
      </c>
      <c r="DR124" s="22">
        <f t="shared" si="70"/>
        <v>1.3525069634579169E-12</v>
      </c>
      <c r="DS124" s="62">
        <f t="shared" si="71"/>
        <v>282.30289239218575</v>
      </c>
      <c r="DT124" s="62">
        <f ca="1">AVERAGE(OFFSET($DS$3,0,0,'Données projet'!$E$14+1,1))-AVERAGE(OFFSET($H$3,0,0,'Données projet'!$E$14+1,1))</f>
        <v>309.21625451786218</v>
      </c>
      <c r="DU124" s="62">
        <f t="shared" si="98"/>
        <v>302.59481222418219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-1.1368683772161603E-13</v>
      </c>
      <c r="EK124" s="18">
        <f>EJ124*VLOOKUP('Données projet'!$B$15,Paramètres!$A$1:$I$89,3,0)*VLOOKUP('Données projet'!$B$15,Paramètres!$A$1:$I$89,5,0)</f>
        <v>-9.9316821433603781E-14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298.56812743477741</v>
      </c>
      <c r="EP124" s="62">
        <f t="shared" si="100"/>
        <v>276.01618888357268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396.0878652679051</v>
      </c>
      <c r="FK124" s="62">
        <f t="shared" si="102"/>
        <v>327.26339199235406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9">
        <f t="shared" si="56"/>
        <v>183.33333333333334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-9.7543306765146564E-14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478.11504516179713</v>
      </c>
      <c r="T125" s="62">
        <f t="shared" si="88"/>
        <v>249.93713224442419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-4.5224624045658861E-14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394.49874384716014</v>
      </c>
      <c r="AO125" s="62">
        <f t="shared" si="90"/>
        <v>423.72519584013378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-4.5224624045658861E-14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394.49874384716014</v>
      </c>
      <c r="BJ125" s="62">
        <f t="shared" si="92"/>
        <v>423.72519584013378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265.39967999999948</v>
      </c>
      <c r="CA125" s="14">
        <f t="shared" si="93"/>
        <v>63.87199095821434</v>
      </c>
      <c r="CB125" s="22">
        <f t="shared" si="64"/>
        <v>573.48149358555565</v>
      </c>
      <c r="CC125" s="62">
        <f t="shared" si="65"/>
        <v>855.97573946769739</v>
      </c>
      <c r="CD125" s="62">
        <f ca="1">AVERAGE(OFFSET($CC$3,0,0,'Données projet'!$E$12+1,1))-AVERAGE(OFFSET($H$3,0,0,'Données projet'!$E$12+1,1))</f>
        <v>496.33873798282525</v>
      </c>
      <c r="CE125" s="62">
        <f t="shared" si="94"/>
        <v>280.25465074992246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5.4092197387944907E-14</v>
      </c>
      <c r="CV125" s="14">
        <f t="shared" si="95"/>
        <v>8.7287050538073676E-13</v>
      </c>
      <c r="CW125" s="22">
        <f t="shared" si="67"/>
        <v>1.6144600406554537E-12</v>
      </c>
      <c r="CX125" s="62">
        <f t="shared" si="68"/>
        <v>282.49424588214339</v>
      </c>
      <c r="CY125" s="62">
        <f ca="1">AVERAGE(OFFSET($CX$3,0,0,'Données projet'!$E$13+1,1))-AVERAGE(OFFSET($H$3,0,0,'Données projet'!$E$13+1,1))</f>
        <v>441.15969139782891</v>
      </c>
      <c r="CZ125" s="62">
        <f t="shared" si="96"/>
        <v>315.06466790224783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4.4337866711430253E-14</v>
      </c>
      <c r="DQ125" s="14">
        <f t="shared" si="97"/>
        <v>7.3222115536967035E-13</v>
      </c>
      <c r="DR125" s="22">
        <f t="shared" si="70"/>
        <v>1.3525069634579169E-12</v>
      </c>
      <c r="DS125" s="62">
        <f t="shared" si="71"/>
        <v>282.49424588214316</v>
      </c>
      <c r="DT125" s="62">
        <f ca="1">AVERAGE(OFFSET($DS$3,0,0,'Données projet'!$E$14+1,1))-AVERAGE(OFFSET($H$3,0,0,'Données projet'!$E$14+1,1))</f>
        <v>309.21625451786218</v>
      </c>
      <c r="DU125" s="62">
        <f t="shared" si="98"/>
        <v>302.59481222418219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-1.1368683772161603E-13</v>
      </c>
      <c r="EK125" s="18">
        <f>EJ125*VLOOKUP('Données projet'!$B$15,Paramètres!$A$1:$I$89,3,0)*VLOOKUP('Données projet'!$B$15,Paramètres!$A$1:$I$89,5,0)</f>
        <v>-9.9316821433603781E-14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298.56812743477741</v>
      </c>
      <c r="EP125" s="62">
        <f t="shared" si="100"/>
        <v>276.01618888357268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396.0878652679051</v>
      </c>
      <c r="FK125" s="62">
        <f t="shared" si="102"/>
        <v>327.26339199235406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9">
        <f t="shared" si="56"/>
        <v>183.33333333333334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-9.7543306765146564E-14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478.11504516179713</v>
      </c>
      <c r="T126" s="62">
        <f t="shared" si="88"/>
        <v>249.93713224442419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-4.5224624045658861E-14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394.49874384716014</v>
      </c>
      <c r="AO126" s="62">
        <f t="shared" si="90"/>
        <v>423.72519584013378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-4.5224624045658861E-14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394.49874384716014</v>
      </c>
      <c r="BJ126" s="62">
        <f t="shared" si="92"/>
        <v>423.72519584013378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268.49471999999946</v>
      </c>
      <c r="CA126" s="14">
        <f t="shared" si="93"/>
        <v>64.529707010294615</v>
      </c>
      <c r="CB126" s="22">
        <f t="shared" si="64"/>
        <v>580.01754370959543</v>
      </c>
      <c r="CC126" s="62">
        <f t="shared" si="65"/>
        <v>862.69982352644615</v>
      </c>
      <c r="CD126" s="62">
        <f ca="1">AVERAGE(OFFSET($CC$3,0,0,'Données projet'!$E$12+1,1))-AVERAGE(OFFSET($H$3,0,0,'Données projet'!$E$12+1,1))</f>
        <v>496.33873798282525</v>
      </c>
      <c r="CE126" s="62">
        <f t="shared" si="94"/>
        <v>280.25465074992246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5.4092197387944907E-14</v>
      </c>
      <c r="CV126" s="14">
        <f t="shared" si="95"/>
        <v>8.7287050538073676E-13</v>
      </c>
      <c r="CW126" s="22">
        <f t="shared" si="67"/>
        <v>1.6144600406554537E-12</v>
      </c>
      <c r="CX126" s="62">
        <f t="shared" si="68"/>
        <v>282.68227981685226</v>
      </c>
      <c r="CY126" s="62">
        <f ca="1">AVERAGE(OFFSET($CX$3,0,0,'Données projet'!$E$13+1,1))-AVERAGE(OFFSET($H$3,0,0,'Données projet'!$E$13+1,1))</f>
        <v>441.15969139782891</v>
      </c>
      <c r="CZ126" s="62">
        <f t="shared" si="96"/>
        <v>315.06466790224783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4.4337866711430253E-14</v>
      </c>
      <c r="DQ126" s="14">
        <f t="shared" si="97"/>
        <v>7.3222115536967035E-13</v>
      </c>
      <c r="DR126" s="22">
        <f t="shared" si="70"/>
        <v>1.3525069634579169E-12</v>
      </c>
      <c r="DS126" s="62">
        <f t="shared" si="71"/>
        <v>282.68227981685203</v>
      </c>
      <c r="DT126" s="62">
        <f ca="1">AVERAGE(OFFSET($DS$3,0,0,'Données projet'!$E$14+1,1))-AVERAGE(OFFSET($H$3,0,0,'Données projet'!$E$14+1,1))</f>
        <v>309.21625451786218</v>
      </c>
      <c r="DU126" s="62">
        <f t="shared" si="98"/>
        <v>302.59481222418219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-1.1368683772161603E-13</v>
      </c>
      <c r="EK126" s="18">
        <f>EJ126*VLOOKUP('Données projet'!$B$15,Paramètres!$A$1:$I$89,3,0)*VLOOKUP('Données projet'!$B$15,Paramètres!$A$1:$I$89,5,0)</f>
        <v>-9.9316821433603781E-14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298.56812743477741</v>
      </c>
      <c r="EP126" s="62">
        <f t="shared" si="100"/>
        <v>276.01618888357268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396.0878652679051</v>
      </c>
      <c r="FK126" s="62">
        <f t="shared" si="102"/>
        <v>327.26339199235406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9">
        <f t="shared" si="56"/>
        <v>183.33333333333334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-9.7543306765146564E-14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478.11504516179713</v>
      </c>
      <c r="T127" s="62">
        <f t="shared" si="88"/>
        <v>249.93713224442419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-4.5224624045658861E-14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394.49874384716014</v>
      </c>
      <c r="AO127" s="62">
        <f t="shared" si="90"/>
        <v>423.72519584013378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-4.5224624045658861E-14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394.49874384716014</v>
      </c>
      <c r="BJ127" s="62">
        <f t="shared" si="92"/>
        <v>423.72519584013378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271.5897599999995</v>
      </c>
      <c r="CA127" s="14">
        <f t="shared" si="93"/>
        <v>65.186541118848012</v>
      </c>
      <c r="CB127" s="22">
        <f t="shared" si="64"/>
        <v>586.55205778199274</v>
      </c>
      <c r="CC127" s="62">
        <f t="shared" si="65"/>
        <v>869.41910956516608</v>
      </c>
      <c r="CD127" s="62">
        <f ca="1">AVERAGE(OFFSET($CC$3,0,0,'Données projet'!$E$12+1,1))-AVERAGE(OFFSET($H$3,0,0,'Données projet'!$E$12+1,1))</f>
        <v>496.33873798282525</v>
      </c>
      <c r="CE127" s="62">
        <f t="shared" si="94"/>
        <v>280.25465074992246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5.4092197387944907E-14</v>
      </c>
      <c r="CV127" s="14">
        <f t="shared" si="95"/>
        <v>8.7287050538073676E-13</v>
      </c>
      <c r="CW127" s="22">
        <f t="shared" si="67"/>
        <v>1.6144600406554537E-12</v>
      </c>
      <c r="CX127" s="62">
        <f t="shared" si="68"/>
        <v>282.86705178317493</v>
      </c>
      <c r="CY127" s="62">
        <f ca="1">AVERAGE(OFFSET($CX$3,0,0,'Données projet'!$E$13+1,1))-AVERAGE(OFFSET($H$3,0,0,'Données projet'!$E$13+1,1))</f>
        <v>441.15969139782891</v>
      </c>
      <c r="CZ127" s="62">
        <f t="shared" si="96"/>
        <v>315.06466790224783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4.4337866711430253E-14</v>
      </c>
      <c r="DQ127" s="14">
        <f t="shared" si="97"/>
        <v>7.3222115536967035E-13</v>
      </c>
      <c r="DR127" s="22">
        <f t="shared" si="70"/>
        <v>1.3525069634579169E-12</v>
      </c>
      <c r="DS127" s="62">
        <f t="shared" si="71"/>
        <v>282.8670517831747</v>
      </c>
      <c r="DT127" s="62">
        <f ca="1">AVERAGE(OFFSET($DS$3,0,0,'Données projet'!$E$14+1,1))-AVERAGE(OFFSET($H$3,0,0,'Données projet'!$E$14+1,1))</f>
        <v>309.21625451786218</v>
      </c>
      <c r="DU127" s="62">
        <f t="shared" si="98"/>
        <v>302.59481222418219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-1.1368683772161603E-13</v>
      </c>
      <c r="EK127" s="18">
        <f>EJ127*VLOOKUP('Données projet'!$B$15,Paramètres!$A$1:$I$89,3,0)*VLOOKUP('Données projet'!$B$15,Paramètres!$A$1:$I$89,5,0)</f>
        <v>-9.9316821433603781E-14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298.56812743477741</v>
      </c>
      <c r="EP127" s="62">
        <f t="shared" si="100"/>
        <v>276.01618888357268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396.0878652679051</v>
      </c>
      <c r="FK127" s="62">
        <f t="shared" si="102"/>
        <v>327.26339199235406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9">
        <f t="shared" si="56"/>
        <v>183.33333333333334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-9.7543306765146564E-14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478.11504516179713</v>
      </c>
      <c r="T128" s="62">
        <f t="shared" si="88"/>
        <v>249.93713224442419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-4.5224624045658861E-14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394.49874384716014</v>
      </c>
      <c r="AO128" s="62">
        <f t="shared" si="90"/>
        <v>423.72519584013378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-4.5224624045658861E-14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394.49874384716014</v>
      </c>
      <c r="BJ128" s="62">
        <f t="shared" si="92"/>
        <v>423.72519584013378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274.68479999999943</v>
      </c>
      <c r="CA128" s="14">
        <f t="shared" si="93"/>
        <v>65.842504497456545</v>
      </c>
      <c r="CB128" s="22">
        <f t="shared" si="64"/>
        <v>593.08505533306914</v>
      </c>
      <c r="CC128" s="62">
        <f t="shared" si="65"/>
        <v>876.13367370203764</v>
      </c>
      <c r="CD128" s="62">
        <f ca="1">AVERAGE(OFFSET($CC$3,0,0,'Données projet'!$E$12+1,1))-AVERAGE(OFFSET($H$3,0,0,'Données projet'!$E$12+1,1))</f>
        <v>496.33873798282525</v>
      </c>
      <c r="CE128" s="62">
        <f t="shared" si="94"/>
        <v>280.25465074992246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5.4092197387944907E-14</v>
      </c>
      <c r="CV128" s="14">
        <f t="shared" si="95"/>
        <v>8.7287050538073676E-13</v>
      </c>
      <c r="CW128" s="22">
        <f t="shared" si="67"/>
        <v>1.6144600406554537E-12</v>
      </c>
      <c r="CX128" s="62">
        <f t="shared" si="68"/>
        <v>283.0486183689701</v>
      </c>
      <c r="CY128" s="62">
        <f ca="1">AVERAGE(OFFSET($CX$3,0,0,'Données projet'!$E$13+1,1))-AVERAGE(OFFSET($H$3,0,0,'Données projet'!$E$13+1,1))</f>
        <v>441.15969139782891</v>
      </c>
      <c r="CZ128" s="62">
        <f t="shared" si="96"/>
        <v>315.06466790224783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4.4337866711430253E-14</v>
      </c>
      <c r="DQ128" s="14">
        <f t="shared" si="97"/>
        <v>7.3222115536967035E-13</v>
      </c>
      <c r="DR128" s="22">
        <f t="shared" si="70"/>
        <v>1.3525069634579169E-12</v>
      </c>
      <c r="DS128" s="62">
        <f t="shared" si="71"/>
        <v>283.04861836896987</v>
      </c>
      <c r="DT128" s="62">
        <f ca="1">AVERAGE(OFFSET($DS$3,0,0,'Données projet'!$E$14+1,1))-AVERAGE(OFFSET($H$3,0,0,'Données projet'!$E$14+1,1))</f>
        <v>309.21625451786218</v>
      </c>
      <c r="DU128" s="62">
        <f t="shared" si="98"/>
        <v>302.59481222418219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-1.1368683772161603E-13</v>
      </c>
      <c r="EK128" s="18">
        <f>EJ128*VLOOKUP('Données projet'!$B$15,Paramètres!$A$1:$I$89,3,0)*VLOOKUP('Données projet'!$B$15,Paramètres!$A$1:$I$89,5,0)</f>
        <v>-9.9316821433603781E-14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298.56812743477741</v>
      </c>
      <c r="EP128" s="62">
        <f t="shared" si="100"/>
        <v>276.01618888357268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396.0878652679051</v>
      </c>
      <c r="FK128" s="62">
        <f t="shared" si="102"/>
        <v>327.26339199235406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9">
        <f t="shared" si="56"/>
        <v>183.33333333333334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-9.7543306765146564E-14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478.11504516179713</v>
      </c>
      <c r="T129" s="62">
        <f t="shared" si="88"/>
        <v>249.93713224442419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-4.5224624045658861E-14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394.49874384716014</v>
      </c>
      <c r="AO129" s="62">
        <f t="shared" si="90"/>
        <v>423.72519584013378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-4.5224624045658861E-14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394.49874384716014</v>
      </c>
      <c r="BJ129" s="62">
        <f t="shared" si="92"/>
        <v>423.72519584013378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277.77983999999947</v>
      </c>
      <c r="CA129" s="14">
        <f t="shared" si="93"/>
        <v>66.497608092453063</v>
      </c>
      <c r="CB129" s="22">
        <f t="shared" si="64"/>
        <v>599.61655542768813</v>
      </c>
      <c r="CC129" s="62">
        <f t="shared" si="65"/>
        <v>882.84359060811039</v>
      </c>
      <c r="CD129" s="62">
        <f ca="1">AVERAGE(OFFSET($CC$3,0,0,'Données projet'!$E$12+1,1))-AVERAGE(OFFSET($H$3,0,0,'Données projet'!$E$12+1,1))</f>
        <v>496.33873798282525</v>
      </c>
      <c r="CE129" s="62">
        <f t="shared" si="94"/>
        <v>280.25465074992246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5.4092197387944907E-14</v>
      </c>
      <c r="CV129" s="14">
        <f t="shared" si="95"/>
        <v>8.7287050538073676E-13</v>
      </c>
      <c r="CW129" s="22">
        <f t="shared" si="67"/>
        <v>1.6144600406554537E-12</v>
      </c>
      <c r="CX129" s="62">
        <f t="shared" si="68"/>
        <v>283.2270351804238</v>
      </c>
      <c r="CY129" s="62">
        <f ca="1">AVERAGE(OFFSET($CX$3,0,0,'Données projet'!$E$13+1,1))-AVERAGE(OFFSET($H$3,0,0,'Données projet'!$E$13+1,1))</f>
        <v>441.15969139782891</v>
      </c>
      <c r="CZ129" s="62">
        <f t="shared" si="96"/>
        <v>315.06466790224783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4.4337866711430253E-14</v>
      </c>
      <c r="DQ129" s="14">
        <f t="shared" si="97"/>
        <v>7.3222115536967035E-13</v>
      </c>
      <c r="DR129" s="22">
        <f t="shared" si="70"/>
        <v>1.3525069634579169E-12</v>
      </c>
      <c r="DS129" s="62">
        <f t="shared" si="71"/>
        <v>283.22703518042357</v>
      </c>
      <c r="DT129" s="62">
        <f ca="1">AVERAGE(OFFSET($DS$3,0,0,'Données projet'!$E$14+1,1))-AVERAGE(OFFSET($H$3,0,0,'Données projet'!$E$14+1,1))</f>
        <v>309.21625451786218</v>
      </c>
      <c r="DU129" s="62">
        <f t="shared" si="98"/>
        <v>302.59481222418219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-1.1368683772161603E-13</v>
      </c>
      <c r="EK129" s="18">
        <f>EJ129*VLOOKUP('Données projet'!$B$15,Paramètres!$A$1:$I$89,3,0)*VLOOKUP('Données projet'!$B$15,Paramètres!$A$1:$I$89,5,0)</f>
        <v>-9.9316821433603781E-14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298.56812743477741</v>
      </c>
      <c r="EP129" s="62">
        <f t="shared" si="100"/>
        <v>276.01618888357268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396.0878652679051</v>
      </c>
      <c r="FK129" s="62">
        <f t="shared" si="102"/>
        <v>327.26339199235406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9">
        <f t="shared" si="56"/>
        <v>183.33333333333334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-9.7543306765146564E-14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478.11504516179713</v>
      </c>
      <c r="T130" s="62">
        <f t="shared" si="88"/>
        <v>249.93713224442419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-4.5224624045658861E-14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394.49874384716014</v>
      </c>
      <c r="AO130" s="62">
        <f t="shared" si="90"/>
        <v>423.72519584013378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-4.5224624045658861E-14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394.49874384716014</v>
      </c>
      <c r="BJ130" s="62">
        <f t="shared" si="92"/>
        <v>423.72519584013378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280.87487999999945</v>
      </c>
      <c r="CA130" s="14">
        <f t="shared" si="93"/>
        <v>67.151862592195727</v>
      </c>
      <c r="CB130" s="22">
        <f t="shared" si="64"/>
        <v>606.1465766814066</v>
      </c>
      <c r="CC130" s="62">
        <f t="shared" si="65"/>
        <v>889.54893354048409</v>
      </c>
      <c r="CD130" s="62">
        <f ca="1">AVERAGE(OFFSET($CC$3,0,0,'Données projet'!$E$12+1,1))-AVERAGE(OFFSET($H$3,0,0,'Données projet'!$E$12+1,1))</f>
        <v>496.33873798282525</v>
      </c>
      <c r="CE130" s="62">
        <f t="shared" si="94"/>
        <v>280.25465074992246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5.4092197387944907E-14</v>
      </c>
      <c r="CV130" s="14">
        <f t="shared" si="95"/>
        <v>8.7287050538073676E-13</v>
      </c>
      <c r="CW130" s="22">
        <f t="shared" si="67"/>
        <v>1.6144600406554537E-12</v>
      </c>
      <c r="CX130" s="62">
        <f t="shared" si="68"/>
        <v>283.40235685907902</v>
      </c>
      <c r="CY130" s="62">
        <f ca="1">AVERAGE(OFFSET($CX$3,0,0,'Données projet'!$E$13+1,1))-AVERAGE(OFFSET($H$3,0,0,'Données projet'!$E$13+1,1))</f>
        <v>441.15969139782891</v>
      </c>
      <c r="CZ130" s="62">
        <f t="shared" si="96"/>
        <v>315.06466790224783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4.4337866711430253E-14</v>
      </c>
      <c r="DQ130" s="14">
        <f t="shared" si="97"/>
        <v>7.3222115536967035E-13</v>
      </c>
      <c r="DR130" s="22">
        <f t="shared" si="70"/>
        <v>1.3525069634579169E-12</v>
      </c>
      <c r="DS130" s="62">
        <f t="shared" si="71"/>
        <v>283.40235685907879</v>
      </c>
      <c r="DT130" s="62">
        <f ca="1">AVERAGE(OFFSET($DS$3,0,0,'Données projet'!$E$14+1,1))-AVERAGE(OFFSET($H$3,0,0,'Données projet'!$E$14+1,1))</f>
        <v>309.21625451786218</v>
      </c>
      <c r="DU130" s="62">
        <f t="shared" si="98"/>
        <v>302.59481222418219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-1.1368683772161603E-13</v>
      </c>
      <c r="EK130" s="18">
        <f>EJ130*VLOOKUP('Données projet'!$B$15,Paramètres!$A$1:$I$89,3,0)*VLOOKUP('Données projet'!$B$15,Paramètres!$A$1:$I$89,5,0)</f>
        <v>-9.9316821433603781E-14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298.56812743477741</v>
      </c>
      <c r="EP130" s="62">
        <f t="shared" si="100"/>
        <v>276.01618888357268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396.0878652679051</v>
      </c>
      <c r="FK130" s="62">
        <f t="shared" si="102"/>
        <v>327.26339199235406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9">
        <f t="shared" si="56"/>
        <v>183.33333333333334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-9.7543306765146564E-14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478.11504516179713</v>
      </c>
      <c r="T131" s="62">
        <f t="shared" si="88"/>
        <v>249.93713224442419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-4.5224624045658861E-14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394.49874384716014</v>
      </c>
      <c r="AO131" s="62">
        <f t="shared" si="90"/>
        <v>423.72519584013378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-4.5224624045658861E-14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394.49874384716014</v>
      </c>
      <c r="BJ131" s="62">
        <f t="shared" si="92"/>
        <v>423.72519584013378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283.96991999999943</v>
      </c>
      <c r="CA131" s="14">
        <f t="shared" si="93"/>
        <v>67.805278435922148</v>
      </c>
      <c r="CB131" s="22">
        <f t="shared" si="64"/>
        <v>612.67513727589676</v>
      </c>
      <c r="CC131" s="62">
        <f t="shared" si="65"/>
        <v>896.24977437446523</v>
      </c>
      <c r="CD131" s="62">
        <f ca="1">AVERAGE(OFFSET($CC$3,0,0,'Données projet'!$E$12+1,1))-AVERAGE(OFFSET($H$3,0,0,'Données projet'!$E$12+1,1))</f>
        <v>496.33873798282525</v>
      </c>
      <c r="CE131" s="62">
        <f t="shared" si="94"/>
        <v>280.25465074992246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5.4092197387944907E-14</v>
      </c>
      <c r="CV131" s="14">
        <f t="shared" si="95"/>
        <v>8.7287050538073676E-13</v>
      </c>
      <c r="CW131" s="22">
        <f t="shared" si="67"/>
        <v>1.6144600406554537E-12</v>
      </c>
      <c r="CX131" s="62">
        <f t="shared" si="68"/>
        <v>283.57463709857012</v>
      </c>
      <c r="CY131" s="62">
        <f ca="1">AVERAGE(OFFSET($CX$3,0,0,'Données projet'!$E$13+1,1))-AVERAGE(OFFSET($H$3,0,0,'Données projet'!$E$13+1,1))</f>
        <v>441.15969139782891</v>
      </c>
      <c r="CZ131" s="62">
        <f t="shared" si="96"/>
        <v>315.06466790224783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4.4337866711430253E-14</v>
      </c>
      <c r="DQ131" s="14">
        <f t="shared" si="97"/>
        <v>7.3222115536967035E-13</v>
      </c>
      <c r="DR131" s="22">
        <f t="shared" si="70"/>
        <v>1.3525069634579169E-12</v>
      </c>
      <c r="DS131" s="62">
        <f t="shared" si="71"/>
        <v>283.57463709856989</v>
      </c>
      <c r="DT131" s="62">
        <f ca="1">AVERAGE(OFFSET($DS$3,0,0,'Données projet'!$E$14+1,1))-AVERAGE(OFFSET($H$3,0,0,'Données projet'!$E$14+1,1))</f>
        <v>309.21625451786218</v>
      </c>
      <c r="DU131" s="62">
        <f t="shared" si="98"/>
        <v>302.59481222418219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-1.1368683772161603E-13</v>
      </c>
      <c r="EK131" s="18">
        <f>EJ131*VLOOKUP('Données projet'!$B$15,Paramètres!$A$1:$I$89,3,0)*VLOOKUP('Données projet'!$B$15,Paramètres!$A$1:$I$89,5,0)</f>
        <v>-9.9316821433603781E-14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298.56812743477741</v>
      </c>
      <c r="EP131" s="62">
        <f t="shared" si="100"/>
        <v>276.01618888357268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396.0878652679051</v>
      </c>
      <c r="FK131" s="62">
        <f t="shared" si="102"/>
        <v>327.26339199235406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9">
        <f t="shared" ref="H132:H195" si="110">(B132+E132+F132)*44/12+(C132+D132)*0.475*44/12</f>
        <v>183.33333333333334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-9.7543306765146564E-14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478.11504516179713</v>
      </c>
      <c r="T132" s="62">
        <f t="shared" si="88"/>
        <v>249.93713224442419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-4.5224624045658861E-14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394.49874384716014</v>
      </c>
      <c r="AO132" s="62">
        <f t="shared" si="90"/>
        <v>423.72519584013378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-4.5224624045658861E-14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394.49874384716014</v>
      </c>
      <c r="BJ132" s="62">
        <f t="shared" si="92"/>
        <v>423.72519584013378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287.06495999999942</v>
      </c>
      <c r="CA132" s="14">
        <f t="shared" si="93"/>
        <v>68.457865822206202</v>
      </c>
      <c r="CB132" s="22">
        <f t="shared" ref="CB132:CB153" si="118">(BZ132+CA132)*0.475*44/12</f>
        <v>619.20225497367471</v>
      </c>
      <c r="CC132" s="62">
        <f t="shared" ref="CC132:CC195" si="119">CB132+(BT132+BU132)*44/12</f>
        <v>902.94618363474001</v>
      </c>
      <c r="CD132" s="62">
        <f ca="1">AVERAGE(OFFSET($CC$3,0,0,'Données projet'!$E$12+1,1))-AVERAGE(OFFSET($H$3,0,0,'Données projet'!$E$12+1,1))</f>
        <v>496.33873798282525</v>
      </c>
      <c r="CE132" s="62">
        <f t="shared" si="94"/>
        <v>280.25465074992246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5.4092197387944907E-14</v>
      </c>
      <c r="CV132" s="14">
        <f t="shared" si="95"/>
        <v>8.7287050538073676E-13</v>
      </c>
      <c r="CW132" s="22">
        <f t="shared" ref="CW132:CW153" si="121">(CU132+CV132)*0.475*44/12</f>
        <v>1.6144600406554537E-12</v>
      </c>
      <c r="CX132" s="62">
        <f t="shared" ref="CX132:CX195" si="122">CW132+(CO132+CP132)*44/12</f>
        <v>283.74392866106695</v>
      </c>
      <c r="CY132" s="62">
        <f ca="1">AVERAGE(OFFSET($CX$3,0,0,'Données projet'!$E$13+1,1))-AVERAGE(OFFSET($H$3,0,0,'Données projet'!$E$13+1,1))</f>
        <v>441.15969139782891</v>
      </c>
      <c r="CZ132" s="62">
        <f t="shared" si="96"/>
        <v>315.06466790224783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4.4337866711430253E-14</v>
      </c>
      <c r="DQ132" s="14">
        <f t="shared" si="97"/>
        <v>7.3222115536967035E-13</v>
      </c>
      <c r="DR132" s="22">
        <f t="shared" ref="DR132:DR153" si="124">(DP132+DQ132)*0.475*44/12</f>
        <v>1.3525069634579169E-12</v>
      </c>
      <c r="DS132" s="62">
        <f t="shared" ref="DS132:DS195" si="125">DR132+(DJ132+DK132)*44/12</f>
        <v>283.74392866106672</v>
      </c>
      <c r="DT132" s="62">
        <f ca="1">AVERAGE(OFFSET($DS$3,0,0,'Données projet'!$E$14+1,1))-AVERAGE(OFFSET($H$3,0,0,'Données projet'!$E$14+1,1))</f>
        <v>309.21625451786218</v>
      </c>
      <c r="DU132" s="62">
        <f t="shared" si="98"/>
        <v>302.59481222418219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-1.1368683772161603E-13</v>
      </c>
      <c r="EK132" s="18">
        <f>EJ132*VLOOKUP('Données projet'!$B$15,Paramètres!$A$1:$I$89,3,0)*VLOOKUP('Données projet'!$B$15,Paramètres!$A$1:$I$89,5,0)</f>
        <v>-9.9316821433603781E-14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298.56812743477741</v>
      </c>
      <c r="EP132" s="62">
        <f t="shared" si="100"/>
        <v>276.01618888357268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396.0878652679051</v>
      </c>
      <c r="FK132" s="62">
        <f t="shared" si="102"/>
        <v>327.26339199235406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9">
        <f t="shared" si="110"/>
        <v>183.33333333333334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-9.7543306765146564E-14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478.11504516179713</v>
      </c>
      <c r="T133" s="62">
        <f t="shared" ref="T133:T196" si="142">$T$3</f>
        <v>249.93713224442419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-4.5224624045658861E-14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394.49874384716014</v>
      </c>
      <c r="AO133" s="62">
        <f t="shared" ref="AO133:AO196" si="144">$AO$3</f>
        <v>423.72519584013378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-4.5224624045658861E-14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394.49874384716014</v>
      </c>
      <c r="BJ133" s="62">
        <f t="shared" ref="BJ133:BJ196" si="146">$BJ$3</f>
        <v>423.72519584013378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290.1599999999994</v>
      </c>
      <c r="CA133" s="14">
        <f t="shared" ref="CA133:CA153" si="147">EXP(-1.0587+0.8836*LN(BZ133)+0.284)</f>
        <v>69.10963471703981</v>
      </c>
      <c r="CB133" s="22">
        <f t="shared" si="118"/>
        <v>625.72794713217661</v>
      </c>
      <c r="CC133" s="62">
        <f t="shared" si="119"/>
        <v>909.63823052560872</v>
      </c>
      <c r="CD133" s="62">
        <f ca="1">AVERAGE(OFFSET($CC$3,0,0,'Données projet'!$E$12+1,1))-AVERAGE(OFFSET($H$3,0,0,'Données projet'!$E$12+1,1))</f>
        <v>496.33873798282525</v>
      </c>
      <c r="CE133" s="62">
        <f t="shared" ref="CE133:CE196" si="148">$CE$3</f>
        <v>280.25465074992246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5.4092197387944907E-14</v>
      </c>
      <c r="CV133" s="14">
        <f t="shared" ref="CV133:CV153" si="149">EXP(-1.0587+0.8836*LN(CU133)+0.284)</f>
        <v>8.7287050538073676E-13</v>
      </c>
      <c r="CW133" s="22">
        <f t="shared" si="121"/>
        <v>1.6144600406554537E-12</v>
      </c>
      <c r="CX133" s="62">
        <f t="shared" si="122"/>
        <v>283.9102833934337</v>
      </c>
      <c r="CY133" s="62">
        <f ca="1">AVERAGE(OFFSET($CX$3,0,0,'Données projet'!$E$13+1,1))-AVERAGE(OFFSET($H$3,0,0,'Données projet'!$E$13+1,1))</f>
        <v>441.15969139782891</v>
      </c>
      <c r="CZ133" s="62">
        <f t="shared" ref="CZ133:CZ196" si="150">$CZ$3</f>
        <v>315.06466790224783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4.4337866711430253E-14</v>
      </c>
      <c r="DQ133" s="14">
        <f t="shared" ref="DQ133:DQ153" si="151">EXP(-1.0587+0.8836*LN(DP133)+0.284)</f>
        <v>7.3222115536967035E-13</v>
      </c>
      <c r="DR133" s="22">
        <f t="shared" si="124"/>
        <v>1.3525069634579169E-12</v>
      </c>
      <c r="DS133" s="62">
        <f t="shared" si="125"/>
        <v>283.91028339343347</v>
      </c>
      <c r="DT133" s="62">
        <f ca="1">AVERAGE(OFFSET($DS$3,0,0,'Données projet'!$E$14+1,1))-AVERAGE(OFFSET($H$3,0,0,'Données projet'!$E$14+1,1))</f>
        <v>309.21625451786218</v>
      </c>
      <c r="DU133" s="62">
        <f t="shared" ref="DU133:DU196" si="152">$DU$3</f>
        <v>302.59481222418219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-1.1368683772161603E-13</v>
      </c>
      <c r="EK133" s="18">
        <f>EJ133*VLOOKUP('Données projet'!$B$15,Paramètres!$A$1:$I$89,3,0)*VLOOKUP('Données projet'!$B$15,Paramètres!$A$1:$I$89,5,0)</f>
        <v>-9.9316821433603781E-14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298.56812743477741</v>
      </c>
      <c r="EP133" s="62">
        <f t="shared" ref="EP133:EP196" si="154">$EP$3</f>
        <v>276.01618888357268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396.0878652679051</v>
      </c>
      <c r="FK133" s="62">
        <f t="shared" ref="FK133:FK196" si="156">$FK$3</f>
        <v>327.26339199235406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9">
        <f t="shared" si="110"/>
        <v>183.33333333333334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-9.7543306765146564E-14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478.11504516179713</v>
      </c>
      <c r="T134" s="62">
        <f t="shared" si="142"/>
        <v>249.93713224442419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-4.5224624045658861E-14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394.49874384716014</v>
      </c>
      <c r="AO134" s="62">
        <f t="shared" si="144"/>
        <v>423.72519584013378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-4.5224624045658861E-14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394.49874384716014</v>
      </c>
      <c r="BJ134" s="62">
        <f t="shared" si="146"/>
        <v>423.72519584013378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262.7882399999994</v>
      </c>
      <c r="CA134" s="14">
        <f t="shared" si="147"/>
        <v>63.316348571334714</v>
      </c>
      <c r="CB134" s="22">
        <f t="shared" si="118"/>
        <v>567.96549176174028</v>
      </c>
      <c r="CC134" s="62">
        <f t="shared" si="119"/>
        <v>852.03924400484607</v>
      </c>
      <c r="CD134" s="62">
        <f ca="1">AVERAGE(OFFSET($CC$3,0,0,'Données projet'!$E$12+1,1))-AVERAGE(OFFSET($H$3,0,0,'Données projet'!$E$12+1,1))</f>
        <v>496.33873798282525</v>
      </c>
      <c r="CE134" s="62">
        <f t="shared" si="148"/>
        <v>280.25465074992246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5.4092197387944907E-14</v>
      </c>
      <c r="CV134" s="14">
        <f t="shared" si="149"/>
        <v>8.7287050538073676E-13</v>
      </c>
      <c r="CW134" s="22">
        <f t="shared" si="121"/>
        <v>1.6144600406554537E-12</v>
      </c>
      <c r="CX134" s="62">
        <f t="shared" si="122"/>
        <v>284.07375224310732</v>
      </c>
      <c r="CY134" s="62">
        <f ca="1">AVERAGE(OFFSET($CX$3,0,0,'Données projet'!$E$13+1,1))-AVERAGE(OFFSET($H$3,0,0,'Données projet'!$E$13+1,1))</f>
        <v>441.15969139782891</v>
      </c>
      <c r="CZ134" s="62">
        <f t="shared" si="150"/>
        <v>315.06466790224783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4.4337866711430253E-14</v>
      </c>
      <c r="DQ134" s="14">
        <f t="shared" si="151"/>
        <v>7.3222115536967035E-13</v>
      </c>
      <c r="DR134" s="22">
        <f t="shared" si="124"/>
        <v>1.3525069634579169E-12</v>
      </c>
      <c r="DS134" s="62">
        <f t="shared" si="125"/>
        <v>284.07375224310709</v>
      </c>
      <c r="DT134" s="62">
        <f ca="1">AVERAGE(OFFSET($DS$3,0,0,'Données projet'!$E$14+1,1))-AVERAGE(OFFSET($H$3,0,0,'Données projet'!$E$14+1,1))</f>
        <v>309.21625451786218</v>
      </c>
      <c r="DU134" s="62">
        <f t="shared" si="152"/>
        <v>302.59481222418219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-1.1368683772161603E-13</v>
      </c>
      <c r="EK134" s="18">
        <f>EJ134*VLOOKUP('Données projet'!$B$15,Paramètres!$A$1:$I$89,3,0)*VLOOKUP('Données projet'!$B$15,Paramètres!$A$1:$I$89,5,0)</f>
        <v>-9.9316821433603781E-14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298.56812743477741</v>
      </c>
      <c r="EP134" s="62">
        <f t="shared" si="154"/>
        <v>276.01618888357268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396.0878652679051</v>
      </c>
      <c r="FK134" s="62">
        <f t="shared" si="156"/>
        <v>327.26339199235406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9">
        <f t="shared" si="110"/>
        <v>183.33333333333334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-9.7543306765146564E-14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478.11504516179713</v>
      </c>
      <c r="T135" s="62">
        <f t="shared" si="142"/>
        <v>249.93713224442419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-4.5224624045658861E-14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394.49874384716014</v>
      </c>
      <c r="AO135" s="62">
        <f t="shared" si="144"/>
        <v>423.72519584013378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-4.5224624045658861E-14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394.49874384716014</v>
      </c>
      <c r="BJ135" s="62">
        <f t="shared" si="146"/>
        <v>423.72519584013378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265.39967999999936</v>
      </c>
      <c r="CA135" s="14">
        <f t="shared" si="147"/>
        <v>63.87199095821434</v>
      </c>
      <c r="CB135" s="22">
        <f t="shared" si="118"/>
        <v>573.48149358555554</v>
      </c>
      <c r="CC135" s="62">
        <f t="shared" si="119"/>
        <v>857.71587885925464</v>
      </c>
      <c r="CD135" s="62">
        <f ca="1">AVERAGE(OFFSET($CC$3,0,0,'Données projet'!$E$12+1,1))-AVERAGE(OFFSET($H$3,0,0,'Données projet'!$E$12+1,1))</f>
        <v>496.33873798282525</v>
      </c>
      <c r="CE135" s="62">
        <f t="shared" si="148"/>
        <v>280.25465074992246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5.4092197387944907E-14</v>
      </c>
      <c r="CV135" s="14">
        <f t="shared" si="149"/>
        <v>8.7287050538073676E-13</v>
      </c>
      <c r="CW135" s="22">
        <f t="shared" si="121"/>
        <v>1.6144600406554537E-12</v>
      </c>
      <c r="CX135" s="62">
        <f t="shared" si="122"/>
        <v>284.23438527370075</v>
      </c>
      <c r="CY135" s="62">
        <f ca="1">AVERAGE(OFFSET($CX$3,0,0,'Données projet'!$E$13+1,1))-AVERAGE(OFFSET($H$3,0,0,'Données projet'!$E$13+1,1))</f>
        <v>441.15969139782891</v>
      </c>
      <c r="CZ135" s="62">
        <f t="shared" si="150"/>
        <v>315.06466790224783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4.4337866711430253E-14</v>
      </c>
      <c r="DQ135" s="14">
        <f t="shared" si="151"/>
        <v>7.3222115536967035E-13</v>
      </c>
      <c r="DR135" s="22">
        <f t="shared" si="124"/>
        <v>1.3525069634579169E-12</v>
      </c>
      <c r="DS135" s="62">
        <f t="shared" si="125"/>
        <v>284.23438527370052</v>
      </c>
      <c r="DT135" s="62">
        <f ca="1">AVERAGE(OFFSET($DS$3,0,0,'Données projet'!$E$14+1,1))-AVERAGE(OFFSET($H$3,0,0,'Données projet'!$E$14+1,1))</f>
        <v>309.21625451786218</v>
      </c>
      <c r="DU135" s="62">
        <f t="shared" si="152"/>
        <v>302.59481222418219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-1.1368683772161603E-13</v>
      </c>
      <c r="EK135" s="18">
        <f>EJ135*VLOOKUP('Données projet'!$B$15,Paramètres!$A$1:$I$89,3,0)*VLOOKUP('Données projet'!$B$15,Paramètres!$A$1:$I$89,5,0)</f>
        <v>-9.9316821433603781E-14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298.56812743477741</v>
      </c>
      <c r="EP135" s="62">
        <f t="shared" si="154"/>
        <v>276.01618888357268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396.0878652679051</v>
      </c>
      <c r="FK135" s="62">
        <f t="shared" si="156"/>
        <v>327.26339199235406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9">
        <f t="shared" si="110"/>
        <v>183.33333333333334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-9.7543306765146564E-14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478.11504516179713</v>
      </c>
      <c r="T136" s="62">
        <f t="shared" si="142"/>
        <v>249.93713224442419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-4.5224624045658861E-14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394.49874384716014</v>
      </c>
      <c r="AO136" s="62">
        <f t="shared" si="144"/>
        <v>423.72519584013378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-4.5224624045658861E-14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394.49874384716014</v>
      </c>
      <c r="BJ136" s="62">
        <f t="shared" si="146"/>
        <v>423.72519584013378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268.01111999999938</v>
      </c>
      <c r="CA136" s="14">
        <f t="shared" si="147"/>
        <v>64.426997301716739</v>
      </c>
      <c r="CB136" s="22">
        <f t="shared" si="118"/>
        <v>578.99638763382234</v>
      </c>
      <c r="CC136" s="62">
        <f t="shared" si="119"/>
        <v>863.38861931415568</v>
      </c>
      <c r="CD136" s="62">
        <f ca="1">AVERAGE(OFFSET($CC$3,0,0,'Données projet'!$E$12+1,1))-AVERAGE(OFFSET($H$3,0,0,'Données projet'!$E$12+1,1))</f>
        <v>496.33873798282525</v>
      </c>
      <c r="CE136" s="62">
        <f t="shared" si="148"/>
        <v>280.25465074992246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5.4092197387944907E-14</v>
      </c>
      <c r="CV136" s="14">
        <f t="shared" si="149"/>
        <v>8.7287050538073676E-13</v>
      </c>
      <c r="CW136" s="22">
        <f t="shared" si="121"/>
        <v>1.6144600406554537E-12</v>
      </c>
      <c r="CX136" s="62">
        <f t="shared" si="122"/>
        <v>284.39223168033499</v>
      </c>
      <c r="CY136" s="62">
        <f ca="1">AVERAGE(OFFSET($CX$3,0,0,'Données projet'!$E$13+1,1))-AVERAGE(OFFSET($H$3,0,0,'Données projet'!$E$13+1,1))</f>
        <v>441.15969139782891</v>
      </c>
      <c r="CZ136" s="62">
        <f t="shared" si="150"/>
        <v>315.06466790224783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4.4337866711430253E-14</v>
      </c>
      <c r="DQ136" s="14">
        <f t="shared" si="151"/>
        <v>7.3222115536967035E-13</v>
      </c>
      <c r="DR136" s="22">
        <f t="shared" si="124"/>
        <v>1.3525069634579169E-12</v>
      </c>
      <c r="DS136" s="62">
        <f t="shared" si="125"/>
        <v>284.39223168033476</v>
      </c>
      <c r="DT136" s="62">
        <f ca="1">AVERAGE(OFFSET($DS$3,0,0,'Données projet'!$E$14+1,1))-AVERAGE(OFFSET($H$3,0,0,'Données projet'!$E$14+1,1))</f>
        <v>309.21625451786218</v>
      </c>
      <c r="DU136" s="62">
        <f t="shared" si="152"/>
        <v>302.59481222418219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-1.1368683772161603E-13</v>
      </c>
      <c r="EK136" s="18">
        <f>EJ136*VLOOKUP('Données projet'!$B$15,Paramètres!$A$1:$I$89,3,0)*VLOOKUP('Données projet'!$B$15,Paramètres!$A$1:$I$89,5,0)</f>
        <v>-9.9316821433603781E-14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298.56812743477741</v>
      </c>
      <c r="EP136" s="62">
        <f t="shared" si="154"/>
        <v>276.01618888357268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396.0878652679051</v>
      </c>
      <c r="FK136" s="62">
        <f t="shared" si="156"/>
        <v>327.26339199235406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9">
        <f t="shared" si="110"/>
        <v>183.33333333333334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-9.7543306765146564E-14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478.11504516179713</v>
      </c>
      <c r="T137" s="62">
        <f t="shared" si="142"/>
        <v>249.93713224442419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-4.5224624045658861E-14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394.49874384716014</v>
      </c>
      <c r="AO137" s="62">
        <f t="shared" si="144"/>
        <v>423.72519584013378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-4.5224624045658861E-14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394.49874384716014</v>
      </c>
      <c r="BJ137" s="62">
        <f t="shared" si="146"/>
        <v>423.72519584013378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270.62255999999934</v>
      </c>
      <c r="CA137" s="14">
        <f t="shared" si="147"/>
        <v>64.981374516987898</v>
      </c>
      <c r="CB137" s="22">
        <f t="shared" si="118"/>
        <v>584.51018595041944</v>
      </c>
      <c r="CC137" s="62">
        <f t="shared" si="119"/>
        <v>869.05752575512372</v>
      </c>
      <c r="CD137" s="62">
        <f ca="1">AVERAGE(OFFSET($CC$3,0,0,'Données projet'!$E$12+1,1))-AVERAGE(OFFSET($H$3,0,0,'Données projet'!$E$12+1,1))</f>
        <v>496.33873798282525</v>
      </c>
      <c r="CE137" s="62">
        <f t="shared" si="148"/>
        <v>280.25465074992246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5.4092197387944907E-14</v>
      </c>
      <c r="CV137" s="14">
        <f t="shared" si="149"/>
        <v>8.7287050538073676E-13</v>
      </c>
      <c r="CW137" s="22">
        <f t="shared" si="121"/>
        <v>1.6144600406554537E-12</v>
      </c>
      <c r="CX137" s="62">
        <f t="shared" si="122"/>
        <v>284.54733980470587</v>
      </c>
      <c r="CY137" s="62">
        <f ca="1">AVERAGE(OFFSET($CX$3,0,0,'Données projet'!$E$13+1,1))-AVERAGE(OFFSET($H$3,0,0,'Données projet'!$E$13+1,1))</f>
        <v>441.15969139782891</v>
      </c>
      <c r="CZ137" s="62">
        <f t="shared" si="150"/>
        <v>315.06466790224783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4.4337866711430253E-14</v>
      </c>
      <c r="DQ137" s="14">
        <f t="shared" si="151"/>
        <v>7.3222115536967035E-13</v>
      </c>
      <c r="DR137" s="22">
        <f t="shared" si="124"/>
        <v>1.3525069634579169E-12</v>
      </c>
      <c r="DS137" s="62">
        <f t="shared" si="125"/>
        <v>284.54733980470564</v>
      </c>
      <c r="DT137" s="62">
        <f ca="1">AVERAGE(OFFSET($DS$3,0,0,'Données projet'!$E$14+1,1))-AVERAGE(OFFSET($H$3,0,0,'Données projet'!$E$14+1,1))</f>
        <v>309.21625451786218</v>
      </c>
      <c r="DU137" s="62">
        <f t="shared" si="152"/>
        <v>302.59481222418219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-1.1368683772161603E-13</v>
      </c>
      <c r="EK137" s="18">
        <f>EJ137*VLOOKUP('Données projet'!$B$15,Paramètres!$A$1:$I$89,3,0)*VLOOKUP('Données projet'!$B$15,Paramètres!$A$1:$I$89,5,0)</f>
        <v>-9.9316821433603781E-14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298.56812743477741</v>
      </c>
      <c r="EP137" s="62">
        <f t="shared" si="154"/>
        <v>276.01618888357268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396.0878652679051</v>
      </c>
      <c r="FK137" s="62">
        <f t="shared" si="156"/>
        <v>327.26339199235406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9">
        <f t="shared" si="110"/>
        <v>183.33333333333334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-9.7543306765146564E-14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478.11504516179713</v>
      </c>
      <c r="T138" s="62">
        <f t="shared" si="142"/>
        <v>249.93713224442419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-4.5224624045658861E-14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394.49874384716014</v>
      </c>
      <c r="AO138" s="62">
        <f t="shared" si="144"/>
        <v>423.72519584013378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-4.5224624045658861E-14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394.49874384716014</v>
      </c>
      <c r="BJ138" s="62">
        <f t="shared" si="146"/>
        <v>423.72519584013378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273.23399999999936</v>
      </c>
      <c r="CA138" s="14">
        <f t="shared" si="147"/>
        <v>65.535129378020301</v>
      </c>
      <c r="CB138" s="22">
        <f t="shared" si="118"/>
        <v>590.0229003333842</v>
      </c>
      <c r="CC138" s="62">
        <f t="shared" si="119"/>
        <v>874.7226574832714</v>
      </c>
      <c r="CD138" s="62">
        <f ca="1">AVERAGE(OFFSET($CC$3,0,0,'Données projet'!$E$12+1,1))-AVERAGE(OFFSET($H$3,0,0,'Données projet'!$E$12+1,1))</f>
        <v>496.33873798282525</v>
      </c>
      <c r="CE138" s="62">
        <f t="shared" si="148"/>
        <v>280.25465074992246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5.4092197387944907E-14</v>
      </c>
      <c r="CV138" s="14">
        <f t="shared" si="149"/>
        <v>8.7287050538073676E-13</v>
      </c>
      <c r="CW138" s="22">
        <f t="shared" si="121"/>
        <v>1.6144600406554537E-12</v>
      </c>
      <c r="CX138" s="62">
        <f t="shared" si="122"/>
        <v>284.69975714988874</v>
      </c>
      <c r="CY138" s="62">
        <f ca="1">AVERAGE(OFFSET($CX$3,0,0,'Données projet'!$E$13+1,1))-AVERAGE(OFFSET($H$3,0,0,'Données projet'!$E$13+1,1))</f>
        <v>441.15969139782891</v>
      </c>
      <c r="CZ138" s="62">
        <f t="shared" si="150"/>
        <v>315.06466790224783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4.4337866711430253E-14</v>
      </c>
      <c r="DQ138" s="14">
        <f t="shared" si="151"/>
        <v>7.3222115536967035E-13</v>
      </c>
      <c r="DR138" s="22">
        <f t="shared" si="124"/>
        <v>1.3525069634579169E-12</v>
      </c>
      <c r="DS138" s="62">
        <f t="shared" si="125"/>
        <v>284.69975714988851</v>
      </c>
      <c r="DT138" s="62">
        <f ca="1">AVERAGE(OFFSET($DS$3,0,0,'Données projet'!$E$14+1,1))-AVERAGE(OFFSET($H$3,0,0,'Données projet'!$E$14+1,1))</f>
        <v>309.21625451786218</v>
      </c>
      <c r="DU138" s="62">
        <f t="shared" si="152"/>
        <v>302.59481222418219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-1.1368683772161603E-13</v>
      </c>
      <c r="EK138" s="18">
        <f>EJ138*VLOOKUP('Données projet'!$B$15,Paramètres!$A$1:$I$89,3,0)*VLOOKUP('Données projet'!$B$15,Paramètres!$A$1:$I$89,5,0)</f>
        <v>-9.9316821433603781E-14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298.56812743477741</v>
      </c>
      <c r="EP138" s="62">
        <f t="shared" si="154"/>
        <v>276.01618888357268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396.0878652679051</v>
      </c>
      <c r="FK138" s="62">
        <f t="shared" si="156"/>
        <v>327.26339199235406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9">
        <f t="shared" si="110"/>
        <v>183.33333333333334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-9.7543306765146564E-14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478.11504516179713</v>
      </c>
      <c r="T139" s="62">
        <f t="shared" si="142"/>
        <v>249.93713224442419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-4.5224624045658861E-14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394.49874384716014</v>
      </c>
      <c r="AO139" s="62">
        <f t="shared" si="144"/>
        <v>423.72519584013378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-4.5224624045658861E-14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394.49874384716014</v>
      </c>
      <c r="BJ139" s="62">
        <f t="shared" si="146"/>
        <v>423.72519584013378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275.84543999999931</v>
      </c>
      <c r="CA139" s="14">
        <f t="shared" si="147"/>
        <v>66.088268521855113</v>
      </c>
      <c r="CB139" s="22">
        <f t="shared" si="118"/>
        <v>595.53454234222977</v>
      </c>
      <c r="CC139" s="62">
        <f t="shared" si="119"/>
        <v>880.38407273711505</v>
      </c>
      <c r="CD139" s="62">
        <f ca="1">AVERAGE(OFFSET($CC$3,0,0,'Données projet'!$E$12+1,1))-AVERAGE(OFFSET($H$3,0,0,'Données projet'!$E$12+1,1))</f>
        <v>496.33873798282525</v>
      </c>
      <c r="CE139" s="62">
        <f t="shared" si="148"/>
        <v>280.25465074992246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5.4092197387944907E-14</v>
      </c>
      <c r="CV139" s="14">
        <f t="shared" si="149"/>
        <v>8.7287050538073676E-13</v>
      </c>
      <c r="CW139" s="22">
        <f t="shared" si="121"/>
        <v>1.6144600406554537E-12</v>
      </c>
      <c r="CX139" s="62">
        <f t="shared" si="122"/>
        <v>284.84953039488681</v>
      </c>
      <c r="CY139" s="62">
        <f ca="1">AVERAGE(OFFSET($CX$3,0,0,'Données projet'!$E$13+1,1))-AVERAGE(OFFSET($H$3,0,0,'Données projet'!$E$13+1,1))</f>
        <v>441.15969139782891</v>
      </c>
      <c r="CZ139" s="62">
        <f t="shared" si="150"/>
        <v>315.06466790224783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4.4337866711430253E-14</v>
      </c>
      <c r="DQ139" s="14">
        <f t="shared" si="151"/>
        <v>7.3222115536967035E-13</v>
      </c>
      <c r="DR139" s="22">
        <f t="shared" si="124"/>
        <v>1.3525069634579169E-12</v>
      </c>
      <c r="DS139" s="62">
        <f t="shared" si="125"/>
        <v>284.84953039488659</v>
      </c>
      <c r="DT139" s="62">
        <f ca="1">AVERAGE(OFFSET($DS$3,0,0,'Données projet'!$E$14+1,1))-AVERAGE(OFFSET($H$3,0,0,'Données projet'!$E$14+1,1))</f>
        <v>309.21625451786218</v>
      </c>
      <c r="DU139" s="62">
        <f t="shared" si="152"/>
        <v>302.59481222418219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-1.1368683772161603E-13</v>
      </c>
      <c r="EK139" s="18">
        <f>EJ139*VLOOKUP('Données projet'!$B$15,Paramètres!$A$1:$I$89,3,0)*VLOOKUP('Données projet'!$B$15,Paramètres!$A$1:$I$89,5,0)</f>
        <v>-9.9316821433603781E-14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298.56812743477741</v>
      </c>
      <c r="EP139" s="62">
        <f t="shared" si="154"/>
        <v>276.01618888357268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396.0878652679051</v>
      </c>
      <c r="FK139" s="62">
        <f t="shared" si="156"/>
        <v>327.26339199235406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9">
        <f t="shared" si="110"/>
        <v>183.33333333333334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-9.7543306765146564E-14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478.11504516179713</v>
      </c>
      <c r="T140" s="62">
        <f t="shared" si="142"/>
        <v>249.93713224442419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-4.5224624045658861E-14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394.49874384716014</v>
      </c>
      <c r="AO140" s="62">
        <f t="shared" si="144"/>
        <v>423.72519584013378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-4.5224624045658861E-14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394.49874384716014</v>
      </c>
      <c r="BJ140" s="62">
        <f t="shared" si="146"/>
        <v>423.72519584013378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278.45687999999933</v>
      </c>
      <c r="CA140" s="14">
        <f t="shared" si="147"/>
        <v>66.640798452620999</v>
      </c>
      <c r="CB140" s="22">
        <f t="shared" si="118"/>
        <v>601.04512330498039</v>
      </c>
      <c r="CC140" s="62">
        <f t="shared" si="119"/>
        <v>886.04182871390572</v>
      </c>
      <c r="CD140" s="62">
        <f ca="1">AVERAGE(OFFSET($CC$3,0,0,'Données projet'!$E$12+1,1))-AVERAGE(OFFSET($H$3,0,0,'Données projet'!$E$12+1,1))</f>
        <v>496.33873798282525</v>
      </c>
      <c r="CE140" s="62">
        <f t="shared" si="148"/>
        <v>280.25465074992246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5.4092197387944907E-14</v>
      </c>
      <c r="CV140" s="14">
        <f t="shared" si="149"/>
        <v>8.7287050538073676E-13</v>
      </c>
      <c r="CW140" s="22">
        <f t="shared" si="121"/>
        <v>1.6144600406554537E-12</v>
      </c>
      <c r="CX140" s="62">
        <f t="shared" si="122"/>
        <v>284.99670540892697</v>
      </c>
      <c r="CY140" s="62">
        <f ca="1">AVERAGE(OFFSET($CX$3,0,0,'Données projet'!$E$13+1,1))-AVERAGE(OFFSET($H$3,0,0,'Données projet'!$E$13+1,1))</f>
        <v>441.15969139782891</v>
      </c>
      <c r="CZ140" s="62">
        <f t="shared" si="150"/>
        <v>315.06466790224783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4.4337866711430253E-14</v>
      </c>
      <c r="DQ140" s="14">
        <f t="shared" si="151"/>
        <v>7.3222115536967035E-13</v>
      </c>
      <c r="DR140" s="22">
        <f t="shared" si="124"/>
        <v>1.3525069634579169E-12</v>
      </c>
      <c r="DS140" s="62">
        <f t="shared" si="125"/>
        <v>284.99670540892674</v>
      </c>
      <c r="DT140" s="62">
        <f ca="1">AVERAGE(OFFSET($DS$3,0,0,'Données projet'!$E$14+1,1))-AVERAGE(OFFSET($H$3,0,0,'Données projet'!$E$14+1,1))</f>
        <v>309.21625451786218</v>
      </c>
      <c r="DU140" s="62">
        <f t="shared" si="152"/>
        <v>302.59481222418219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-1.1368683772161603E-13</v>
      </c>
      <c r="EK140" s="18">
        <f>EJ140*VLOOKUP('Données projet'!$B$15,Paramètres!$A$1:$I$89,3,0)*VLOOKUP('Données projet'!$B$15,Paramètres!$A$1:$I$89,5,0)</f>
        <v>-9.9316821433603781E-14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298.56812743477741</v>
      </c>
      <c r="EP140" s="62">
        <f t="shared" si="154"/>
        <v>276.01618888357268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396.0878652679051</v>
      </c>
      <c r="FK140" s="62">
        <f t="shared" si="156"/>
        <v>327.26339199235406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9">
        <f t="shared" si="110"/>
        <v>183.33333333333334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-9.7543306765146564E-14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478.11504516179713</v>
      </c>
      <c r="T141" s="62">
        <f t="shared" si="142"/>
        <v>249.93713224442419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-4.5224624045658861E-14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394.49874384716014</v>
      </c>
      <c r="AO141" s="62">
        <f t="shared" si="144"/>
        <v>423.72519584013378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-4.5224624045658861E-14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394.49874384716014</v>
      </c>
      <c r="BJ141" s="62">
        <f t="shared" si="146"/>
        <v>423.72519584013378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281.06831999999929</v>
      </c>
      <c r="CA141" s="14">
        <f t="shared" si="147"/>
        <v>67.192725545416536</v>
      </c>
      <c r="CB141" s="22">
        <f t="shared" si="118"/>
        <v>606.55465432493247</v>
      </c>
      <c r="CC141" s="62">
        <f t="shared" si="119"/>
        <v>891.69598159043835</v>
      </c>
      <c r="CD141" s="62">
        <f ca="1">AVERAGE(OFFSET($CC$3,0,0,'Données projet'!$E$12+1,1))-AVERAGE(OFFSET($H$3,0,0,'Données projet'!$E$12+1,1))</f>
        <v>496.33873798282525</v>
      </c>
      <c r="CE141" s="62">
        <f t="shared" si="148"/>
        <v>280.25465074992246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5.4092197387944907E-14</v>
      </c>
      <c r="CV141" s="14">
        <f t="shared" si="149"/>
        <v>8.7287050538073676E-13</v>
      </c>
      <c r="CW141" s="22">
        <f t="shared" si="121"/>
        <v>1.6144600406554537E-12</v>
      </c>
      <c r="CX141" s="62">
        <f t="shared" si="122"/>
        <v>285.14132726550753</v>
      </c>
      <c r="CY141" s="62">
        <f ca="1">AVERAGE(OFFSET($CX$3,0,0,'Données projet'!$E$13+1,1))-AVERAGE(OFFSET($H$3,0,0,'Données projet'!$E$13+1,1))</f>
        <v>441.15969139782891</v>
      </c>
      <c r="CZ141" s="62">
        <f t="shared" si="150"/>
        <v>315.06466790224783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4.4337866711430253E-14</v>
      </c>
      <c r="DQ141" s="14">
        <f t="shared" si="151"/>
        <v>7.3222115536967035E-13</v>
      </c>
      <c r="DR141" s="22">
        <f t="shared" si="124"/>
        <v>1.3525069634579169E-12</v>
      </c>
      <c r="DS141" s="62">
        <f t="shared" si="125"/>
        <v>285.1413272655073</v>
      </c>
      <c r="DT141" s="62">
        <f ca="1">AVERAGE(OFFSET($DS$3,0,0,'Données projet'!$E$14+1,1))-AVERAGE(OFFSET($H$3,0,0,'Données projet'!$E$14+1,1))</f>
        <v>309.21625451786218</v>
      </c>
      <c r="DU141" s="62">
        <f t="shared" si="152"/>
        <v>302.59481222418219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-1.1368683772161603E-13</v>
      </c>
      <c r="EK141" s="18">
        <f>EJ141*VLOOKUP('Données projet'!$B$15,Paramètres!$A$1:$I$89,3,0)*VLOOKUP('Données projet'!$B$15,Paramètres!$A$1:$I$89,5,0)</f>
        <v>-9.9316821433603781E-14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298.56812743477741</v>
      </c>
      <c r="EP141" s="62">
        <f t="shared" si="154"/>
        <v>276.01618888357268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396.0878652679051</v>
      </c>
      <c r="FK141" s="62">
        <f t="shared" si="156"/>
        <v>327.26339199235406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9">
        <f t="shared" si="110"/>
        <v>183.33333333333334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-9.7543306765146564E-14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478.11504516179713</v>
      </c>
      <c r="T142" s="62">
        <f t="shared" si="142"/>
        <v>249.93713224442419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-4.5224624045658861E-14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394.49874384716014</v>
      </c>
      <c r="AO142" s="62">
        <f t="shared" si="144"/>
        <v>423.72519584013378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-4.5224624045658861E-14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394.49874384716014</v>
      </c>
      <c r="BJ142" s="62">
        <f t="shared" si="146"/>
        <v>423.72519584013378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283.67975999999931</v>
      </c>
      <c r="CA142" s="14">
        <f t="shared" si="147"/>
        <v>67.74405605004435</v>
      </c>
      <c r="CB142" s="22">
        <f t="shared" si="118"/>
        <v>612.06314628715938</v>
      </c>
      <c r="CC142" s="62">
        <f t="shared" si="119"/>
        <v>897.34658654336022</v>
      </c>
      <c r="CD142" s="62">
        <f ca="1">AVERAGE(OFFSET($CC$3,0,0,'Données projet'!$E$12+1,1))-AVERAGE(OFFSET($H$3,0,0,'Données projet'!$E$12+1,1))</f>
        <v>496.33873798282525</v>
      </c>
      <c r="CE142" s="62">
        <f t="shared" si="148"/>
        <v>280.25465074992246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5.4092197387944907E-14</v>
      </c>
      <c r="CV142" s="14">
        <f t="shared" si="149"/>
        <v>8.7287050538073676E-13</v>
      </c>
      <c r="CW142" s="22">
        <f t="shared" si="121"/>
        <v>1.6144600406554537E-12</v>
      </c>
      <c r="CX142" s="62">
        <f t="shared" si="122"/>
        <v>285.28344025620248</v>
      </c>
      <c r="CY142" s="62">
        <f ca="1">AVERAGE(OFFSET($CX$3,0,0,'Données projet'!$E$13+1,1))-AVERAGE(OFFSET($H$3,0,0,'Données projet'!$E$13+1,1))</f>
        <v>441.15969139782891</v>
      </c>
      <c r="CZ142" s="62">
        <f t="shared" si="150"/>
        <v>315.06466790224783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4.4337866711430253E-14</v>
      </c>
      <c r="DQ142" s="14">
        <f t="shared" si="151"/>
        <v>7.3222115536967035E-13</v>
      </c>
      <c r="DR142" s="22">
        <f t="shared" si="124"/>
        <v>1.3525069634579169E-12</v>
      </c>
      <c r="DS142" s="62">
        <f t="shared" si="125"/>
        <v>285.28344025620225</v>
      </c>
      <c r="DT142" s="62">
        <f ca="1">AVERAGE(OFFSET($DS$3,0,0,'Données projet'!$E$14+1,1))-AVERAGE(OFFSET($H$3,0,0,'Données projet'!$E$14+1,1))</f>
        <v>309.21625451786218</v>
      </c>
      <c r="DU142" s="62">
        <f t="shared" si="152"/>
        <v>302.59481222418219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-1.1368683772161603E-13</v>
      </c>
      <c r="EK142" s="18">
        <f>EJ142*VLOOKUP('Données projet'!$B$15,Paramètres!$A$1:$I$89,3,0)*VLOOKUP('Données projet'!$B$15,Paramètres!$A$1:$I$89,5,0)</f>
        <v>-9.9316821433603781E-14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298.56812743477741</v>
      </c>
      <c r="EP142" s="62">
        <f t="shared" si="154"/>
        <v>276.01618888357268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396.0878652679051</v>
      </c>
      <c r="FK142" s="62">
        <f t="shared" si="156"/>
        <v>327.26339199235406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9">
        <f t="shared" si="110"/>
        <v>183.33333333333334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-9.7543306765146564E-14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478.11504516179713</v>
      </c>
      <c r="T143" s="62">
        <f t="shared" si="142"/>
        <v>249.93713224442419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-4.5224624045658861E-14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394.49874384716014</v>
      </c>
      <c r="AO143" s="62">
        <f t="shared" si="144"/>
        <v>423.72519584013378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-4.5224624045658861E-14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394.49874384716014</v>
      </c>
      <c r="BJ143" s="62">
        <f t="shared" si="146"/>
        <v>423.72519584013378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286.29119999999926</v>
      </c>
      <c r="CA143" s="14">
        <f t="shared" si="147"/>
        <v>68.294796094604223</v>
      </c>
      <c r="CB143" s="22">
        <f t="shared" si="118"/>
        <v>617.57060986476779</v>
      </c>
      <c r="CC143" s="62">
        <f t="shared" si="119"/>
        <v>902.99369776899221</v>
      </c>
      <c r="CD143" s="62">
        <f ca="1">AVERAGE(OFFSET($CC$3,0,0,'Données projet'!$E$12+1,1))-AVERAGE(OFFSET($H$3,0,0,'Données projet'!$E$12+1,1))</f>
        <v>496.33873798282525</v>
      </c>
      <c r="CE143" s="62">
        <f t="shared" si="148"/>
        <v>280.25465074992246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5.4092197387944907E-14</v>
      </c>
      <c r="CV143" s="14">
        <f t="shared" si="149"/>
        <v>8.7287050538073676E-13</v>
      </c>
      <c r="CW143" s="22">
        <f t="shared" si="121"/>
        <v>1.6144600406554537E-12</v>
      </c>
      <c r="CX143" s="62">
        <f t="shared" si="122"/>
        <v>285.42308790422595</v>
      </c>
      <c r="CY143" s="62">
        <f ca="1">AVERAGE(OFFSET($CX$3,0,0,'Données projet'!$E$13+1,1))-AVERAGE(OFFSET($H$3,0,0,'Données projet'!$E$13+1,1))</f>
        <v>441.15969139782891</v>
      </c>
      <c r="CZ143" s="62">
        <f t="shared" si="150"/>
        <v>315.06466790224783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4.4337866711430253E-14</v>
      </c>
      <c r="DQ143" s="14">
        <f t="shared" si="151"/>
        <v>7.3222115536967035E-13</v>
      </c>
      <c r="DR143" s="22">
        <f t="shared" si="124"/>
        <v>1.3525069634579169E-12</v>
      </c>
      <c r="DS143" s="62">
        <f t="shared" si="125"/>
        <v>285.42308790422572</v>
      </c>
      <c r="DT143" s="62">
        <f ca="1">AVERAGE(OFFSET($DS$3,0,0,'Données projet'!$E$14+1,1))-AVERAGE(OFFSET($H$3,0,0,'Données projet'!$E$14+1,1))</f>
        <v>309.21625451786218</v>
      </c>
      <c r="DU143" s="62">
        <f t="shared" si="152"/>
        <v>302.59481222418219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-1.1368683772161603E-13</v>
      </c>
      <c r="EK143" s="18">
        <f>EJ143*VLOOKUP('Données projet'!$B$15,Paramètres!$A$1:$I$89,3,0)*VLOOKUP('Données projet'!$B$15,Paramètres!$A$1:$I$89,5,0)</f>
        <v>-9.9316821433603781E-14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298.56812743477741</v>
      </c>
      <c r="EP143" s="62">
        <f t="shared" si="154"/>
        <v>276.01618888357268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396.0878652679051</v>
      </c>
      <c r="FK143" s="62">
        <f t="shared" si="156"/>
        <v>327.26339199235406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9">
        <f t="shared" si="110"/>
        <v>183.33333333333334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-9.7543306765146564E-14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478.11504516179713</v>
      </c>
      <c r="T144" s="62">
        <f t="shared" si="142"/>
        <v>249.93713224442419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-4.5224624045658861E-14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394.49874384716014</v>
      </c>
      <c r="AO144" s="62">
        <f t="shared" si="144"/>
        <v>423.72519584013378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-4.5224624045658861E-14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394.49874384716014</v>
      </c>
      <c r="BJ144" s="62">
        <f t="shared" si="146"/>
        <v>423.72519584013378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262.49807999999928</v>
      </c>
      <c r="CA144" s="14">
        <f t="shared" si="147"/>
        <v>63.254570961137979</v>
      </c>
      <c r="CB144" s="22">
        <f t="shared" si="118"/>
        <v>567.35253375731406</v>
      </c>
      <c r="CC144" s="62">
        <f t="shared" si="119"/>
        <v>852.91284673507403</v>
      </c>
      <c r="CD144" s="62">
        <f ca="1">AVERAGE(OFFSET($CC$3,0,0,'Données projet'!$E$12+1,1))-AVERAGE(OFFSET($H$3,0,0,'Données projet'!$E$12+1,1))</f>
        <v>496.33873798282525</v>
      </c>
      <c r="CE144" s="62">
        <f t="shared" si="148"/>
        <v>280.25465074992246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5.4092197387944907E-14</v>
      </c>
      <c r="CV144" s="14">
        <f t="shared" si="149"/>
        <v>8.7287050538073676E-13</v>
      </c>
      <c r="CW144" s="22">
        <f t="shared" si="121"/>
        <v>1.6144600406554537E-12</v>
      </c>
      <c r="CX144" s="62">
        <f t="shared" si="122"/>
        <v>285.56031297776161</v>
      </c>
      <c r="CY144" s="62">
        <f ca="1">AVERAGE(OFFSET($CX$3,0,0,'Données projet'!$E$13+1,1))-AVERAGE(OFFSET($H$3,0,0,'Données projet'!$E$13+1,1))</f>
        <v>441.15969139782891</v>
      </c>
      <c r="CZ144" s="62">
        <f t="shared" si="150"/>
        <v>315.06466790224783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4.4337866711430253E-14</v>
      </c>
      <c r="DQ144" s="14">
        <f t="shared" si="151"/>
        <v>7.3222115536967035E-13</v>
      </c>
      <c r="DR144" s="22">
        <f t="shared" si="124"/>
        <v>1.3525069634579169E-12</v>
      </c>
      <c r="DS144" s="62">
        <f t="shared" si="125"/>
        <v>285.56031297776138</v>
      </c>
      <c r="DT144" s="62">
        <f ca="1">AVERAGE(OFFSET($DS$3,0,0,'Données projet'!$E$14+1,1))-AVERAGE(OFFSET($H$3,0,0,'Données projet'!$E$14+1,1))</f>
        <v>309.21625451786218</v>
      </c>
      <c r="DU144" s="62">
        <f t="shared" si="152"/>
        <v>302.59481222418219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-1.1368683772161603E-13</v>
      </c>
      <c r="EK144" s="18">
        <f>EJ144*VLOOKUP('Données projet'!$B$15,Paramètres!$A$1:$I$89,3,0)*VLOOKUP('Données projet'!$B$15,Paramètres!$A$1:$I$89,5,0)</f>
        <v>-9.9316821433603781E-14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298.56812743477741</v>
      </c>
      <c r="EP144" s="62">
        <f t="shared" si="154"/>
        <v>276.01618888357268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396.0878652679051</v>
      </c>
      <c r="FK144" s="62">
        <f t="shared" si="156"/>
        <v>327.26339199235406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9">
        <f t="shared" si="110"/>
        <v>183.33333333333334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-9.7543306765146564E-14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478.11504516179713</v>
      </c>
      <c r="T145" s="62">
        <f t="shared" si="142"/>
        <v>249.93713224442419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-4.5224624045658861E-14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394.49874384716014</v>
      </c>
      <c r="AO145" s="62">
        <f t="shared" si="144"/>
        <v>423.72519584013378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-4.5224624045658861E-14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394.49874384716014</v>
      </c>
      <c r="BJ145" s="62">
        <f t="shared" si="146"/>
        <v>423.72519584013378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264.81935999999928</v>
      </c>
      <c r="CA145" s="14">
        <f t="shared" si="147"/>
        <v>63.748570085236892</v>
      </c>
      <c r="CB145" s="22">
        <f t="shared" si="118"/>
        <v>572.25581156511964</v>
      </c>
      <c r="CC145" s="62">
        <f t="shared" si="119"/>
        <v>857.95096906817867</v>
      </c>
      <c r="CD145" s="62">
        <f ca="1">AVERAGE(OFFSET($CC$3,0,0,'Données projet'!$E$12+1,1))-AVERAGE(OFFSET($H$3,0,0,'Données projet'!$E$12+1,1))</f>
        <v>496.33873798282525</v>
      </c>
      <c r="CE145" s="62">
        <f t="shared" si="148"/>
        <v>280.25465074992246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5.4092197387944907E-14</v>
      </c>
      <c r="CV145" s="14">
        <f t="shared" si="149"/>
        <v>8.7287050538073676E-13</v>
      </c>
      <c r="CW145" s="22">
        <f t="shared" si="121"/>
        <v>1.6144600406554537E-12</v>
      </c>
      <c r="CX145" s="62">
        <f t="shared" si="122"/>
        <v>285.69515750306067</v>
      </c>
      <c r="CY145" s="62">
        <f ca="1">AVERAGE(OFFSET($CX$3,0,0,'Données projet'!$E$13+1,1))-AVERAGE(OFFSET($H$3,0,0,'Données projet'!$E$13+1,1))</f>
        <v>441.15969139782891</v>
      </c>
      <c r="CZ145" s="62">
        <f t="shared" si="150"/>
        <v>315.06466790224783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4.4337866711430253E-14</v>
      </c>
      <c r="DQ145" s="14">
        <f t="shared" si="151"/>
        <v>7.3222115536967035E-13</v>
      </c>
      <c r="DR145" s="22">
        <f t="shared" si="124"/>
        <v>1.3525069634579169E-12</v>
      </c>
      <c r="DS145" s="62">
        <f t="shared" si="125"/>
        <v>285.69515750306044</v>
      </c>
      <c r="DT145" s="62">
        <f ca="1">AVERAGE(OFFSET($DS$3,0,0,'Données projet'!$E$14+1,1))-AVERAGE(OFFSET($H$3,0,0,'Données projet'!$E$14+1,1))</f>
        <v>309.21625451786218</v>
      </c>
      <c r="DU145" s="62">
        <f t="shared" si="152"/>
        <v>302.59481222418219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-1.1368683772161603E-13</v>
      </c>
      <c r="EK145" s="18">
        <f>EJ145*VLOOKUP('Données projet'!$B$15,Paramètres!$A$1:$I$89,3,0)*VLOOKUP('Données projet'!$B$15,Paramètres!$A$1:$I$89,5,0)</f>
        <v>-9.9316821433603781E-14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298.56812743477741</v>
      </c>
      <c r="EP145" s="62">
        <f t="shared" si="154"/>
        <v>276.01618888357268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396.0878652679051</v>
      </c>
      <c r="FK145" s="62">
        <f t="shared" si="156"/>
        <v>327.26339199235406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9">
        <f t="shared" si="110"/>
        <v>183.33333333333334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-9.7543306765146564E-14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478.11504516179713</v>
      </c>
      <c r="T146" s="62">
        <f t="shared" si="142"/>
        <v>249.93713224442419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-4.5224624045658861E-14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394.49874384716014</v>
      </c>
      <c r="AO146" s="62">
        <f t="shared" si="144"/>
        <v>423.72519584013378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-4.5224624045658861E-14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394.49874384716014</v>
      </c>
      <c r="BJ146" s="62">
        <f t="shared" si="146"/>
        <v>423.72519584013378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267.14063999999922</v>
      </c>
      <c r="CA146" s="14">
        <f t="shared" si="147"/>
        <v>64.242065428895785</v>
      </c>
      <c r="CB146" s="22">
        <f t="shared" si="118"/>
        <v>577.15821195532533</v>
      </c>
      <c r="CC146" s="62">
        <f t="shared" si="119"/>
        <v>862.98587473263683</v>
      </c>
      <c r="CD146" s="62">
        <f ca="1">AVERAGE(OFFSET($CC$3,0,0,'Données projet'!$E$12+1,1))-AVERAGE(OFFSET($H$3,0,0,'Données projet'!$E$12+1,1))</f>
        <v>496.33873798282525</v>
      </c>
      <c r="CE146" s="62">
        <f t="shared" si="148"/>
        <v>280.25465074992246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5.4092197387944907E-14</v>
      </c>
      <c r="CV146" s="14">
        <f t="shared" si="149"/>
        <v>8.7287050538073676E-13</v>
      </c>
      <c r="CW146" s="22">
        <f t="shared" si="121"/>
        <v>1.6144600406554537E-12</v>
      </c>
      <c r="CX146" s="62">
        <f t="shared" si="122"/>
        <v>285.82766277731304</v>
      </c>
      <c r="CY146" s="62">
        <f ca="1">AVERAGE(OFFSET($CX$3,0,0,'Données projet'!$E$13+1,1))-AVERAGE(OFFSET($H$3,0,0,'Données projet'!$E$13+1,1))</f>
        <v>441.15969139782891</v>
      </c>
      <c r="CZ146" s="62">
        <f t="shared" si="150"/>
        <v>315.06466790224783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4.4337866711430253E-14</v>
      </c>
      <c r="DQ146" s="14">
        <f t="shared" si="151"/>
        <v>7.3222115536967035E-13</v>
      </c>
      <c r="DR146" s="22">
        <f t="shared" si="124"/>
        <v>1.3525069634579169E-12</v>
      </c>
      <c r="DS146" s="62">
        <f t="shared" si="125"/>
        <v>285.82766277731281</v>
      </c>
      <c r="DT146" s="62">
        <f ca="1">AVERAGE(OFFSET($DS$3,0,0,'Données projet'!$E$14+1,1))-AVERAGE(OFFSET($H$3,0,0,'Données projet'!$E$14+1,1))</f>
        <v>309.21625451786218</v>
      </c>
      <c r="DU146" s="62">
        <f t="shared" si="152"/>
        <v>302.59481222418219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-1.1368683772161603E-13</v>
      </c>
      <c r="EK146" s="18">
        <f>EJ146*VLOOKUP('Données projet'!$B$15,Paramètres!$A$1:$I$89,3,0)*VLOOKUP('Données projet'!$B$15,Paramètres!$A$1:$I$89,5,0)</f>
        <v>-9.9316821433603781E-14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298.56812743477741</v>
      </c>
      <c r="EP146" s="62">
        <f t="shared" si="154"/>
        <v>276.01618888357268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396.0878652679051</v>
      </c>
      <c r="FK146" s="62">
        <f t="shared" si="156"/>
        <v>327.26339199235406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9">
        <f t="shared" si="110"/>
        <v>183.33333333333334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-9.7543306765146564E-14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478.11504516179713</v>
      </c>
      <c r="T147" s="62">
        <f t="shared" si="142"/>
        <v>249.93713224442419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-4.5224624045658861E-14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394.49874384716014</v>
      </c>
      <c r="AO147" s="62">
        <f t="shared" si="144"/>
        <v>423.72519584013378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-4.5224624045658861E-14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394.49874384716014</v>
      </c>
      <c r="BJ147" s="62">
        <f t="shared" si="146"/>
        <v>423.72519584013378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269.46191999999922</v>
      </c>
      <c r="CA147" s="14">
        <f t="shared" si="147"/>
        <v>64.735061876838927</v>
      </c>
      <c r="CB147" s="22">
        <f t="shared" si="118"/>
        <v>582.05974343549315</v>
      </c>
      <c r="CC147" s="62">
        <f t="shared" si="119"/>
        <v>868.01761281678603</v>
      </c>
      <c r="CD147" s="62">
        <f ca="1">AVERAGE(OFFSET($CC$3,0,0,'Données projet'!$E$12+1,1))-AVERAGE(OFFSET($H$3,0,0,'Données projet'!$E$12+1,1))</f>
        <v>496.33873798282525</v>
      </c>
      <c r="CE147" s="62">
        <f t="shared" si="148"/>
        <v>280.25465074992246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5.4092197387944907E-14</v>
      </c>
      <c r="CV147" s="14">
        <f t="shared" si="149"/>
        <v>8.7287050538073676E-13</v>
      </c>
      <c r="CW147" s="22">
        <f t="shared" si="121"/>
        <v>1.6144600406554537E-12</v>
      </c>
      <c r="CX147" s="62">
        <f t="shared" si="122"/>
        <v>285.95786938129447</v>
      </c>
      <c r="CY147" s="62">
        <f ca="1">AVERAGE(OFFSET($CX$3,0,0,'Données projet'!$E$13+1,1))-AVERAGE(OFFSET($H$3,0,0,'Données projet'!$E$13+1,1))</f>
        <v>441.15969139782891</v>
      </c>
      <c r="CZ147" s="62">
        <f t="shared" si="150"/>
        <v>315.06466790224783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4.4337866711430253E-14</v>
      </c>
      <c r="DQ147" s="14">
        <f t="shared" si="151"/>
        <v>7.3222115536967035E-13</v>
      </c>
      <c r="DR147" s="22">
        <f t="shared" si="124"/>
        <v>1.3525069634579169E-12</v>
      </c>
      <c r="DS147" s="62">
        <f t="shared" si="125"/>
        <v>285.95786938129424</v>
      </c>
      <c r="DT147" s="62">
        <f ca="1">AVERAGE(OFFSET($DS$3,0,0,'Données projet'!$E$14+1,1))-AVERAGE(OFFSET($H$3,0,0,'Données projet'!$E$14+1,1))</f>
        <v>309.21625451786218</v>
      </c>
      <c r="DU147" s="62">
        <f t="shared" si="152"/>
        <v>302.59481222418219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-1.1368683772161603E-13</v>
      </c>
      <c r="EK147" s="18">
        <f>EJ147*VLOOKUP('Données projet'!$B$15,Paramètres!$A$1:$I$89,3,0)*VLOOKUP('Données projet'!$B$15,Paramètres!$A$1:$I$89,5,0)</f>
        <v>-9.9316821433603781E-14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298.56812743477741</v>
      </c>
      <c r="EP147" s="62">
        <f t="shared" si="154"/>
        <v>276.01618888357268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396.0878652679051</v>
      </c>
      <c r="FK147" s="62">
        <f t="shared" si="156"/>
        <v>327.26339199235406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9">
        <f t="shared" si="110"/>
        <v>183.33333333333334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-9.7543306765146564E-14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478.11504516179713</v>
      </c>
      <c r="T148" s="62">
        <f t="shared" si="142"/>
        <v>249.93713224442419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-4.5224624045658861E-14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394.49874384716014</v>
      </c>
      <c r="AO148" s="62">
        <f t="shared" si="144"/>
        <v>423.72519584013378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-4.5224624045658861E-14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394.49874384716014</v>
      </c>
      <c r="BJ148" s="62">
        <f t="shared" si="146"/>
        <v>423.72519584013378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271.78319999999917</v>
      </c>
      <c r="CA148" s="14">
        <f t="shared" si="147"/>
        <v>65.227564224775008</v>
      </c>
      <c r="CB148" s="22">
        <f t="shared" si="118"/>
        <v>586.96041435814834</v>
      </c>
      <c r="CC148" s="62">
        <f t="shared" si="119"/>
        <v>873.04623154994192</v>
      </c>
      <c r="CD148" s="62">
        <f ca="1">AVERAGE(OFFSET($CC$3,0,0,'Données projet'!$E$12+1,1))-AVERAGE(OFFSET($H$3,0,0,'Données projet'!$E$12+1,1))</f>
        <v>496.33873798282525</v>
      </c>
      <c r="CE148" s="62">
        <f t="shared" si="148"/>
        <v>280.25465074992246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5.4092197387944907E-14</v>
      </c>
      <c r="CV148" s="14">
        <f t="shared" si="149"/>
        <v>8.7287050538073676E-13</v>
      </c>
      <c r="CW148" s="22">
        <f t="shared" si="121"/>
        <v>1.6144600406554537E-12</v>
      </c>
      <c r="CX148" s="62">
        <f t="shared" si="122"/>
        <v>286.08581719179517</v>
      </c>
      <c r="CY148" s="62">
        <f ca="1">AVERAGE(OFFSET($CX$3,0,0,'Données projet'!$E$13+1,1))-AVERAGE(OFFSET($H$3,0,0,'Données projet'!$E$13+1,1))</f>
        <v>441.15969139782891</v>
      </c>
      <c r="CZ148" s="62">
        <f t="shared" si="150"/>
        <v>315.06466790224783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4.4337866711430253E-14</v>
      </c>
      <c r="DQ148" s="14">
        <f t="shared" si="151"/>
        <v>7.3222115536967035E-13</v>
      </c>
      <c r="DR148" s="22">
        <f t="shared" si="124"/>
        <v>1.3525069634579169E-12</v>
      </c>
      <c r="DS148" s="62">
        <f t="shared" si="125"/>
        <v>286.08581719179494</v>
      </c>
      <c r="DT148" s="62">
        <f ca="1">AVERAGE(OFFSET($DS$3,0,0,'Données projet'!$E$14+1,1))-AVERAGE(OFFSET($H$3,0,0,'Données projet'!$E$14+1,1))</f>
        <v>309.21625451786218</v>
      </c>
      <c r="DU148" s="62">
        <f t="shared" si="152"/>
        <v>302.59481222418219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-1.1368683772161603E-13</v>
      </c>
      <c r="EK148" s="18">
        <f>EJ148*VLOOKUP('Données projet'!$B$15,Paramètres!$A$1:$I$89,3,0)*VLOOKUP('Données projet'!$B$15,Paramètres!$A$1:$I$89,5,0)</f>
        <v>-9.9316821433603781E-14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298.56812743477741</v>
      </c>
      <c r="EP148" s="62">
        <f t="shared" si="154"/>
        <v>276.01618888357268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396.0878652679051</v>
      </c>
      <c r="FK148" s="62">
        <f t="shared" si="156"/>
        <v>327.26339199235406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9">
        <f t="shared" si="110"/>
        <v>183.33333333333334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-9.7543306765146564E-14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478.11504516179713</v>
      </c>
      <c r="T149" s="62">
        <f t="shared" si="142"/>
        <v>249.93713224442419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-4.5224624045658861E-14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394.49874384716014</v>
      </c>
      <c r="AO149" s="62">
        <f t="shared" si="144"/>
        <v>423.72519584013378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-4.5224624045658861E-14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394.49874384716014</v>
      </c>
      <c r="BJ149" s="62">
        <f t="shared" si="146"/>
        <v>423.72519584013378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274.10447999999917</v>
      </c>
      <c r="CA149" s="14">
        <f t="shared" si="147"/>
        <v>65.719577181765331</v>
      </c>
      <c r="CB149" s="22">
        <f t="shared" si="118"/>
        <v>591.86023292490643</v>
      </c>
      <c r="CC149" s="62">
        <f t="shared" si="119"/>
        <v>878.07177831873707</v>
      </c>
      <c r="CD149" s="62">
        <f ca="1">AVERAGE(OFFSET($CC$3,0,0,'Données projet'!$E$12+1,1))-AVERAGE(OFFSET($H$3,0,0,'Données projet'!$E$12+1,1))</f>
        <v>496.33873798282525</v>
      </c>
      <c r="CE149" s="62">
        <f t="shared" si="148"/>
        <v>280.25465074992246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5.4092197387944907E-14</v>
      </c>
      <c r="CV149" s="14">
        <f t="shared" si="149"/>
        <v>8.7287050538073676E-13</v>
      </c>
      <c r="CW149" s="22">
        <f t="shared" si="121"/>
        <v>1.6144600406554537E-12</v>
      </c>
      <c r="CX149" s="62">
        <f t="shared" si="122"/>
        <v>286.21154539383224</v>
      </c>
      <c r="CY149" s="62">
        <f ca="1">AVERAGE(OFFSET($CX$3,0,0,'Données projet'!$E$13+1,1))-AVERAGE(OFFSET($H$3,0,0,'Données projet'!$E$13+1,1))</f>
        <v>441.15969139782891</v>
      </c>
      <c r="CZ149" s="62">
        <f t="shared" si="150"/>
        <v>315.06466790224783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4.4337866711430253E-14</v>
      </c>
      <c r="DQ149" s="14">
        <f t="shared" si="151"/>
        <v>7.3222115536967035E-13</v>
      </c>
      <c r="DR149" s="22">
        <f t="shared" si="124"/>
        <v>1.3525069634579169E-12</v>
      </c>
      <c r="DS149" s="62">
        <f t="shared" si="125"/>
        <v>286.21154539383201</v>
      </c>
      <c r="DT149" s="62">
        <f ca="1">AVERAGE(OFFSET($DS$3,0,0,'Données projet'!$E$14+1,1))-AVERAGE(OFFSET($H$3,0,0,'Données projet'!$E$14+1,1))</f>
        <v>309.21625451786218</v>
      </c>
      <c r="DU149" s="62">
        <f t="shared" si="152"/>
        <v>302.59481222418219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-1.1368683772161603E-13</v>
      </c>
      <c r="EK149" s="18">
        <f>EJ149*VLOOKUP('Données projet'!$B$15,Paramètres!$A$1:$I$89,3,0)*VLOOKUP('Données projet'!$B$15,Paramètres!$A$1:$I$89,5,0)</f>
        <v>-9.9316821433603781E-14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298.56812743477741</v>
      </c>
      <c r="EP149" s="62">
        <f t="shared" si="154"/>
        <v>276.01618888357268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396.0878652679051</v>
      </c>
      <c r="FK149" s="62">
        <f t="shared" si="156"/>
        <v>327.26339199235406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9">
        <f t="shared" si="110"/>
        <v>183.33333333333334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-9.7543306765146564E-14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478.11504516179713</v>
      </c>
      <c r="T150" s="62">
        <f t="shared" si="142"/>
        <v>249.93713224442419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-4.5224624045658861E-14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394.49874384716014</v>
      </c>
      <c r="AO150" s="62">
        <f t="shared" si="144"/>
        <v>423.72519584013378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-4.5224624045658861E-14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394.49874384716014</v>
      </c>
      <c r="BJ150" s="62">
        <f t="shared" si="146"/>
        <v>423.72519584013378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276.42575999999912</v>
      </c>
      <c r="CA150" s="14">
        <f t="shared" si="147"/>
        <v>66.211105372509707</v>
      </c>
      <c r="CB150" s="22">
        <f t="shared" si="118"/>
        <v>596.75920719045291</v>
      </c>
      <c r="CC150" s="62">
        <f t="shared" si="119"/>
        <v>883.09429968310133</v>
      </c>
      <c r="CD150" s="62">
        <f ca="1">AVERAGE(OFFSET($CC$3,0,0,'Données projet'!$E$12+1,1))-AVERAGE(OFFSET($H$3,0,0,'Données projet'!$E$12+1,1))</f>
        <v>496.33873798282525</v>
      </c>
      <c r="CE150" s="62">
        <f t="shared" si="148"/>
        <v>280.25465074992246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5.4092197387944907E-14</v>
      </c>
      <c r="CV150" s="14">
        <f t="shared" si="149"/>
        <v>8.7287050538073676E-13</v>
      </c>
      <c r="CW150" s="22">
        <f t="shared" si="121"/>
        <v>1.6144600406554537E-12</v>
      </c>
      <c r="CX150" s="62">
        <f t="shared" si="122"/>
        <v>286.33509249265001</v>
      </c>
      <c r="CY150" s="62">
        <f ca="1">AVERAGE(OFFSET($CX$3,0,0,'Données projet'!$E$13+1,1))-AVERAGE(OFFSET($H$3,0,0,'Données projet'!$E$13+1,1))</f>
        <v>441.15969139782891</v>
      </c>
      <c r="CZ150" s="62">
        <f t="shared" si="150"/>
        <v>315.06466790224783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4.4337866711430253E-14</v>
      </c>
      <c r="DQ150" s="14">
        <f t="shared" si="151"/>
        <v>7.3222115536967035E-13</v>
      </c>
      <c r="DR150" s="22">
        <f t="shared" si="124"/>
        <v>1.3525069634579169E-12</v>
      </c>
      <c r="DS150" s="62">
        <f t="shared" si="125"/>
        <v>286.33509249264978</v>
      </c>
      <c r="DT150" s="62">
        <f ca="1">AVERAGE(OFFSET($DS$3,0,0,'Données projet'!$E$14+1,1))-AVERAGE(OFFSET($H$3,0,0,'Données projet'!$E$14+1,1))</f>
        <v>309.21625451786218</v>
      </c>
      <c r="DU150" s="62">
        <f t="shared" si="152"/>
        <v>302.59481222418219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-1.1368683772161603E-13</v>
      </c>
      <c r="EK150" s="18">
        <f>EJ150*VLOOKUP('Données projet'!$B$15,Paramètres!$A$1:$I$89,3,0)*VLOOKUP('Données projet'!$B$15,Paramètres!$A$1:$I$89,5,0)</f>
        <v>-9.9316821433603781E-14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298.56812743477741</v>
      </c>
      <c r="EP150" s="62">
        <f t="shared" si="154"/>
        <v>276.01618888357268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396.0878652679051</v>
      </c>
      <c r="FK150" s="62">
        <f t="shared" si="156"/>
        <v>327.26339199235406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9">
        <f t="shared" si="110"/>
        <v>183.33333333333334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-9.7543306765146564E-14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478.11504516179713</v>
      </c>
      <c r="T151" s="62">
        <f t="shared" si="142"/>
        <v>249.93713224442419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-4.5224624045658861E-14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394.49874384716014</v>
      </c>
      <c r="AO151" s="62">
        <f t="shared" si="144"/>
        <v>423.72519584013378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-4.5224624045658861E-14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394.49874384716014</v>
      </c>
      <c r="BJ151" s="62">
        <f t="shared" si="146"/>
        <v>423.72519584013378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278.74703999999912</v>
      </c>
      <c r="CA151" s="14">
        <f t="shared" si="147"/>
        <v>66.702153339553078</v>
      </c>
      <c r="CB151" s="22">
        <f t="shared" si="118"/>
        <v>601.65734506638671</v>
      </c>
      <c r="CC151" s="62">
        <f t="shared" si="119"/>
        <v>888.1138413918984</v>
      </c>
      <c r="CD151" s="62">
        <f ca="1">AVERAGE(OFFSET($CC$3,0,0,'Données projet'!$E$12+1,1))-AVERAGE(OFFSET($H$3,0,0,'Données projet'!$E$12+1,1))</f>
        <v>496.33873798282525</v>
      </c>
      <c r="CE151" s="62">
        <f t="shared" si="148"/>
        <v>280.25465074992246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5.4092197387944907E-14</v>
      </c>
      <c r="CV151" s="14">
        <f t="shared" si="149"/>
        <v>8.7287050538073676E-13</v>
      </c>
      <c r="CW151" s="22">
        <f t="shared" si="121"/>
        <v>1.6144600406554537E-12</v>
      </c>
      <c r="CX151" s="62">
        <f t="shared" si="122"/>
        <v>286.45649632551329</v>
      </c>
      <c r="CY151" s="62">
        <f ca="1">AVERAGE(OFFSET($CX$3,0,0,'Données projet'!$E$13+1,1))-AVERAGE(OFFSET($H$3,0,0,'Données projet'!$E$13+1,1))</f>
        <v>441.15969139782891</v>
      </c>
      <c r="CZ151" s="62">
        <f t="shared" si="150"/>
        <v>315.06466790224783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4.4337866711430253E-14</v>
      </c>
      <c r="DQ151" s="14">
        <f t="shared" si="151"/>
        <v>7.3222115536967035E-13</v>
      </c>
      <c r="DR151" s="22">
        <f t="shared" si="124"/>
        <v>1.3525069634579169E-12</v>
      </c>
      <c r="DS151" s="62">
        <f t="shared" si="125"/>
        <v>286.45649632551306</v>
      </c>
      <c r="DT151" s="62">
        <f ca="1">AVERAGE(OFFSET($DS$3,0,0,'Données projet'!$E$14+1,1))-AVERAGE(OFFSET($H$3,0,0,'Données projet'!$E$14+1,1))</f>
        <v>309.21625451786218</v>
      </c>
      <c r="DU151" s="62">
        <f t="shared" si="152"/>
        <v>302.59481222418219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-1.1368683772161603E-13</v>
      </c>
      <c r="EK151" s="18">
        <f>EJ151*VLOOKUP('Données projet'!$B$15,Paramètres!$A$1:$I$89,3,0)*VLOOKUP('Données projet'!$B$15,Paramètres!$A$1:$I$89,5,0)</f>
        <v>-9.9316821433603781E-14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298.56812743477741</v>
      </c>
      <c r="EP151" s="62">
        <f t="shared" si="154"/>
        <v>276.01618888357268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396.0878652679051</v>
      </c>
      <c r="FK151" s="62">
        <f t="shared" si="156"/>
        <v>327.26339199235406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9">
        <f t="shared" si="110"/>
        <v>183.33333333333334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-9.7543306765146564E-14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478.11504516179713</v>
      </c>
      <c r="T152" s="62">
        <f t="shared" si="142"/>
        <v>249.93713224442419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-4.5224624045658861E-14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394.49874384716014</v>
      </c>
      <c r="AO152" s="62">
        <f t="shared" si="144"/>
        <v>423.72519584013378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-4.5224624045658861E-14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394.49874384716014</v>
      </c>
      <c r="BJ152" s="62">
        <f t="shared" si="146"/>
        <v>423.72519584013378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281.06831999999906</v>
      </c>
      <c r="CA152" s="14">
        <f t="shared" si="147"/>
        <v>67.192725545416479</v>
      </c>
      <c r="CB152" s="22">
        <f t="shared" si="118"/>
        <v>606.55465432493213</v>
      </c>
      <c r="CC152" s="62">
        <f t="shared" si="119"/>
        <v>893.13044839822521</v>
      </c>
      <c r="CD152" s="62">
        <f ca="1">AVERAGE(OFFSET($CC$3,0,0,'Données projet'!$E$12+1,1))-AVERAGE(OFFSET($H$3,0,0,'Données projet'!$E$12+1,1))</f>
        <v>496.33873798282525</v>
      </c>
      <c r="CE152" s="62">
        <f t="shared" si="148"/>
        <v>280.25465074992246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5.4092197387944907E-14</v>
      </c>
      <c r="CV152" s="14">
        <f t="shared" si="149"/>
        <v>8.7287050538073676E-13</v>
      </c>
      <c r="CW152" s="22">
        <f t="shared" si="121"/>
        <v>1.6144600406554537E-12</v>
      </c>
      <c r="CX152" s="62">
        <f t="shared" si="122"/>
        <v>286.57579407329467</v>
      </c>
      <c r="CY152" s="62">
        <f ca="1">AVERAGE(OFFSET($CX$3,0,0,'Données projet'!$E$13+1,1))-AVERAGE(OFFSET($H$3,0,0,'Données projet'!$E$13+1,1))</f>
        <v>441.15969139782891</v>
      </c>
      <c r="CZ152" s="62">
        <f t="shared" si="150"/>
        <v>315.06466790224783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4.4337866711430253E-14</v>
      </c>
      <c r="DQ152" s="14">
        <f t="shared" si="151"/>
        <v>7.3222115536967035E-13</v>
      </c>
      <c r="DR152" s="22">
        <f t="shared" si="124"/>
        <v>1.3525069634579169E-12</v>
      </c>
      <c r="DS152" s="62">
        <f t="shared" si="125"/>
        <v>286.57579407329445</v>
      </c>
      <c r="DT152" s="62">
        <f ca="1">AVERAGE(OFFSET($DS$3,0,0,'Données projet'!$E$14+1,1))-AVERAGE(OFFSET($H$3,0,0,'Données projet'!$E$14+1,1))</f>
        <v>309.21625451786218</v>
      </c>
      <c r="DU152" s="62">
        <f t="shared" si="152"/>
        <v>302.59481222418219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-1.1368683772161603E-13</v>
      </c>
      <c r="EK152" s="18">
        <f>EJ152*VLOOKUP('Données projet'!$B$15,Paramètres!$A$1:$I$89,3,0)*VLOOKUP('Données projet'!$B$15,Paramètres!$A$1:$I$89,5,0)</f>
        <v>-9.9316821433603781E-14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298.56812743477741</v>
      </c>
      <c r="EP152" s="62">
        <f t="shared" si="154"/>
        <v>276.01618888357268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396.0878652679051</v>
      </c>
      <c r="FK152" s="62">
        <f t="shared" si="156"/>
        <v>327.26339199235406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9">
        <f t="shared" si="110"/>
        <v>183.33333333333334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-9.7543306765146564E-14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478.11504516179713</v>
      </c>
      <c r="T153" s="62">
        <f t="shared" si="142"/>
        <v>249.93713224442419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-4.5224624045658861E-14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394.49874384716014</v>
      </c>
      <c r="AO153" s="62">
        <f t="shared" si="144"/>
        <v>423.72519584013378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-4.5224624045658861E-14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394.49874384716014</v>
      </c>
      <c r="BJ153" s="62">
        <f t="shared" si="146"/>
        <v>423.72519584013378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283.38959999999906</v>
      </c>
      <c r="CA153" s="14">
        <f t="shared" si="147"/>
        <v>67.682826374656187</v>
      </c>
      <c r="CB153" s="22">
        <f t="shared" si="118"/>
        <v>611.45114260252456</v>
      </c>
      <c r="CC153" s="62">
        <f t="shared" si="119"/>
        <v>898.14416487438484</v>
      </c>
      <c r="CD153" s="62">
        <f ca="1">AVERAGE(OFFSET($CC$3,0,0,'Données projet'!$E$12+1,1))-AVERAGE(OFFSET($H$3,0,0,'Données projet'!$E$12+1,1))</f>
        <v>496.33873798282525</v>
      </c>
      <c r="CE153" s="62">
        <f t="shared" si="148"/>
        <v>280.25465074992246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5.4092197387944907E-14</v>
      </c>
      <c r="CV153" s="14">
        <f t="shared" si="149"/>
        <v>8.7287050538073676E-13</v>
      </c>
      <c r="CW153" s="22">
        <f t="shared" si="121"/>
        <v>1.6144600406554537E-12</v>
      </c>
      <c r="CX153" s="62">
        <f t="shared" si="122"/>
        <v>286.69302227186193</v>
      </c>
      <c r="CY153" s="62">
        <f ca="1">AVERAGE(OFFSET($CX$3,0,0,'Données projet'!$E$13+1,1))-AVERAGE(OFFSET($H$3,0,0,'Données projet'!$E$13+1,1))</f>
        <v>441.15969139782891</v>
      </c>
      <c r="CZ153" s="62">
        <f t="shared" si="150"/>
        <v>315.06466790224783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4.4337866711430253E-14</v>
      </c>
      <c r="DQ153" s="14">
        <f t="shared" si="151"/>
        <v>7.3222115536967035E-13</v>
      </c>
      <c r="DR153" s="22">
        <f t="shared" si="124"/>
        <v>1.3525069634579169E-12</v>
      </c>
      <c r="DS153" s="62">
        <f t="shared" si="125"/>
        <v>286.69302227186171</v>
      </c>
      <c r="DT153" s="62">
        <f ca="1">AVERAGE(OFFSET($DS$3,0,0,'Données projet'!$E$14+1,1))-AVERAGE(OFFSET($H$3,0,0,'Données projet'!$E$14+1,1))</f>
        <v>309.21625451786218</v>
      </c>
      <c r="DU153" s="62">
        <f t="shared" si="152"/>
        <v>302.59481222418219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-1.1368683772161603E-13</v>
      </c>
      <c r="EK153" s="18">
        <f>EJ153*VLOOKUP('Données projet'!$B$15,Paramètres!$A$1:$I$89,3,0)*VLOOKUP('Données projet'!$B$15,Paramètres!$A$1:$I$89,5,0)</f>
        <v>-9.9316821433603781E-14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298.56812743477741</v>
      </c>
      <c r="EP153" s="62">
        <f t="shared" si="154"/>
        <v>276.01618888357268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396.0878652679051</v>
      </c>
      <c r="FK153" s="62">
        <f t="shared" si="156"/>
        <v>327.26339199235406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9">
        <f t="shared" si="110"/>
        <v>183.33333333333334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-9.7543306765146564E-14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478.11504516179713</v>
      </c>
      <c r="T154" s="62">
        <f t="shared" si="142"/>
        <v>249.93713224442419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-4.5224624045658861E-14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394.49874384716014</v>
      </c>
      <c r="AO154" s="62">
        <f t="shared" si="144"/>
        <v>423.72519584013378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-4.5224624045658861E-14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394.49874384716014</v>
      </c>
      <c r="BJ154" s="62">
        <f t="shared" si="146"/>
        <v>423.72519584013378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-9.3464223027694966E-13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496.33873798282525</v>
      </c>
      <c r="CE154" s="62">
        <f t="shared" si="148"/>
        <v>280.25465074992246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5.4092197387944907E-14</v>
      </c>
      <c r="CV154" s="14">
        <f t="shared" ref="CV154:CV203" si="173">EXP(-1.0587+0.8836*LN(CU154)+0.284)</f>
        <v>8.7287050538073676E-13</v>
      </c>
      <c r="CW154" s="22">
        <f t="shared" ref="CW154:CW203" si="174">(CU154+CV154)*0.475*44/12</f>
        <v>1.6144600406554537E-12</v>
      </c>
      <c r="CX154" s="62">
        <f t="shared" si="122"/>
        <v>286.80821682326695</v>
      </c>
      <c r="CY154" s="62">
        <f ca="1">AVERAGE(OFFSET($CX$3,0,0,'Données projet'!$E$13+1,1))-AVERAGE(OFFSET($H$3,0,0,'Données projet'!$E$13+1,1))</f>
        <v>441.15969139782891</v>
      </c>
      <c r="CZ154" s="62">
        <f t="shared" si="150"/>
        <v>315.06466790224783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4.4337866711430253E-14</v>
      </c>
      <c r="DQ154" s="14">
        <f t="shared" ref="DQ154:DQ203" si="176">EXP(-1.0587+0.8836*LN(DP154)+0.284)</f>
        <v>7.3222115536967035E-13</v>
      </c>
      <c r="DR154" s="22">
        <f t="shared" ref="DR154:DR203" si="177">(DP154+DQ154)*0.475*44/12</f>
        <v>1.3525069634579169E-12</v>
      </c>
      <c r="DS154" s="62">
        <f t="shared" si="125"/>
        <v>286.80821682326672</v>
      </c>
      <c r="DT154" s="62">
        <f ca="1">AVERAGE(OFFSET($DS$3,0,0,'Données projet'!$E$14+1,1))-AVERAGE(OFFSET($H$3,0,0,'Données projet'!$E$14+1,1))</f>
        <v>309.21625451786218</v>
      </c>
      <c r="DU154" s="62">
        <f t="shared" si="152"/>
        <v>302.59481222418219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-1.1368683772161603E-13</v>
      </c>
      <c r="EK154" s="18">
        <f>EJ154*VLOOKUP('Données projet'!$B$15,Paramètres!$A$1:$I$89,3,0)*VLOOKUP('Données projet'!$B$15,Paramètres!$A$1:$I$89,5,0)</f>
        <v>-9.9316821433603781E-14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298.56812743477741</v>
      </c>
      <c r="EP154" s="62">
        <f t="shared" si="154"/>
        <v>276.01618888357268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396.0878652679051</v>
      </c>
      <c r="FK154" s="62">
        <f t="shared" si="156"/>
        <v>327.26339199235406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9">
        <f t="shared" si="110"/>
        <v>183.33333333333334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-9.7543306765146564E-14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478.11504516179713</v>
      </c>
      <c r="T155" s="62">
        <f t="shared" si="142"/>
        <v>249.93713224442419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-4.5224624045658861E-14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394.49874384716014</v>
      </c>
      <c r="AO155" s="62">
        <f t="shared" si="144"/>
        <v>423.72519584013378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-4.5224624045658861E-14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394.49874384716014</v>
      </c>
      <c r="BJ155" s="62">
        <f t="shared" si="146"/>
        <v>423.72519584013378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-9.3464223027694966E-13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496.33873798282525</v>
      </c>
      <c r="CE155" s="62">
        <f t="shared" si="148"/>
        <v>280.25465074992246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5.4092197387944907E-14</v>
      </c>
      <c r="CV155" s="14">
        <f t="shared" si="173"/>
        <v>8.7287050538073676E-13</v>
      </c>
      <c r="CW155" s="22">
        <f t="shared" si="174"/>
        <v>1.6144600406554537E-12</v>
      </c>
      <c r="CX155" s="62">
        <f t="shared" si="122"/>
        <v>286.92141300674149</v>
      </c>
      <c r="CY155" s="62">
        <f ca="1">AVERAGE(OFFSET($CX$3,0,0,'Données projet'!$E$13+1,1))-AVERAGE(OFFSET($H$3,0,0,'Données projet'!$E$13+1,1))</f>
        <v>441.15969139782891</v>
      </c>
      <c r="CZ155" s="62">
        <f t="shared" si="150"/>
        <v>315.06466790224783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4.4337866711430253E-14</v>
      </c>
      <c r="DQ155" s="14">
        <f t="shared" si="176"/>
        <v>7.3222115536967035E-13</v>
      </c>
      <c r="DR155" s="22">
        <f t="shared" si="177"/>
        <v>1.3525069634579169E-12</v>
      </c>
      <c r="DS155" s="62">
        <f t="shared" si="125"/>
        <v>286.92141300674126</v>
      </c>
      <c r="DT155" s="62">
        <f ca="1">AVERAGE(OFFSET($DS$3,0,0,'Données projet'!$E$14+1,1))-AVERAGE(OFFSET($H$3,0,0,'Données projet'!$E$14+1,1))</f>
        <v>309.21625451786218</v>
      </c>
      <c r="DU155" s="62">
        <f t="shared" si="152"/>
        <v>302.59481222418219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-1.1368683772161603E-13</v>
      </c>
      <c r="EK155" s="18">
        <f>EJ155*VLOOKUP('Données projet'!$B$15,Paramètres!$A$1:$I$89,3,0)*VLOOKUP('Données projet'!$B$15,Paramètres!$A$1:$I$89,5,0)</f>
        <v>-9.9316821433603781E-14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298.56812743477741</v>
      </c>
      <c r="EP155" s="62">
        <f t="shared" si="154"/>
        <v>276.01618888357268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396.0878652679051</v>
      </c>
      <c r="FK155" s="62">
        <f t="shared" si="156"/>
        <v>327.26339199235406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9">
        <f t="shared" si="110"/>
        <v>183.33333333333334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-9.7543306765146564E-14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478.11504516179713</v>
      </c>
      <c r="T156" s="62">
        <f t="shared" si="142"/>
        <v>249.93713224442419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-4.5224624045658861E-14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394.49874384716014</v>
      </c>
      <c r="AO156" s="62">
        <f t="shared" si="144"/>
        <v>423.72519584013378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-4.5224624045658861E-14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394.49874384716014</v>
      </c>
      <c r="BJ156" s="62">
        <f t="shared" si="146"/>
        <v>423.72519584013378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-9.3464223027694966E-13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496.33873798282525</v>
      </c>
      <c r="CE156" s="62">
        <f t="shared" si="148"/>
        <v>280.25465074992246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5.4092197387944907E-14</v>
      </c>
      <c r="CV156" s="14">
        <f t="shared" si="173"/>
        <v>8.7287050538073676E-13</v>
      </c>
      <c r="CW156" s="22">
        <f t="shared" si="174"/>
        <v>1.6144600406554537E-12</v>
      </c>
      <c r="CX156" s="62">
        <f t="shared" si="122"/>
        <v>287.03264548950159</v>
      </c>
      <c r="CY156" s="62">
        <f ca="1">AVERAGE(OFFSET($CX$3,0,0,'Données projet'!$E$13+1,1))-AVERAGE(OFFSET($H$3,0,0,'Données projet'!$E$13+1,1))</f>
        <v>441.15969139782891</v>
      </c>
      <c r="CZ156" s="62">
        <f t="shared" si="150"/>
        <v>315.06466790224783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4.4337866711430253E-14</v>
      </c>
      <c r="DQ156" s="14">
        <f t="shared" si="176"/>
        <v>7.3222115536967035E-13</v>
      </c>
      <c r="DR156" s="22">
        <f t="shared" si="177"/>
        <v>1.3525069634579169E-12</v>
      </c>
      <c r="DS156" s="62">
        <f t="shared" si="125"/>
        <v>287.03264548950136</v>
      </c>
      <c r="DT156" s="62">
        <f ca="1">AVERAGE(OFFSET($DS$3,0,0,'Données projet'!$E$14+1,1))-AVERAGE(OFFSET($H$3,0,0,'Données projet'!$E$14+1,1))</f>
        <v>309.21625451786218</v>
      </c>
      <c r="DU156" s="62">
        <f t="shared" si="152"/>
        <v>302.59481222418219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-1.1368683772161603E-13</v>
      </c>
      <c r="EK156" s="18">
        <f>EJ156*VLOOKUP('Données projet'!$B$15,Paramètres!$A$1:$I$89,3,0)*VLOOKUP('Données projet'!$B$15,Paramètres!$A$1:$I$89,5,0)</f>
        <v>-9.9316821433603781E-14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298.56812743477741</v>
      </c>
      <c r="EP156" s="62">
        <f t="shared" si="154"/>
        <v>276.01618888357268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396.0878652679051</v>
      </c>
      <c r="FK156" s="62">
        <f t="shared" si="156"/>
        <v>327.26339199235406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9">
        <f t="shared" si="110"/>
        <v>183.33333333333334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-9.7543306765146564E-14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478.11504516179713</v>
      </c>
      <c r="T157" s="62">
        <f t="shared" si="142"/>
        <v>249.93713224442419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-4.5224624045658861E-14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394.49874384716014</v>
      </c>
      <c r="AO157" s="62">
        <f t="shared" si="144"/>
        <v>423.72519584013378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-4.5224624045658861E-14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394.49874384716014</v>
      </c>
      <c r="BJ157" s="62">
        <f t="shared" si="146"/>
        <v>423.72519584013378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-9.3464223027694966E-13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496.33873798282525</v>
      </c>
      <c r="CE157" s="62">
        <f t="shared" si="148"/>
        <v>280.25465074992246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5.4092197387944907E-14</v>
      </c>
      <c r="CV157" s="14">
        <f t="shared" si="173"/>
        <v>8.7287050538073676E-13</v>
      </c>
      <c r="CW157" s="22">
        <f t="shared" si="174"/>
        <v>1.6144600406554537E-12</v>
      </c>
      <c r="CX157" s="62">
        <f t="shared" si="122"/>
        <v>287.14194833736434</v>
      </c>
      <c r="CY157" s="62">
        <f ca="1">AVERAGE(OFFSET($CX$3,0,0,'Données projet'!$E$13+1,1))-AVERAGE(OFFSET($H$3,0,0,'Données projet'!$E$13+1,1))</f>
        <v>441.15969139782891</v>
      </c>
      <c r="CZ157" s="62">
        <f t="shared" si="150"/>
        <v>315.06466790224783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4.4337866711430253E-14</v>
      </c>
      <c r="DQ157" s="14">
        <f t="shared" si="176"/>
        <v>7.3222115536967035E-13</v>
      </c>
      <c r="DR157" s="22">
        <f t="shared" si="177"/>
        <v>1.3525069634579169E-12</v>
      </c>
      <c r="DS157" s="62">
        <f t="shared" si="125"/>
        <v>287.14194833736411</v>
      </c>
      <c r="DT157" s="62">
        <f ca="1">AVERAGE(OFFSET($DS$3,0,0,'Données projet'!$E$14+1,1))-AVERAGE(OFFSET($H$3,0,0,'Données projet'!$E$14+1,1))</f>
        <v>309.21625451786218</v>
      </c>
      <c r="DU157" s="62">
        <f t="shared" si="152"/>
        <v>302.59481222418219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-1.1368683772161603E-13</v>
      </c>
      <c r="EK157" s="18">
        <f>EJ157*VLOOKUP('Données projet'!$B$15,Paramètres!$A$1:$I$89,3,0)*VLOOKUP('Données projet'!$B$15,Paramètres!$A$1:$I$89,5,0)</f>
        <v>-9.9316821433603781E-14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298.56812743477741</v>
      </c>
      <c r="EP157" s="62">
        <f t="shared" si="154"/>
        <v>276.01618888357268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396.0878652679051</v>
      </c>
      <c r="FK157" s="62">
        <f t="shared" si="156"/>
        <v>327.26339199235406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9">
        <f t="shared" si="110"/>
        <v>183.33333333333334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-9.7543306765146564E-14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478.11504516179713</v>
      </c>
      <c r="T158" s="62">
        <f t="shared" si="142"/>
        <v>249.93713224442419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-4.5224624045658861E-14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394.49874384716014</v>
      </c>
      <c r="AO158" s="62">
        <f t="shared" si="144"/>
        <v>423.72519584013378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-4.5224624045658861E-14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394.49874384716014</v>
      </c>
      <c r="BJ158" s="62">
        <f t="shared" si="146"/>
        <v>423.72519584013378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-9.3464223027694966E-13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496.33873798282525</v>
      </c>
      <c r="CE158" s="62">
        <f t="shared" si="148"/>
        <v>280.25465074992246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5.4092197387944907E-14</v>
      </c>
      <c r="CV158" s="14">
        <f t="shared" si="173"/>
        <v>8.7287050538073676E-13</v>
      </c>
      <c r="CW158" s="22">
        <f t="shared" si="174"/>
        <v>1.6144600406554537E-12</v>
      </c>
      <c r="CX158" s="62">
        <f t="shared" si="122"/>
        <v>287.24935502518127</v>
      </c>
      <c r="CY158" s="62">
        <f ca="1">AVERAGE(OFFSET($CX$3,0,0,'Données projet'!$E$13+1,1))-AVERAGE(OFFSET($H$3,0,0,'Données projet'!$E$13+1,1))</f>
        <v>441.15969139782891</v>
      </c>
      <c r="CZ158" s="62">
        <f t="shared" si="150"/>
        <v>315.06466790224783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4.4337866711430253E-14</v>
      </c>
      <c r="DQ158" s="14">
        <f t="shared" si="176"/>
        <v>7.3222115536967035E-13</v>
      </c>
      <c r="DR158" s="22">
        <f t="shared" si="177"/>
        <v>1.3525069634579169E-12</v>
      </c>
      <c r="DS158" s="62">
        <f t="shared" si="125"/>
        <v>287.24935502518105</v>
      </c>
      <c r="DT158" s="62">
        <f ca="1">AVERAGE(OFFSET($DS$3,0,0,'Données projet'!$E$14+1,1))-AVERAGE(OFFSET($H$3,0,0,'Données projet'!$E$14+1,1))</f>
        <v>309.21625451786218</v>
      </c>
      <c r="DU158" s="62">
        <f t="shared" si="152"/>
        <v>302.59481222418219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-1.1368683772161603E-13</v>
      </c>
      <c r="EK158" s="18">
        <f>EJ158*VLOOKUP('Données projet'!$B$15,Paramètres!$A$1:$I$89,3,0)*VLOOKUP('Données projet'!$B$15,Paramètres!$A$1:$I$89,5,0)</f>
        <v>-9.9316821433603781E-14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298.56812743477741</v>
      </c>
      <c r="EP158" s="62">
        <f t="shared" si="154"/>
        <v>276.01618888357268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396.0878652679051</v>
      </c>
      <c r="FK158" s="62">
        <f t="shared" si="156"/>
        <v>327.26339199235406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9">
        <f t="shared" si="110"/>
        <v>183.33333333333334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-9.7543306765146564E-14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478.11504516179713</v>
      </c>
      <c r="T159" s="62">
        <f t="shared" si="142"/>
        <v>249.93713224442419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-4.5224624045658861E-14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394.49874384716014</v>
      </c>
      <c r="AO159" s="62">
        <f t="shared" si="144"/>
        <v>423.72519584013378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-4.5224624045658861E-14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394.49874384716014</v>
      </c>
      <c r="BJ159" s="62">
        <f t="shared" si="146"/>
        <v>423.72519584013378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-9.3464223027694966E-13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496.33873798282525</v>
      </c>
      <c r="CE159" s="62">
        <f t="shared" si="148"/>
        <v>280.25465074992246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5.4092197387944907E-14</v>
      </c>
      <c r="CV159" s="14">
        <f t="shared" si="173"/>
        <v>8.7287050538073676E-13</v>
      </c>
      <c r="CW159" s="22">
        <f t="shared" si="174"/>
        <v>1.6144600406554537E-12</v>
      </c>
      <c r="CX159" s="62">
        <f t="shared" si="122"/>
        <v>287.35489844708991</v>
      </c>
      <c r="CY159" s="62">
        <f ca="1">AVERAGE(OFFSET($CX$3,0,0,'Données projet'!$E$13+1,1))-AVERAGE(OFFSET($H$3,0,0,'Données projet'!$E$13+1,1))</f>
        <v>441.15969139782891</v>
      </c>
      <c r="CZ159" s="62">
        <f t="shared" si="150"/>
        <v>315.06466790224783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4.4337866711430253E-14</v>
      </c>
      <c r="DQ159" s="14">
        <f t="shared" si="176"/>
        <v>7.3222115536967035E-13</v>
      </c>
      <c r="DR159" s="22">
        <f t="shared" si="177"/>
        <v>1.3525069634579169E-12</v>
      </c>
      <c r="DS159" s="62">
        <f t="shared" si="125"/>
        <v>287.35489844708968</v>
      </c>
      <c r="DT159" s="62">
        <f ca="1">AVERAGE(OFFSET($DS$3,0,0,'Données projet'!$E$14+1,1))-AVERAGE(OFFSET($H$3,0,0,'Données projet'!$E$14+1,1))</f>
        <v>309.21625451786218</v>
      </c>
      <c r="DU159" s="62">
        <f t="shared" si="152"/>
        <v>302.59481222418219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-1.1368683772161603E-13</v>
      </c>
      <c r="EK159" s="18">
        <f>EJ159*VLOOKUP('Données projet'!$B$15,Paramètres!$A$1:$I$89,3,0)*VLOOKUP('Données projet'!$B$15,Paramètres!$A$1:$I$89,5,0)</f>
        <v>-9.9316821433603781E-14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298.56812743477741</v>
      </c>
      <c r="EP159" s="62">
        <f t="shared" si="154"/>
        <v>276.01618888357268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396.0878652679051</v>
      </c>
      <c r="FK159" s="62">
        <f t="shared" si="156"/>
        <v>327.26339199235406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9">
        <f t="shared" si="110"/>
        <v>183.33333333333334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-9.7543306765146564E-14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478.11504516179713</v>
      </c>
      <c r="T160" s="62">
        <f t="shared" si="142"/>
        <v>249.93713224442419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-4.5224624045658861E-14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394.49874384716014</v>
      </c>
      <c r="AO160" s="62">
        <f t="shared" si="144"/>
        <v>423.72519584013378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-4.5224624045658861E-14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394.49874384716014</v>
      </c>
      <c r="BJ160" s="62">
        <f t="shared" si="146"/>
        <v>423.72519584013378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-9.3464223027694966E-13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496.33873798282525</v>
      </c>
      <c r="CE160" s="62">
        <f t="shared" si="148"/>
        <v>280.25465074992246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5.4092197387944907E-14</v>
      </c>
      <c r="CV160" s="14">
        <f t="shared" si="173"/>
        <v>8.7287050538073676E-13</v>
      </c>
      <c r="CW160" s="22">
        <f t="shared" si="174"/>
        <v>1.6144600406554537E-12</v>
      </c>
      <c r="CX160" s="62">
        <f t="shared" si="122"/>
        <v>287.45861092658816</v>
      </c>
      <c r="CY160" s="62">
        <f ca="1">AVERAGE(OFFSET($CX$3,0,0,'Données projet'!$E$13+1,1))-AVERAGE(OFFSET($H$3,0,0,'Données projet'!$E$13+1,1))</f>
        <v>441.15969139782891</v>
      </c>
      <c r="CZ160" s="62">
        <f t="shared" si="150"/>
        <v>315.06466790224783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4.4337866711430253E-14</v>
      </c>
      <c r="DQ160" s="14">
        <f t="shared" si="176"/>
        <v>7.3222115536967035E-13</v>
      </c>
      <c r="DR160" s="22">
        <f t="shared" si="177"/>
        <v>1.3525069634579169E-12</v>
      </c>
      <c r="DS160" s="62">
        <f t="shared" si="125"/>
        <v>287.45861092658794</v>
      </c>
      <c r="DT160" s="62">
        <f ca="1">AVERAGE(OFFSET($DS$3,0,0,'Données projet'!$E$14+1,1))-AVERAGE(OFFSET($H$3,0,0,'Données projet'!$E$14+1,1))</f>
        <v>309.21625451786218</v>
      </c>
      <c r="DU160" s="62">
        <f t="shared" si="152"/>
        <v>302.59481222418219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-1.1368683772161603E-13</v>
      </c>
      <c r="EK160" s="18">
        <f>EJ160*VLOOKUP('Données projet'!$B$15,Paramètres!$A$1:$I$89,3,0)*VLOOKUP('Données projet'!$B$15,Paramètres!$A$1:$I$89,5,0)</f>
        <v>-9.9316821433603781E-14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298.56812743477741</v>
      </c>
      <c r="EP160" s="62">
        <f t="shared" si="154"/>
        <v>276.01618888357268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396.0878652679051</v>
      </c>
      <c r="FK160" s="62">
        <f t="shared" si="156"/>
        <v>327.26339199235406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9">
        <f t="shared" si="110"/>
        <v>183.33333333333334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-9.7543306765146564E-14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478.11504516179713</v>
      </c>
      <c r="T161" s="62">
        <f t="shared" si="142"/>
        <v>249.93713224442419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-4.5224624045658861E-14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394.49874384716014</v>
      </c>
      <c r="AO161" s="62">
        <f t="shared" si="144"/>
        <v>423.72519584013378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-4.5224624045658861E-14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394.49874384716014</v>
      </c>
      <c r="BJ161" s="62">
        <f t="shared" si="146"/>
        <v>423.72519584013378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-9.3464223027694966E-13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496.33873798282525</v>
      </c>
      <c r="CE161" s="62">
        <f t="shared" si="148"/>
        <v>280.25465074992246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5.4092197387944907E-14</v>
      </c>
      <c r="CV161" s="14">
        <f t="shared" si="173"/>
        <v>8.7287050538073676E-13</v>
      </c>
      <c r="CW161" s="22">
        <f t="shared" si="174"/>
        <v>1.6144600406554537E-12</v>
      </c>
      <c r="CX161" s="62">
        <f t="shared" si="122"/>
        <v>287.56052422643359</v>
      </c>
      <c r="CY161" s="62">
        <f ca="1">AVERAGE(OFFSET($CX$3,0,0,'Données projet'!$E$13+1,1))-AVERAGE(OFFSET($H$3,0,0,'Données projet'!$E$13+1,1))</f>
        <v>441.15969139782891</v>
      </c>
      <c r="CZ161" s="62">
        <f t="shared" si="150"/>
        <v>315.06466790224783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4.4337866711430253E-14</v>
      </c>
      <c r="DQ161" s="14">
        <f t="shared" si="176"/>
        <v>7.3222115536967035E-13</v>
      </c>
      <c r="DR161" s="22">
        <f t="shared" si="177"/>
        <v>1.3525069634579169E-12</v>
      </c>
      <c r="DS161" s="62">
        <f t="shared" si="125"/>
        <v>287.56052422643336</v>
      </c>
      <c r="DT161" s="62">
        <f ca="1">AVERAGE(OFFSET($DS$3,0,0,'Données projet'!$E$14+1,1))-AVERAGE(OFFSET($H$3,0,0,'Données projet'!$E$14+1,1))</f>
        <v>309.21625451786218</v>
      </c>
      <c r="DU161" s="62">
        <f t="shared" si="152"/>
        <v>302.59481222418219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-1.1368683772161603E-13</v>
      </c>
      <c r="EK161" s="18">
        <f>EJ161*VLOOKUP('Données projet'!$B$15,Paramètres!$A$1:$I$89,3,0)*VLOOKUP('Données projet'!$B$15,Paramètres!$A$1:$I$89,5,0)</f>
        <v>-9.9316821433603781E-14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298.56812743477741</v>
      </c>
      <c r="EP161" s="62">
        <f t="shared" si="154"/>
        <v>276.01618888357268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396.0878652679051</v>
      </c>
      <c r="FK161" s="62">
        <f t="shared" si="156"/>
        <v>327.26339199235406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9">
        <f t="shared" si="110"/>
        <v>183.33333333333334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-9.7543306765146564E-14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478.11504516179713</v>
      </c>
      <c r="T162" s="62">
        <f t="shared" si="142"/>
        <v>249.93713224442419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-4.5224624045658861E-14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394.49874384716014</v>
      </c>
      <c r="AO162" s="62">
        <f t="shared" si="144"/>
        <v>423.72519584013378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-4.5224624045658861E-14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394.49874384716014</v>
      </c>
      <c r="BJ162" s="62">
        <f t="shared" si="146"/>
        <v>423.72519584013378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-9.3464223027694966E-13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496.33873798282525</v>
      </c>
      <c r="CE162" s="62">
        <f t="shared" si="148"/>
        <v>280.25465074992246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5.4092197387944907E-14</v>
      </c>
      <c r="CV162" s="14">
        <f t="shared" si="173"/>
        <v>8.7287050538073676E-13</v>
      </c>
      <c r="CW162" s="22">
        <f t="shared" si="174"/>
        <v>1.6144600406554537E-12</v>
      </c>
      <c r="CX162" s="62">
        <f t="shared" si="122"/>
        <v>287.66066955837056</v>
      </c>
      <c r="CY162" s="62">
        <f ca="1">AVERAGE(OFFSET($CX$3,0,0,'Données projet'!$E$13+1,1))-AVERAGE(OFFSET($H$3,0,0,'Données projet'!$E$13+1,1))</f>
        <v>441.15969139782891</v>
      </c>
      <c r="CZ162" s="62">
        <f t="shared" si="150"/>
        <v>315.06466790224783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4.4337866711430253E-14</v>
      </c>
      <c r="DQ162" s="14">
        <f t="shared" si="176"/>
        <v>7.3222115536967035E-13</v>
      </c>
      <c r="DR162" s="22">
        <f t="shared" si="177"/>
        <v>1.3525069634579169E-12</v>
      </c>
      <c r="DS162" s="62">
        <f t="shared" si="125"/>
        <v>287.66066955837033</v>
      </c>
      <c r="DT162" s="62">
        <f ca="1">AVERAGE(OFFSET($DS$3,0,0,'Données projet'!$E$14+1,1))-AVERAGE(OFFSET($H$3,0,0,'Données projet'!$E$14+1,1))</f>
        <v>309.21625451786218</v>
      </c>
      <c r="DU162" s="62">
        <f t="shared" si="152"/>
        <v>302.59481222418219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-1.1368683772161603E-13</v>
      </c>
      <c r="EK162" s="18">
        <f>EJ162*VLOOKUP('Données projet'!$B$15,Paramètres!$A$1:$I$89,3,0)*VLOOKUP('Données projet'!$B$15,Paramètres!$A$1:$I$89,5,0)</f>
        <v>-9.9316821433603781E-14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298.56812743477741</v>
      </c>
      <c r="EP162" s="62">
        <f t="shared" si="154"/>
        <v>276.01618888357268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396.0878652679051</v>
      </c>
      <c r="FK162" s="62">
        <f t="shared" si="156"/>
        <v>327.26339199235406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9">
        <f t="shared" si="110"/>
        <v>183.33333333333334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-9.7543306765146564E-14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478.11504516179713</v>
      </c>
      <c r="T163" s="62">
        <f t="shared" si="142"/>
        <v>249.93713224442419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-4.5224624045658861E-14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394.49874384716014</v>
      </c>
      <c r="AO163" s="62">
        <f t="shared" si="144"/>
        <v>423.72519584013378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-4.5224624045658861E-14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394.49874384716014</v>
      </c>
      <c r="BJ163" s="62">
        <f t="shared" si="146"/>
        <v>423.72519584013378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-9.3464223027694966E-13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496.33873798282525</v>
      </c>
      <c r="CE163" s="62">
        <f t="shared" si="148"/>
        <v>280.25465074992246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5.4092197387944907E-14</v>
      </c>
      <c r="CV163" s="14">
        <f t="shared" si="173"/>
        <v>8.7287050538073676E-13</v>
      </c>
      <c r="CW163" s="22">
        <f t="shared" si="174"/>
        <v>1.6144600406554537E-12</v>
      </c>
      <c r="CX163" s="62">
        <f t="shared" si="122"/>
        <v>287.75907759268995</v>
      </c>
      <c r="CY163" s="62">
        <f ca="1">AVERAGE(OFFSET($CX$3,0,0,'Données projet'!$E$13+1,1))-AVERAGE(OFFSET($H$3,0,0,'Données projet'!$E$13+1,1))</f>
        <v>441.15969139782891</v>
      </c>
      <c r="CZ163" s="62">
        <f t="shared" si="150"/>
        <v>315.06466790224783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4.4337866711430253E-14</v>
      </c>
      <c r="DQ163" s="14">
        <f t="shared" si="176"/>
        <v>7.3222115536967035E-13</v>
      </c>
      <c r="DR163" s="22">
        <f t="shared" si="177"/>
        <v>1.3525069634579169E-12</v>
      </c>
      <c r="DS163" s="62">
        <f t="shared" si="125"/>
        <v>287.75907759268972</v>
      </c>
      <c r="DT163" s="62">
        <f ca="1">AVERAGE(OFFSET($DS$3,0,0,'Données projet'!$E$14+1,1))-AVERAGE(OFFSET($H$3,0,0,'Données projet'!$E$14+1,1))</f>
        <v>309.21625451786218</v>
      </c>
      <c r="DU163" s="62">
        <f t="shared" si="152"/>
        <v>302.59481222418219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-1.1368683772161603E-13</v>
      </c>
      <c r="EK163" s="18">
        <f>EJ163*VLOOKUP('Données projet'!$B$15,Paramètres!$A$1:$I$89,3,0)*VLOOKUP('Données projet'!$B$15,Paramètres!$A$1:$I$89,5,0)</f>
        <v>-9.9316821433603781E-14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298.56812743477741</v>
      </c>
      <c r="EP163" s="62">
        <f t="shared" si="154"/>
        <v>276.01618888357268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396.0878652679051</v>
      </c>
      <c r="FK163" s="62">
        <f t="shared" si="156"/>
        <v>327.26339199235406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9">
        <f t="shared" si="110"/>
        <v>183.33333333333334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-9.7543306765146564E-14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478.11504516179713</v>
      </c>
      <c r="T164" s="62">
        <f t="shared" si="142"/>
        <v>249.93713224442419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-4.5224624045658861E-14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394.49874384716014</v>
      </c>
      <c r="AO164" s="62">
        <f t="shared" si="144"/>
        <v>423.72519584013378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-4.5224624045658861E-14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394.49874384716014</v>
      </c>
      <c r="BJ164" s="62">
        <f t="shared" si="146"/>
        <v>423.72519584013378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-9.3464223027694966E-13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496.33873798282525</v>
      </c>
      <c r="CE164" s="62">
        <f t="shared" si="148"/>
        <v>280.25465074992246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5.4092197387944907E-14</v>
      </c>
      <c r="CV164" s="14">
        <f t="shared" si="173"/>
        <v>8.7287050538073676E-13</v>
      </c>
      <c r="CW164" s="22">
        <f t="shared" si="174"/>
        <v>1.6144600406554537E-12</v>
      </c>
      <c r="CX164" s="62">
        <f t="shared" si="122"/>
        <v>287.85577846762129</v>
      </c>
      <c r="CY164" s="62">
        <f ca="1">AVERAGE(OFFSET($CX$3,0,0,'Données projet'!$E$13+1,1))-AVERAGE(OFFSET($H$3,0,0,'Données projet'!$E$13+1,1))</f>
        <v>441.15969139782891</v>
      </c>
      <c r="CZ164" s="62">
        <f t="shared" si="150"/>
        <v>315.06466790224783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4.4337866711430253E-14</v>
      </c>
      <c r="DQ164" s="14">
        <f t="shared" si="176"/>
        <v>7.3222115536967035E-13</v>
      </c>
      <c r="DR164" s="22">
        <f t="shared" si="177"/>
        <v>1.3525069634579169E-12</v>
      </c>
      <c r="DS164" s="62">
        <f t="shared" si="125"/>
        <v>287.85577846762106</v>
      </c>
      <c r="DT164" s="62">
        <f ca="1">AVERAGE(OFFSET($DS$3,0,0,'Données projet'!$E$14+1,1))-AVERAGE(OFFSET($H$3,0,0,'Données projet'!$E$14+1,1))</f>
        <v>309.21625451786218</v>
      </c>
      <c r="DU164" s="62">
        <f t="shared" si="152"/>
        <v>302.59481222418219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-1.1368683772161603E-13</v>
      </c>
      <c r="EK164" s="18">
        <f>EJ164*VLOOKUP('Données projet'!$B$15,Paramètres!$A$1:$I$89,3,0)*VLOOKUP('Données projet'!$B$15,Paramètres!$A$1:$I$89,5,0)</f>
        <v>-9.9316821433603781E-14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298.56812743477741</v>
      </c>
      <c r="EP164" s="62">
        <f t="shared" si="154"/>
        <v>276.01618888357268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396.0878652679051</v>
      </c>
      <c r="FK164" s="62">
        <f t="shared" si="156"/>
        <v>327.26339199235406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9">
        <f t="shared" si="110"/>
        <v>183.33333333333334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-9.7543306765146564E-14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478.11504516179713</v>
      </c>
      <c r="T165" s="62">
        <f t="shared" si="142"/>
        <v>249.93713224442419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-4.5224624045658861E-14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394.49874384716014</v>
      </c>
      <c r="AO165" s="62">
        <f t="shared" si="144"/>
        <v>423.72519584013378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-4.5224624045658861E-14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394.49874384716014</v>
      </c>
      <c r="BJ165" s="62">
        <f t="shared" si="146"/>
        <v>423.72519584013378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-9.3464223027694966E-13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496.33873798282525</v>
      </c>
      <c r="CE165" s="62">
        <f t="shared" si="148"/>
        <v>280.25465074992246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5.4092197387944907E-14</v>
      </c>
      <c r="CV165" s="14">
        <f t="shared" si="173"/>
        <v>8.7287050538073676E-13</v>
      </c>
      <c r="CW165" s="22">
        <f t="shared" si="174"/>
        <v>1.6144600406554537E-12</v>
      </c>
      <c r="CX165" s="62">
        <f t="shared" si="122"/>
        <v>287.9508017985633</v>
      </c>
      <c r="CY165" s="62">
        <f ca="1">AVERAGE(OFFSET($CX$3,0,0,'Données projet'!$E$13+1,1))-AVERAGE(OFFSET($H$3,0,0,'Données projet'!$E$13+1,1))</f>
        <v>441.15969139782891</v>
      </c>
      <c r="CZ165" s="62">
        <f t="shared" si="150"/>
        <v>315.06466790224783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4.4337866711430253E-14</v>
      </c>
      <c r="DQ165" s="14">
        <f t="shared" si="176"/>
        <v>7.3222115536967035E-13</v>
      </c>
      <c r="DR165" s="22">
        <f t="shared" si="177"/>
        <v>1.3525069634579169E-12</v>
      </c>
      <c r="DS165" s="62">
        <f t="shared" si="125"/>
        <v>287.95080179856308</v>
      </c>
      <c r="DT165" s="62">
        <f ca="1">AVERAGE(OFFSET($DS$3,0,0,'Données projet'!$E$14+1,1))-AVERAGE(OFFSET($H$3,0,0,'Données projet'!$E$14+1,1))</f>
        <v>309.21625451786218</v>
      </c>
      <c r="DU165" s="62">
        <f t="shared" si="152"/>
        <v>302.59481222418219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-1.1368683772161603E-13</v>
      </c>
      <c r="EK165" s="18">
        <f>EJ165*VLOOKUP('Données projet'!$B$15,Paramètres!$A$1:$I$89,3,0)*VLOOKUP('Données projet'!$B$15,Paramètres!$A$1:$I$89,5,0)</f>
        <v>-9.9316821433603781E-14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298.56812743477741</v>
      </c>
      <c r="EP165" s="62">
        <f t="shared" si="154"/>
        <v>276.01618888357268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396.0878652679051</v>
      </c>
      <c r="FK165" s="62">
        <f t="shared" si="156"/>
        <v>327.26339199235406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9">
        <f t="shared" si="110"/>
        <v>183.33333333333334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-9.7543306765146564E-14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478.11504516179713</v>
      </c>
      <c r="T166" s="62">
        <f t="shared" si="142"/>
        <v>249.93713224442419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-4.5224624045658861E-14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394.49874384716014</v>
      </c>
      <c r="AO166" s="62">
        <f t="shared" si="144"/>
        <v>423.72519584013378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-4.5224624045658861E-14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394.49874384716014</v>
      </c>
      <c r="BJ166" s="62">
        <f t="shared" si="146"/>
        <v>423.72519584013378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-9.3464223027694966E-13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496.33873798282525</v>
      </c>
      <c r="CE166" s="62">
        <f t="shared" si="148"/>
        <v>280.25465074992246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5.4092197387944907E-14</v>
      </c>
      <c r="CV166" s="14">
        <f t="shared" si="173"/>
        <v>8.7287050538073676E-13</v>
      </c>
      <c r="CW166" s="22">
        <f t="shared" si="174"/>
        <v>1.6144600406554537E-12</v>
      </c>
      <c r="CX166" s="62">
        <f t="shared" si="122"/>
        <v>288.04417668715382</v>
      </c>
      <c r="CY166" s="62">
        <f ca="1">AVERAGE(OFFSET($CX$3,0,0,'Données projet'!$E$13+1,1))-AVERAGE(OFFSET($H$3,0,0,'Données projet'!$E$13+1,1))</f>
        <v>441.15969139782891</v>
      </c>
      <c r="CZ166" s="62">
        <f t="shared" si="150"/>
        <v>315.06466790224783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4.4337866711430253E-14</v>
      </c>
      <c r="DQ166" s="14">
        <f t="shared" si="176"/>
        <v>7.3222115536967035E-13</v>
      </c>
      <c r="DR166" s="22">
        <f t="shared" si="177"/>
        <v>1.3525069634579169E-12</v>
      </c>
      <c r="DS166" s="62">
        <f t="shared" si="125"/>
        <v>288.04417668715359</v>
      </c>
      <c r="DT166" s="62">
        <f ca="1">AVERAGE(OFFSET($DS$3,0,0,'Données projet'!$E$14+1,1))-AVERAGE(OFFSET($H$3,0,0,'Données projet'!$E$14+1,1))</f>
        <v>309.21625451786218</v>
      </c>
      <c r="DU166" s="62">
        <f t="shared" si="152"/>
        <v>302.59481222418219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-1.1368683772161603E-13</v>
      </c>
      <c r="EK166" s="18">
        <f>EJ166*VLOOKUP('Données projet'!$B$15,Paramètres!$A$1:$I$89,3,0)*VLOOKUP('Données projet'!$B$15,Paramètres!$A$1:$I$89,5,0)</f>
        <v>-9.9316821433603781E-14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298.56812743477741</v>
      </c>
      <c r="EP166" s="62">
        <f t="shared" si="154"/>
        <v>276.01618888357268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396.0878652679051</v>
      </c>
      <c r="FK166" s="62">
        <f t="shared" si="156"/>
        <v>327.26339199235406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9">
        <f t="shared" si="110"/>
        <v>183.33333333333334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-9.7543306765146564E-14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478.11504516179713</v>
      </c>
      <c r="T167" s="62">
        <f t="shared" si="142"/>
        <v>249.93713224442419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-4.5224624045658861E-14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394.49874384716014</v>
      </c>
      <c r="AO167" s="62">
        <f t="shared" si="144"/>
        <v>423.72519584013378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-4.5224624045658861E-14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394.49874384716014</v>
      </c>
      <c r="BJ167" s="62">
        <f t="shared" si="146"/>
        <v>423.72519584013378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-9.3464223027694966E-13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496.33873798282525</v>
      </c>
      <c r="CE167" s="62">
        <f t="shared" si="148"/>
        <v>280.25465074992246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5.4092197387944907E-14</v>
      </c>
      <c r="CV167" s="14">
        <f t="shared" si="173"/>
        <v>8.7287050538073676E-13</v>
      </c>
      <c r="CW167" s="22">
        <f t="shared" si="174"/>
        <v>1.6144600406554537E-12</v>
      </c>
      <c r="CX167" s="62">
        <f t="shared" si="122"/>
        <v>288.13593173018228</v>
      </c>
      <c r="CY167" s="62">
        <f ca="1">AVERAGE(OFFSET($CX$3,0,0,'Données projet'!$E$13+1,1))-AVERAGE(OFFSET($H$3,0,0,'Données projet'!$E$13+1,1))</f>
        <v>441.15969139782891</v>
      </c>
      <c r="CZ167" s="62">
        <f t="shared" si="150"/>
        <v>315.06466790224783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4.4337866711430253E-14</v>
      </c>
      <c r="DQ167" s="14">
        <f t="shared" si="176"/>
        <v>7.3222115536967035E-13</v>
      </c>
      <c r="DR167" s="22">
        <f t="shared" si="177"/>
        <v>1.3525069634579169E-12</v>
      </c>
      <c r="DS167" s="62">
        <f t="shared" si="125"/>
        <v>288.13593173018205</v>
      </c>
      <c r="DT167" s="62">
        <f ca="1">AVERAGE(OFFSET($DS$3,0,0,'Données projet'!$E$14+1,1))-AVERAGE(OFFSET($H$3,0,0,'Données projet'!$E$14+1,1))</f>
        <v>309.21625451786218</v>
      </c>
      <c r="DU167" s="62">
        <f t="shared" si="152"/>
        <v>302.59481222418219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-1.1368683772161603E-13</v>
      </c>
      <c r="EK167" s="18">
        <f>EJ167*VLOOKUP('Données projet'!$B$15,Paramètres!$A$1:$I$89,3,0)*VLOOKUP('Données projet'!$B$15,Paramètres!$A$1:$I$89,5,0)</f>
        <v>-9.9316821433603781E-14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298.56812743477741</v>
      </c>
      <c r="EP167" s="62">
        <f t="shared" si="154"/>
        <v>276.01618888357268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396.0878652679051</v>
      </c>
      <c r="FK167" s="62">
        <f t="shared" si="156"/>
        <v>327.26339199235406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9">
        <f t="shared" si="110"/>
        <v>183.33333333333334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-9.7543306765146564E-14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478.11504516179713</v>
      </c>
      <c r="T168" s="62">
        <f t="shared" si="142"/>
        <v>249.93713224442419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-4.5224624045658861E-14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394.49874384716014</v>
      </c>
      <c r="AO168" s="62">
        <f t="shared" si="144"/>
        <v>423.72519584013378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-4.5224624045658861E-14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394.49874384716014</v>
      </c>
      <c r="BJ168" s="62">
        <f t="shared" si="146"/>
        <v>423.72519584013378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-9.3464223027694966E-13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496.33873798282525</v>
      </c>
      <c r="CE168" s="62">
        <f t="shared" si="148"/>
        <v>280.25465074992246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5.4092197387944907E-14</v>
      </c>
      <c r="CV168" s="14">
        <f t="shared" si="173"/>
        <v>8.7287050538073676E-13</v>
      </c>
      <c r="CW168" s="22">
        <f t="shared" si="174"/>
        <v>1.6144600406554537E-12</v>
      </c>
      <c r="CX168" s="62">
        <f t="shared" si="122"/>
        <v>288.22609502834774</v>
      </c>
      <c r="CY168" s="62">
        <f ca="1">AVERAGE(OFFSET($CX$3,0,0,'Données projet'!$E$13+1,1))-AVERAGE(OFFSET($H$3,0,0,'Données projet'!$E$13+1,1))</f>
        <v>441.15969139782891</v>
      </c>
      <c r="CZ168" s="62">
        <f t="shared" si="150"/>
        <v>315.06466790224783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4.4337866711430253E-14</v>
      </c>
      <c r="DQ168" s="14">
        <f t="shared" si="176"/>
        <v>7.3222115536967035E-13</v>
      </c>
      <c r="DR168" s="22">
        <f t="shared" si="177"/>
        <v>1.3525069634579169E-12</v>
      </c>
      <c r="DS168" s="62">
        <f t="shared" si="125"/>
        <v>288.22609502834752</v>
      </c>
      <c r="DT168" s="62">
        <f ca="1">AVERAGE(OFFSET($DS$3,0,0,'Données projet'!$E$14+1,1))-AVERAGE(OFFSET($H$3,0,0,'Données projet'!$E$14+1,1))</f>
        <v>309.21625451786218</v>
      </c>
      <c r="DU168" s="62">
        <f t="shared" si="152"/>
        <v>302.59481222418219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-1.1368683772161603E-13</v>
      </c>
      <c r="EK168" s="18">
        <f>EJ168*VLOOKUP('Données projet'!$B$15,Paramètres!$A$1:$I$89,3,0)*VLOOKUP('Données projet'!$B$15,Paramètres!$A$1:$I$89,5,0)</f>
        <v>-9.9316821433603781E-14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298.56812743477741</v>
      </c>
      <c r="EP168" s="62">
        <f t="shared" si="154"/>
        <v>276.01618888357268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396.0878652679051</v>
      </c>
      <c r="FK168" s="62">
        <f t="shared" si="156"/>
        <v>327.26339199235406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9">
        <f t="shared" si="110"/>
        <v>183.33333333333334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-9.7543306765146564E-14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478.11504516179713</v>
      </c>
      <c r="T169" s="62">
        <f t="shared" si="142"/>
        <v>249.93713224442419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-4.5224624045658861E-14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394.49874384716014</v>
      </c>
      <c r="AO169" s="62">
        <f t="shared" si="144"/>
        <v>423.72519584013378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-4.5224624045658861E-14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394.49874384716014</v>
      </c>
      <c r="BJ169" s="62">
        <f t="shared" si="146"/>
        <v>423.72519584013378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-9.3464223027694966E-13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496.33873798282525</v>
      </c>
      <c r="CE169" s="62">
        <f t="shared" si="148"/>
        <v>280.25465074992246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5.4092197387944907E-14</v>
      </c>
      <c r="CV169" s="14">
        <f t="shared" si="173"/>
        <v>8.7287050538073676E-13</v>
      </c>
      <c r="CW169" s="22">
        <f t="shared" si="174"/>
        <v>1.6144600406554537E-12</v>
      </c>
      <c r="CX169" s="62">
        <f t="shared" si="122"/>
        <v>288.31469419486501</v>
      </c>
      <c r="CY169" s="62">
        <f ca="1">AVERAGE(OFFSET($CX$3,0,0,'Données projet'!$E$13+1,1))-AVERAGE(OFFSET($H$3,0,0,'Données projet'!$E$13+1,1))</f>
        <v>441.15969139782891</v>
      </c>
      <c r="CZ169" s="62">
        <f t="shared" si="150"/>
        <v>315.06466790224783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4.4337866711430253E-14</v>
      </c>
      <c r="DQ169" s="14">
        <f t="shared" si="176"/>
        <v>7.3222115536967035E-13</v>
      </c>
      <c r="DR169" s="22">
        <f t="shared" si="177"/>
        <v>1.3525069634579169E-12</v>
      </c>
      <c r="DS169" s="62">
        <f t="shared" si="125"/>
        <v>288.31469419486479</v>
      </c>
      <c r="DT169" s="62">
        <f ca="1">AVERAGE(OFFSET($DS$3,0,0,'Données projet'!$E$14+1,1))-AVERAGE(OFFSET($H$3,0,0,'Données projet'!$E$14+1,1))</f>
        <v>309.21625451786218</v>
      </c>
      <c r="DU169" s="62">
        <f t="shared" si="152"/>
        <v>302.59481222418219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-1.1368683772161603E-13</v>
      </c>
      <c r="EK169" s="18">
        <f>EJ169*VLOOKUP('Données projet'!$B$15,Paramètres!$A$1:$I$89,3,0)*VLOOKUP('Données projet'!$B$15,Paramètres!$A$1:$I$89,5,0)</f>
        <v>-9.9316821433603781E-14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298.56812743477741</v>
      </c>
      <c r="EP169" s="62">
        <f t="shared" si="154"/>
        <v>276.01618888357268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396.0878652679051</v>
      </c>
      <c r="FK169" s="62">
        <f t="shared" si="156"/>
        <v>327.26339199235406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9">
        <f t="shared" si="110"/>
        <v>183.33333333333334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-9.7543306765146564E-14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478.11504516179713</v>
      </c>
      <c r="T170" s="62">
        <f t="shared" si="142"/>
        <v>249.93713224442419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-4.5224624045658861E-14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394.49874384716014</v>
      </c>
      <c r="AO170" s="62">
        <f t="shared" si="144"/>
        <v>423.72519584013378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-4.5224624045658861E-14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394.49874384716014</v>
      </c>
      <c r="BJ170" s="62">
        <f t="shared" si="146"/>
        <v>423.72519584013378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-9.3464223027694966E-13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496.33873798282525</v>
      </c>
      <c r="CE170" s="62">
        <f t="shared" si="148"/>
        <v>280.25465074992246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5.4092197387944907E-14</v>
      </c>
      <c r="CV170" s="14">
        <f t="shared" si="173"/>
        <v>8.7287050538073676E-13</v>
      </c>
      <c r="CW170" s="22">
        <f t="shared" si="174"/>
        <v>1.6144600406554537E-12</v>
      </c>
      <c r="CX170" s="62">
        <f t="shared" si="122"/>
        <v>288.40175636392121</v>
      </c>
      <c r="CY170" s="62">
        <f ca="1">AVERAGE(OFFSET($CX$3,0,0,'Données projet'!$E$13+1,1))-AVERAGE(OFFSET($H$3,0,0,'Données projet'!$E$13+1,1))</f>
        <v>441.15969139782891</v>
      </c>
      <c r="CZ170" s="62">
        <f t="shared" si="150"/>
        <v>315.06466790224783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4.4337866711430253E-14</v>
      </c>
      <c r="DQ170" s="14">
        <f t="shared" si="176"/>
        <v>7.3222115536967035E-13</v>
      </c>
      <c r="DR170" s="22">
        <f t="shared" si="177"/>
        <v>1.3525069634579169E-12</v>
      </c>
      <c r="DS170" s="62">
        <f t="shared" si="125"/>
        <v>288.40175636392098</v>
      </c>
      <c r="DT170" s="62">
        <f ca="1">AVERAGE(OFFSET($DS$3,0,0,'Données projet'!$E$14+1,1))-AVERAGE(OFFSET($H$3,0,0,'Données projet'!$E$14+1,1))</f>
        <v>309.21625451786218</v>
      </c>
      <c r="DU170" s="62">
        <f t="shared" si="152"/>
        <v>302.59481222418219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-1.1368683772161603E-13</v>
      </c>
      <c r="EK170" s="18">
        <f>EJ170*VLOOKUP('Données projet'!$B$15,Paramètres!$A$1:$I$89,3,0)*VLOOKUP('Données projet'!$B$15,Paramètres!$A$1:$I$89,5,0)</f>
        <v>-9.9316821433603781E-14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298.56812743477741</v>
      </c>
      <c r="EP170" s="62">
        <f t="shared" si="154"/>
        <v>276.01618888357268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396.0878652679051</v>
      </c>
      <c r="FK170" s="62">
        <f t="shared" si="156"/>
        <v>327.26339199235406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9">
        <f t="shared" si="110"/>
        <v>183.33333333333334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-9.7543306765146564E-14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478.11504516179713</v>
      </c>
      <c r="T171" s="62">
        <f t="shared" si="142"/>
        <v>249.93713224442419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-4.5224624045658861E-14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394.49874384716014</v>
      </c>
      <c r="AO171" s="62">
        <f t="shared" si="144"/>
        <v>423.72519584013378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-4.5224624045658861E-14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394.49874384716014</v>
      </c>
      <c r="BJ171" s="62">
        <f t="shared" si="146"/>
        <v>423.72519584013378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-9.3464223027694966E-13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496.33873798282525</v>
      </c>
      <c r="CE171" s="62">
        <f t="shared" si="148"/>
        <v>280.25465074992246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5.4092197387944907E-14</v>
      </c>
      <c r="CV171" s="14">
        <f t="shared" si="173"/>
        <v>8.7287050538073676E-13</v>
      </c>
      <c r="CW171" s="22">
        <f t="shared" si="174"/>
        <v>1.6144600406554537E-12</v>
      </c>
      <c r="CX171" s="62">
        <f t="shared" si="122"/>
        <v>288.48730819898611</v>
      </c>
      <c r="CY171" s="62">
        <f ca="1">AVERAGE(OFFSET($CX$3,0,0,'Données projet'!$E$13+1,1))-AVERAGE(OFFSET($H$3,0,0,'Données projet'!$E$13+1,1))</f>
        <v>441.15969139782891</v>
      </c>
      <c r="CZ171" s="62">
        <f t="shared" si="150"/>
        <v>315.06466790224783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4.4337866711430253E-14</v>
      </c>
      <c r="DQ171" s="14">
        <f t="shared" si="176"/>
        <v>7.3222115536967035E-13</v>
      </c>
      <c r="DR171" s="22">
        <f t="shared" si="177"/>
        <v>1.3525069634579169E-12</v>
      </c>
      <c r="DS171" s="62">
        <f t="shared" si="125"/>
        <v>288.48730819898589</v>
      </c>
      <c r="DT171" s="62">
        <f ca="1">AVERAGE(OFFSET($DS$3,0,0,'Données projet'!$E$14+1,1))-AVERAGE(OFFSET($H$3,0,0,'Données projet'!$E$14+1,1))</f>
        <v>309.21625451786218</v>
      </c>
      <c r="DU171" s="62">
        <f t="shared" si="152"/>
        <v>302.59481222418219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-1.1368683772161603E-13</v>
      </c>
      <c r="EK171" s="18">
        <f>EJ171*VLOOKUP('Données projet'!$B$15,Paramètres!$A$1:$I$89,3,0)*VLOOKUP('Données projet'!$B$15,Paramètres!$A$1:$I$89,5,0)</f>
        <v>-9.9316821433603781E-14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298.56812743477741</v>
      </c>
      <c r="EP171" s="62">
        <f t="shared" si="154"/>
        <v>276.01618888357268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396.0878652679051</v>
      </c>
      <c r="FK171" s="62">
        <f t="shared" si="156"/>
        <v>327.26339199235406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9">
        <f t="shared" si="110"/>
        <v>183.33333333333334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-9.7543306765146564E-14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478.11504516179713</v>
      </c>
      <c r="T172" s="62">
        <f t="shared" si="142"/>
        <v>249.93713224442419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-4.5224624045658861E-14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394.49874384716014</v>
      </c>
      <c r="AO172" s="62">
        <f t="shared" si="144"/>
        <v>423.72519584013378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-4.5224624045658861E-14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394.49874384716014</v>
      </c>
      <c r="BJ172" s="62">
        <f t="shared" si="146"/>
        <v>423.72519584013378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-9.3464223027694966E-13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496.33873798282525</v>
      </c>
      <c r="CE172" s="62">
        <f t="shared" si="148"/>
        <v>280.25465074992246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5.4092197387944907E-14</v>
      </c>
      <c r="CV172" s="14">
        <f t="shared" si="173"/>
        <v>8.7287050538073676E-13</v>
      </c>
      <c r="CW172" s="22">
        <f t="shared" si="174"/>
        <v>1.6144600406554537E-12</v>
      </c>
      <c r="CX172" s="62">
        <f t="shared" si="122"/>
        <v>288.57137590097801</v>
      </c>
      <c r="CY172" s="62">
        <f ca="1">AVERAGE(OFFSET($CX$3,0,0,'Données projet'!$E$13+1,1))-AVERAGE(OFFSET($H$3,0,0,'Données projet'!$E$13+1,1))</f>
        <v>441.15969139782891</v>
      </c>
      <c r="CZ172" s="62">
        <f t="shared" si="150"/>
        <v>315.06466790224783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4.4337866711430253E-14</v>
      </c>
      <c r="DQ172" s="14">
        <f t="shared" si="176"/>
        <v>7.3222115536967035E-13</v>
      </c>
      <c r="DR172" s="22">
        <f t="shared" si="177"/>
        <v>1.3525069634579169E-12</v>
      </c>
      <c r="DS172" s="62">
        <f t="shared" si="125"/>
        <v>288.57137590097778</v>
      </c>
      <c r="DT172" s="62">
        <f ca="1">AVERAGE(OFFSET($DS$3,0,0,'Données projet'!$E$14+1,1))-AVERAGE(OFFSET($H$3,0,0,'Données projet'!$E$14+1,1))</f>
        <v>309.21625451786218</v>
      </c>
      <c r="DU172" s="62">
        <f t="shared" si="152"/>
        <v>302.59481222418219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-1.1368683772161603E-13</v>
      </c>
      <c r="EK172" s="18">
        <f>EJ172*VLOOKUP('Données projet'!$B$15,Paramètres!$A$1:$I$89,3,0)*VLOOKUP('Données projet'!$B$15,Paramètres!$A$1:$I$89,5,0)</f>
        <v>-9.9316821433603781E-14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298.56812743477741</v>
      </c>
      <c r="EP172" s="62">
        <f t="shared" si="154"/>
        <v>276.01618888357268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396.0878652679051</v>
      </c>
      <c r="FK172" s="62">
        <f t="shared" si="156"/>
        <v>327.26339199235406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9">
        <f t="shared" si="110"/>
        <v>183.33333333333334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-9.7543306765146564E-14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478.11504516179713</v>
      </c>
      <c r="T173" s="62">
        <f t="shared" si="142"/>
        <v>249.93713224442419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-4.5224624045658861E-14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394.49874384716014</v>
      </c>
      <c r="AO173" s="62">
        <f t="shared" si="144"/>
        <v>423.72519584013378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-4.5224624045658861E-14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394.49874384716014</v>
      </c>
      <c r="BJ173" s="62">
        <f t="shared" si="146"/>
        <v>423.72519584013378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-9.3464223027694966E-13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496.33873798282525</v>
      </c>
      <c r="CE173" s="62">
        <f t="shared" si="148"/>
        <v>280.25465074992246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5.4092197387944907E-14</v>
      </c>
      <c r="CV173" s="14">
        <f t="shared" si="173"/>
        <v>8.7287050538073676E-13</v>
      </c>
      <c r="CW173" s="22">
        <f t="shared" si="174"/>
        <v>1.6144600406554537E-12</v>
      </c>
      <c r="CX173" s="62">
        <f t="shared" si="122"/>
        <v>288.65398521628748</v>
      </c>
      <c r="CY173" s="62">
        <f ca="1">AVERAGE(OFFSET($CX$3,0,0,'Données projet'!$E$13+1,1))-AVERAGE(OFFSET($H$3,0,0,'Données projet'!$E$13+1,1))</f>
        <v>441.15969139782891</v>
      </c>
      <c r="CZ173" s="62">
        <f t="shared" si="150"/>
        <v>315.06466790224783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4.4337866711430253E-14</v>
      </c>
      <c r="DQ173" s="14">
        <f t="shared" si="176"/>
        <v>7.3222115536967035E-13</v>
      </c>
      <c r="DR173" s="22">
        <f t="shared" si="177"/>
        <v>1.3525069634579169E-12</v>
      </c>
      <c r="DS173" s="62">
        <f t="shared" si="125"/>
        <v>288.65398521628725</v>
      </c>
      <c r="DT173" s="62">
        <f ca="1">AVERAGE(OFFSET($DS$3,0,0,'Données projet'!$E$14+1,1))-AVERAGE(OFFSET($H$3,0,0,'Données projet'!$E$14+1,1))</f>
        <v>309.21625451786218</v>
      </c>
      <c r="DU173" s="62">
        <f t="shared" si="152"/>
        <v>302.59481222418219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-1.1368683772161603E-13</v>
      </c>
      <c r="EK173" s="18">
        <f>EJ173*VLOOKUP('Données projet'!$B$15,Paramètres!$A$1:$I$89,3,0)*VLOOKUP('Données projet'!$B$15,Paramètres!$A$1:$I$89,5,0)</f>
        <v>-9.9316821433603781E-14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298.56812743477741</v>
      </c>
      <c r="EP173" s="62">
        <f t="shared" si="154"/>
        <v>276.01618888357268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396.0878652679051</v>
      </c>
      <c r="FK173" s="62">
        <f t="shared" si="156"/>
        <v>327.26339199235406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9">
        <f t="shared" si="110"/>
        <v>183.33333333333334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-9.7543306765146564E-14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478.11504516179713</v>
      </c>
      <c r="T174" s="62">
        <f t="shared" si="142"/>
        <v>249.93713224442419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-4.5224624045658861E-14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394.49874384716014</v>
      </c>
      <c r="AO174" s="62">
        <f t="shared" si="144"/>
        <v>423.72519584013378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-4.5224624045658861E-14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394.49874384716014</v>
      </c>
      <c r="BJ174" s="62">
        <f t="shared" si="146"/>
        <v>423.72519584013378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-9.3464223027694966E-13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496.33873798282525</v>
      </c>
      <c r="CE174" s="62">
        <f t="shared" si="148"/>
        <v>280.25465074992246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5.4092197387944907E-14</v>
      </c>
      <c r="CV174" s="14">
        <f t="shared" si="173"/>
        <v>8.7287050538073676E-13</v>
      </c>
      <c r="CW174" s="22">
        <f t="shared" si="174"/>
        <v>1.6144600406554537E-12</v>
      </c>
      <c r="CX174" s="62">
        <f t="shared" si="122"/>
        <v>288.73516144466311</v>
      </c>
      <c r="CY174" s="62">
        <f ca="1">AVERAGE(OFFSET($CX$3,0,0,'Données projet'!$E$13+1,1))-AVERAGE(OFFSET($H$3,0,0,'Données projet'!$E$13+1,1))</f>
        <v>441.15969139782891</v>
      </c>
      <c r="CZ174" s="62">
        <f t="shared" si="150"/>
        <v>315.06466790224783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4.4337866711430253E-14</v>
      </c>
      <c r="DQ174" s="14">
        <f t="shared" si="176"/>
        <v>7.3222115536967035E-13</v>
      </c>
      <c r="DR174" s="22">
        <f t="shared" si="177"/>
        <v>1.3525069634579169E-12</v>
      </c>
      <c r="DS174" s="62">
        <f t="shared" si="125"/>
        <v>288.73516144466288</v>
      </c>
      <c r="DT174" s="62">
        <f ca="1">AVERAGE(OFFSET($DS$3,0,0,'Données projet'!$E$14+1,1))-AVERAGE(OFFSET($H$3,0,0,'Données projet'!$E$14+1,1))</f>
        <v>309.21625451786218</v>
      </c>
      <c r="DU174" s="62">
        <f t="shared" si="152"/>
        <v>302.59481222418219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-1.1368683772161603E-13</v>
      </c>
      <c r="EK174" s="18">
        <f>EJ174*VLOOKUP('Données projet'!$B$15,Paramètres!$A$1:$I$89,3,0)*VLOOKUP('Données projet'!$B$15,Paramètres!$A$1:$I$89,5,0)</f>
        <v>-9.9316821433603781E-14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298.56812743477741</v>
      </c>
      <c r="EP174" s="62">
        <f t="shared" si="154"/>
        <v>276.01618888357268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396.0878652679051</v>
      </c>
      <c r="FK174" s="62">
        <f t="shared" si="156"/>
        <v>327.26339199235406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9">
        <f t="shared" si="110"/>
        <v>183.33333333333334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-9.7543306765146564E-14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478.11504516179713</v>
      </c>
      <c r="T175" s="62">
        <f t="shared" si="142"/>
        <v>249.93713224442419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-4.5224624045658861E-14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394.49874384716014</v>
      </c>
      <c r="AO175" s="62">
        <f t="shared" si="144"/>
        <v>423.72519584013378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-4.5224624045658861E-14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394.49874384716014</v>
      </c>
      <c r="BJ175" s="62">
        <f t="shared" si="146"/>
        <v>423.72519584013378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-9.3464223027694966E-13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496.33873798282525</v>
      </c>
      <c r="CE175" s="62">
        <f t="shared" si="148"/>
        <v>280.25465074992246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5.4092197387944907E-14</v>
      </c>
      <c r="CV175" s="14">
        <f t="shared" si="173"/>
        <v>8.7287050538073676E-13</v>
      </c>
      <c r="CW175" s="22">
        <f t="shared" si="174"/>
        <v>1.6144600406554537E-12</v>
      </c>
      <c r="CX175" s="62">
        <f t="shared" si="122"/>
        <v>288.81492944695924</v>
      </c>
      <c r="CY175" s="62">
        <f ca="1">AVERAGE(OFFSET($CX$3,0,0,'Données projet'!$E$13+1,1))-AVERAGE(OFFSET($H$3,0,0,'Données projet'!$E$13+1,1))</f>
        <v>441.15969139782891</v>
      </c>
      <c r="CZ175" s="62">
        <f t="shared" si="150"/>
        <v>315.06466790224783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4.4337866711430253E-14</v>
      </c>
      <c r="DQ175" s="14">
        <f t="shared" si="176"/>
        <v>7.3222115536967035E-13</v>
      </c>
      <c r="DR175" s="22">
        <f t="shared" si="177"/>
        <v>1.3525069634579169E-12</v>
      </c>
      <c r="DS175" s="62">
        <f t="shared" si="125"/>
        <v>288.81492944695901</v>
      </c>
      <c r="DT175" s="62">
        <f ca="1">AVERAGE(OFFSET($DS$3,0,0,'Données projet'!$E$14+1,1))-AVERAGE(OFFSET($H$3,0,0,'Données projet'!$E$14+1,1))</f>
        <v>309.21625451786218</v>
      </c>
      <c r="DU175" s="62">
        <f t="shared" si="152"/>
        <v>302.59481222418219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-1.1368683772161603E-13</v>
      </c>
      <c r="EK175" s="18">
        <f>EJ175*VLOOKUP('Données projet'!$B$15,Paramètres!$A$1:$I$89,3,0)*VLOOKUP('Données projet'!$B$15,Paramètres!$A$1:$I$89,5,0)</f>
        <v>-9.9316821433603781E-14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298.56812743477741</v>
      </c>
      <c r="EP175" s="62">
        <f t="shared" si="154"/>
        <v>276.01618888357268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396.0878652679051</v>
      </c>
      <c r="FK175" s="62">
        <f t="shared" si="156"/>
        <v>327.26339199235406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9">
        <f t="shared" si="110"/>
        <v>183.33333333333334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-9.7543306765146564E-14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478.11504516179713</v>
      </c>
      <c r="T176" s="62">
        <f t="shared" si="142"/>
        <v>249.93713224442419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-4.5224624045658861E-14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394.49874384716014</v>
      </c>
      <c r="AO176" s="62">
        <f t="shared" si="144"/>
        <v>423.72519584013378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-4.5224624045658861E-14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394.49874384716014</v>
      </c>
      <c r="BJ176" s="62">
        <f t="shared" si="146"/>
        <v>423.72519584013378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-9.3464223027694966E-13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496.33873798282525</v>
      </c>
      <c r="CE176" s="62">
        <f t="shared" si="148"/>
        <v>280.25465074992246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5.4092197387944907E-14</v>
      </c>
      <c r="CV176" s="14">
        <f t="shared" si="173"/>
        <v>8.7287050538073676E-13</v>
      </c>
      <c r="CW176" s="22">
        <f t="shared" si="174"/>
        <v>1.6144600406554537E-12</v>
      </c>
      <c r="CX176" s="62">
        <f t="shared" si="122"/>
        <v>288.89331365275007</v>
      </c>
      <c r="CY176" s="62">
        <f ca="1">AVERAGE(OFFSET($CX$3,0,0,'Données projet'!$E$13+1,1))-AVERAGE(OFFSET($H$3,0,0,'Données projet'!$E$13+1,1))</f>
        <v>441.15969139782891</v>
      </c>
      <c r="CZ176" s="62">
        <f t="shared" si="150"/>
        <v>315.06466790224783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4.4337866711430253E-14</v>
      </c>
      <c r="DQ176" s="14">
        <f t="shared" si="176"/>
        <v>7.3222115536967035E-13</v>
      </c>
      <c r="DR176" s="22">
        <f t="shared" si="177"/>
        <v>1.3525069634579169E-12</v>
      </c>
      <c r="DS176" s="62">
        <f t="shared" si="125"/>
        <v>288.89331365274984</v>
      </c>
      <c r="DT176" s="62">
        <f ca="1">AVERAGE(OFFSET($DS$3,0,0,'Données projet'!$E$14+1,1))-AVERAGE(OFFSET($H$3,0,0,'Données projet'!$E$14+1,1))</f>
        <v>309.21625451786218</v>
      </c>
      <c r="DU176" s="62">
        <f t="shared" si="152"/>
        <v>302.59481222418219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-1.1368683772161603E-13</v>
      </c>
      <c r="EK176" s="18">
        <f>EJ176*VLOOKUP('Données projet'!$B$15,Paramètres!$A$1:$I$89,3,0)*VLOOKUP('Données projet'!$B$15,Paramètres!$A$1:$I$89,5,0)</f>
        <v>-9.9316821433603781E-14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298.56812743477741</v>
      </c>
      <c r="EP176" s="62">
        <f t="shared" si="154"/>
        <v>276.01618888357268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396.0878652679051</v>
      </c>
      <c r="FK176" s="62">
        <f t="shared" si="156"/>
        <v>327.26339199235406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9">
        <f t="shared" si="110"/>
        <v>183.33333333333334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-9.7543306765146564E-14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478.11504516179713</v>
      </c>
      <c r="T177" s="62">
        <f t="shared" si="142"/>
        <v>249.93713224442419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-4.5224624045658861E-14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394.49874384716014</v>
      </c>
      <c r="AO177" s="62">
        <f t="shared" si="144"/>
        <v>423.72519584013378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-4.5224624045658861E-14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394.49874384716014</v>
      </c>
      <c r="BJ177" s="62">
        <f t="shared" si="146"/>
        <v>423.72519584013378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-9.3464223027694966E-13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496.33873798282525</v>
      </c>
      <c r="CE177" s="62">
        <f t="shared" si="148"/>
        <v>280.25465074992246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5.4092197387944907E-14</v>
      </c>
      <c r="CV177" s="14">
        <f t="shared" si="173"/>
        <v>8.7287050538073676E-13</v>
      </c>
      <c r="CW177" s="22">
        <f t="shared" si="174"/>
        <v>1.6144600406554537E-12</v>
      </c>
      <c r="CX177" s="62">
        <f t="shared" si="122"/>
        <v>288.97033806781133</v>
      </c>
      <c r="CY177" s="62">
        <f ca="1">AVERAGE(OFFSET($CX$3,0,0,'Données projet'!$E$13+1,1))-AVERAGE(OFFSET($H$3,0,0,'Données projet'!$E$13+1,1))</f>
        <v>441.15969139782891</v>
      </c>
      <c r="CZ177" s="62">
        <f t="shared" si="150"/>
        <v>315.06466790224783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4.4337866711430253E-14</v>
      </c>
      <c r="DQ177" s="14">
        <f t="shared" si="176"/>
        <v>7.3222115536967035E-13</v>
      </c>
      <c r="DR177" s="22">
        <f t="shared" si="177"/>
        <v>1.3525069634579169E-12</v>
      </c>
      <c r="DS177" s="62">
        <f t="shared" si="125"/>
        <v>288.9703380678111</v>
      </c>
      <c r="DT177" s="62">
        <f ca="1">AVERAGE(OFFSET($DS$3,0,0,'Données projet'!$E$14+1,1))-AVERAGE(OFFSET($H$3,0,0,'Données projet'!$E$14+1,1))</f>
        <v>309.21625451786218</v>
      </c>
      <c r="DU177" s="62">
        <f t="shared" si="152"/>
        <v>302.59481222418219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-1.1368683772161603E-13</v>
      </c>
      <c r="EK177" s="18">
        <f>EJ177*VLOOKUP('Données projet'!$B$15,Paramètres!$A$1:$I$89,3,0)*VLOOKUP('Données projet'!$B$15,Paramètres!$A$1:$I$89,5,0)</f>
        <v>-9.9316821433603781E-14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298.56812743477741</v>
      </c>
      <c r="EP177" s="62">
        <f t="shared" si="154"/>
        <v>276.01618888357268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396.0878652679051</v>
      </c>
      <c r="FK177" s="62">
        <f t="shared" si="156"/>
        <v>327.26339199235406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9">
        <f t="shared" si="110"/>
        <v>183.33333333333334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-9.7543306765146564E-14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478.11504516179713</v>
      </c>
      <c r="T178" s="62">
        <f t="shared" si="142"/>
        <v>249.93713224442419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-4.5224624045658861E-14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394.49874384716014</v>
      </c>
      <c r="AO178" s="62">
        <f t="shared" si="144"/>
        <v>423.72519584013378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-4.5224624045658861E-14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394.49874384716014</v>
      </c>
      <c r="BJ178" s="62">
        <f t="shared" si="146"/>
        <v>423.72519584013378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-9.3464223027694966E-13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496.33873798282525</v>
      </c>
      <c r="CE178" s="62">
        <f t="shared" si="148"/>
        <v>280.25465074992246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5.4092197387944907E-14</v>
      </c>
      <c r="CV178" s="14">
        <f t="shared" si="173"/>
        <v>8.7287050538073676E-13</v>
      </c>
      <c r="CW178" s="22">
        <f t="shared" si="174"/>
        <v>1.6144600406554537E-12</v>
      </c>
      <c r="CX178" s="62">
        <f t="shared" si="122"/>
        <v>289.046026281472</v>
      </c>
      <c r="CY178" s="62">
        <f ca="1">AVERAGE(OFFSET($CX$3,0,0,'Données projet'!$E$13+1,1))-AVERAGE(OFFSET($H$3,0,0,'Données projet'!$E$13+1,1))</f>
        <v>441.15969139782891</v>
      </c>
      <c r="CZ178" s="62">
        <f t="shared" si="150"/>
        <v>315.06466790224783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4.4337866711430253E-14</v>
      </c>
      <c r="DQ178" s="14">
        <f t="shared" si="176"/>
        <v>7.3222115536967035E-13</v>
      </c>
      <c r="DR178" s="22">
        <f t="shared" si="177"/>
        <v>1.3525069634579169E-12</v>
      </c>
      <c r="DS178" s="62">
        <f t="shared" si="125"/>
        <v>289.04602628147177</v>
      </c>
      <c r="DT178" s="62">
        <f ca="1">AVERAGE(OFFSET($DS$3,0,0,'Données projet'!$E$14+1,1))-AVERAGE(OFFSET($H$3,0,0,'Données projet'!$E$14+1,1))</f>
        <v>309.21625451786218</v>
      </c>
      <c r="DU178" s="62">
        <f t="shared" si="152"/>
        <v>302.59481222418219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-1.1368683772161603E-13</v>
      </c>
      <c r="EK178" s="18">
        <f>EJ178*VLOOKUP('Données projet'!$B$15,Paramètres!$A$1:$I$89,3,0)*VLOOKUP('Données projet'!$B$15,Paramètres!$A$1:$I$89,5,0)</f>
        <v>-9.9316821433603781E-14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298.56812743477741</v>
      </c>
      <c r="EP178" s="62">
        <f t="shared" si="154"/>
        <v>276.01618888357268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396.0878652679051</v>
      </c>
      <c r="FK178" s="62">
        <f t="shared" si="156"/>
        <v>327.26339199235406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9">
        <f t="shared" si="110"/>
        <v>183.33333333333334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-9.7543306765146564E-14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478.11504516179713</v>
      </c>
      <c r="T179" s="62">
        <f t="shared" si="142"/>
        <v>249.93713224442419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-4.5224624045658861E-14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394.49874384716014</v>
      </c>
      <c r="AO179" s="62">
        <f t="shared" si="144"/>
        <v>423.72519584013378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-4.5224624045658861E-14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394.49874384716014</v>
      </c>
      <c r="BJ179" s="62">
        <f t="shared" si="146"/>
        <v>423.72519584013378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-9.3464223027694966E-13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496.33873798282525</v>
      </c>
      <c r="CE179" s="62">
        <f t="shared" si="148"/>
        <v>280.25465074992246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5.4092197387944907E-14</v>
      </c>
      <c r="CV179" s="14">
        <f t="shared" si="173"/>
        <v>8.7287050538073676E-13</v>
      </c>
      <c r="CW179" s="22">
        <f t="shared" si="174"/>
        <v>1.6144600406554537E-12</v>
      </c>
      <c r="CX179" s="62">
        <f t="shared" si="122"/>
        <v>289.12040147383919</v>
      </c>
      <c r="CY179" s="62">
        <f ca="1">AVERAGE(OFFSET($CX$3,0,0,'Données projet'!$E$13+1,1))-AVERAGE(OFFSET($H$3,0,0,'Données projet'!$E$13+1,1))</f>
        <v>441.15969139782891</v>
      </c>
      <c r="CZ179" s="62">
        <f t="shared" si="150"/>
        <v>315.06466790224783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4.4337866711430253E-14</v>
      </c>
      <c r="DQ179" s="14">
        <f t="shared" si="176"/>
        <v>7.3222115536967035E-13</v>
      </c>
      <c r="DR179" s="22">
        <f t="shared" si="177"/>
        <v>1.3525069634579169E-12</v>
      </c>
      <c r="DS179" s="62">
        <f t="shared" si="125"/>
        <v>289.12040147383897</v>
      </c>
      <c r="DT179" s="62">
        <f ca="1">AVERAGE(OFFSET($DS$3,0,0,'Données projet'!$E$14+1,1))-AVERAGE(OFFSET($H$3,0,0,'Données projet'!$E$14+1,1))</f>
        <v>309.21625451786218</v>
      </c>
      <c r="DU179" s="62">
        <f t="shared" si="152"/>
        <v>302.59481222418219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-1.1368683772161603E-13</v>
      </c>
      <c r="EK179" s="18">
        <f>EJ179*VLOOKUP('Données projet'!$B$15,Paramètres!$A$1:$I$89,3,0)*VLOOKUP('Données projet'!$B$15,Paramètres!$A$1:$I$89,5,0)</f>
        <v>-9.9316821433603781E-14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298.56812743477741</v>
      </c>
      <c r="EP179" s="62">
        <f t="shared" si="154"/>
        <v>276.01618888357268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396.0878652679051</v>
      </c>
      <c r="FK179" s="62">
        <f t="shared" si="156"/>
        <v>327.26339199235406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9">
        <f t="shared" si="110"/>
        <v>183.33333333333334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-9.7543306765146564E-14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478.11504516179713</v>
      </c>
      <c r="T180" s="62">
        <f t="shared" si="142"/>
        <v>249.93713224442419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-4.5224624045658861E-14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394.49874384716014</v>
      </c>
      <c r="AO180" s="62">
        <f t="shared" si="144"/>
        <v>423.72519584013378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-4.5224624045658861E-14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394.49874384716014</v>
      </c>
      <c r="BJ180" s="62">
        <f t="shared" si="146"/>
        <v>423.72519584013378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-9.3464223027694966E-13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496.33873798282525</v>
      </c>
      <c r="CE180" s="62">
        <f t="shared" si="148"/>
        <v>280.25465074992246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5.4092197387944907E-14</v>
      </c>
      <c r="CV180" s="14">
        <f t="shared" si="173"/>
        <v>8.7287050538073676E-13</v>
      </c>
      <c r="CW180" s="22">
        <f t="shared" si="174"/>
        <v>1.6144600406554537E-12</v>
      </c>
      <c r="CX180" s="62">
        <f t="shared" si="122"/>
        <v>289.19348642289685</v>
      </c>
      <c r="CY180" s="62">
        <f ca="1">AVERAGE(OFFSET($CX$3,0,0,'Données projet'!$E$13+1,1))-AVERAGE(OFFSET($H$3,0,0,'Données projet'!$E$13+1,1))</f>
        <v>441.15969139782891</v>
      </c>
      <c r="CZ180" s="62">
        <f t="shared" si="150"/>
        <v>315.06466790224783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4.4337866711430253E-14</v>
      </c>
      <c r="DQ180" s="14">
        <f t="shared" si="176"/>
        <v>7.3222115536967035E-13</v>
      </c>
      <c r="DR180" s="22">
        <f t="shared" si="177"/>
        <v>1.3525069634579169E-12</v>
      </c>
      <c r="DS180" s="62">
        <f t="shared" si="125"/>
        <v>289.19348642289663</v>
      </c>
      <c r="DT180" s="62">
        <f ca="1">AVERAGE(OFFSET($DS$3,0,0,'Données projet'!$E$14+1,1))-AVERAGE(OFFSET($H$3,0,0,'Données projet'!$E$14+1,1))</f>
        <v>309.21625451786218</v>
      </c>
      <c r="DU180" s="62">
        <f t="shared" si="152"/>
        <v>302.59481222418219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-1.1368683772161603E-13</v>
      </c>
      <c r="EK180" s="18">
        <f>EJ180*VLOOKUP('Données projet'!$B$15,Paramètres!$A$1:$I$89,3,0)*VLOOKUP('Données projet'!$B$15,Paramètres!$A$1:$I$89,5,0)</f>
        <v>-9.9316821433603781E-14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298.56812743477741</v>
      </c>
      <c r="EP180" s="62">
        <f t="shared" si="154"/>
        <v>276.01618888357268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396.0878652679051</v>
      </c>
      <c r="FK180" s="62">
        <f t="shared" si="156"/>
        <v>327.26339199235406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9">
        <f t="shared" si="110"/>
        <v>183.33333333333334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-9.7543306765146564E-14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478.11504516179713</v>
      </c>
      <c r="T181" s="62">
        <f t="shared" si="142"/>
        <v>249.93713224442419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-4.5224624045658861E-14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394.49874384716014</v>
      </c>
      <c r="AO181" s="62">
        <f t="shared" si="144"/>
        <v>423.72519584013378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-4.5224624045658861E-14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394.49874384716014</v>
      </c>
      <c r="BJ181" s="62">
        <f t="shared" si="146"/>
        <v>423.72519584013378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-9.3464223027694966E-13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496.33873798282525</v>
      </c>
      <c r="CE181" s="62">
        <f t="shared" si="148"/>
        <v>280.25465074992246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5.4092197387944907E-14</v>
      </c>
      <c r="CV181" s="14">
        <f t="shared" si="173"/>
        <v>8.7287050538073676E-13</v>
      </c>
      <c r="CW181" s="22">
        <f t="shared" si="174"/>
        <v>1.6144600406554537E-12</v>
      </c>
      <c r="CX181" s="62">
        <f t="shared" si="122"/>
        <v>289.26530351148176</v>
      </c>
      <c r="CY181" s="62">
        <f ca="1">AVERAGE(OFFSET($CX$3,0,0,'Données projet'!$E$13+1,1))-AVERAGE(OFFSET($H$3,0,0,'Données projet'!$E$13+1,1))</f>
        <v>441.15969139782891</v>
      </c>
      <c r="CZ181" s="62">
        <f t="shared" si="150"/>
        <v>315.06466790224783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4.4337866711430253E-14</v>
      </c>
      <c r="DQ181" s="14">
        <f t="shared" si="176"/>
        <v>7.3222115536967035E-13</v>
      </c>
      <c r="DR181" s="22">
        <f t="shared" si="177"/>
        <v>1.3525069634579169E-12</v>
      </c>
      <c r="DS181" s="62">
        <f t="shared" si="125"/>
        <v>289.26530351148153</v>
      </c>
      <c r="DT181" s="62">
        <f ca="1">AVERAGE(OFFSET($DS$3,0,0,'Données projet'!$E$14+1,1))-AVERAGE(OFFSET($H$3,0,0,'Données projet'!$E$14+1,1))</f>
        <v>309.21625451786218</v>
      </c>
      <c r="DU181" s="62">
        <f t="shared" si="152"/>
        <v>302.59481222418219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-1.1368683772161603E-13</v>
      </c>
      <c r="EK181" s="18">
        <f>EJ181*VLOOKUP('Données projet'!$B$15,Paramètres!$A$1:$I$89,3,0)*VLOOKUP('Données projet'!$B$15,Paramètres!$A$1:$I$89,5,0)</f>
        <v>-9.9316821433603781E-14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298.56812743477741</v>
      </c>
      <c r="EP181" s="62">
        <f t="shared" si="154"/>
        <v>276.01618888357268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396.0878652679051</v>
      </c>
      <c r="FK181" s="62">
        <f t="shared" si="156"/>
        <v>327.26339199235406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9">
        <f t="shared" si="110"/>
        <v>183.33333333333334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-9.7543306765146564E-14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478.11504516179713</v>
      </c>
      <c r="T182" s="62">
        <f t="shared" si="142"/>
        <v>249.93713224442419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-4.5224624045658861E-14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394.49874384716014</v>
      </c>
      <c r="AO182" s="62">
        <f t="shared" si="144"/>
        <v>423.72519584013378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-4.5224624045658861E-14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394.49874384716014</v>
      </c>
      <c r="BJ182" s="62">
        <f t="shared" si="146"/>
        <v>423.72519584013378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-9.3464223027694966E-13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496.33873798282525</v>
      </c>
      <c r="CE182" s="62">
        <f t="shared" si="148"/>
        <v>280.25465074992246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5.4092197387944907E-14</v>
      </c>
      <c r="CV182" s="14">
        <f t="shared" si="173"/>
        <v>8.7287050538073676E-13</v>
      </c>
      <c r="CW182" s="22">
        <f t="shared" si="174"/>
        <v>1.6144600406554537E-12</v>
      </c>
      <c r="CX182" s="62">
        <f t="shared" si="122"/>
        <v>289.33587473413871</v>
      </c>
      <c r="CY182" s="62">
        <f ca="1">AVERAGE(OFFSET($CX$3,0,0,'Données projet'!$E$13+1,1))-AVERAGE(OFFSET($H$3,0,0,'Données projet'!$E$13+1,1))</f>
        <v>441.15969139782891</v>
      </c>
      <c r="CZ182" s="62">
        <f t="shared" si="150"/>
        <v>315.06466790224783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4.4337866711430253E-14</v>
      </c>
      <c r="DQ182" s="14">
        <f t="shared" si="176"/>
        <v>7.3222115536967035E-13</v>
      </c>
      <c r="DR182" s="22">
        <f t="shared" si="177"/>
        <v>1.3525069634579169E-12</v>
      </c>
      <c r="DS182" s="62">
        <f t="shared" si="125"/>
        <v>289.33587473413849</v>
      </c>
      <c r="DT182" s="62">
        <f ca="1">AVERAGE(OFFSET($DS$3,0,0,'Données projet'!$E$14+1,1))-AVERAGE(OFFSET($H$3,0,0,'Données projet'!$E$14+1,1))</f>
        <v>309.21625451786218</v>
      </c>
      <c r="DU182" s="62">
        <f t="shared" si="152"/>
        <v>302.59481222418219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-1.1368683772161603E-13</v>
      </c>
      <c r="EK182" s="18">
        <f>EJ182*VLOOKUP('Données projet'!$B$15,Paramètres!$A$1:$I$89,3,0)*VLOOKUP('Données projet'!$B$15,Paramètres!$A$1:$I$89,5,0)</f>
        <v>-9.9316821433603781E-14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298.56812743477741</v>
      </c>
      <c r="EP182" s="62">
        <f t="shared" si="154"/>
        <v>276.01618888357268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396.0878652679051</v>
      </c>
      <c r="FK182" s="62">
        <f t="shared" si="156"/>
        <v>327.26339199235406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9">
        <f t="shared" si="110"/>
        <v>183.33333333333334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-9.7543306765146564E-14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478.11504516179713</v>
      </c>
      <c r="T183" s="62">
        <f t="shared" si="142"/>
        <v>249.93713224442419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-4.5224624045658861E-14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394.49874384716014</v>
      </c>
      <c r="AO183" s="62">
        <f t="shared" si="144"/>
        <v>423.72519584013378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-4.5224624045658861E-14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394.49874384716014</v>
      </c>
      <c r="BJ183" s="62">
        <f t="shared" si="146"/>
        <v>423.72519584013378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-9.3464223027694966E-13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496.33873798282525</v>
      </c>
      <c r="CE183" s="62">
        <f t="shared" si="148"/>
        <v>280.25465074992246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5.4092197387944907E-14</v>
      </c>
      <c r="CV183" s="14">
        <f t="shared" si="173"/>
        <v>8.7287050538073676E-13</v>
      </c>
      <c r="CW183" s="22">
        <f t="shared" si="174"/>
        <v>1.6144600406554537E-12</v>
      </c>
      <c r="CX183" s="62">
        <f t="shared" si="122"/>
        <v>289.40522170385623</v>
      </c>
      <c r="CY183" s="62">
        <f ca="1">AVERAGE(OFFSET($CX$3,0,0,'Données projet'!$E$13+1,1))-AVERAGE(OFFSET($H$3,0,0,'Données projet'!$E$13+1,1))</f>
        <v>441.15969139782891</v>
      </c>
      <c r="CZ183" s="62">
        <f t="shared" si="150"/>
        <v>315.06466790224783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4.4337866711430253E-14</v>
      </c>
      <c r="DQ183" s="14">
        <f t="shared" si="176"/>
        <v>7.3222115536967035E-13</v>
      </c>
      <c r="DR183" s="22">
        <f t="shared" si="177"/>
        <v>1.3525069634579169E-12</v>
      </c>
      <c r="DS183" s="62">
        <f t="shared" si="125"/>
        <v>289.405221703856</v>
      </c>
      <c r="DT183" s="62">
        <f ca="1">AVERAGE(OFFSET($DS$3,0,0,'Données projet'!$E$14+1,1))-AVERAGE(OFFSET($H$3,0,0,'Données projet'!$E$14+1,1))</f>
        <v>309.21625451786218</v>
      </c>
      <c r="DU183" s="62">
        <f t="shared" si="152"/>
        <v>302.59481222418219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-1.1368683772161603E-13</v>
      </c>
      <c r="EK183" s="18">
        <f>EJ183*VLOOKUP('Données projet'!$B$15,Paramètres!$A$1:$I$89,3,0)*VLOOKUP('Données projet'!$B$15,Paramètres!$A$1:$I$89,5,0)</f>
        <v>-9.9316821433603781E-14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298.56812743477741</v>
      </c>
      <c r="EP183" s="62">
        <f t="shared" si="154"/>
        <v>276.01618888357268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396.0878652679051</v>
      </c>
      <c r="FK183" s="62">
        <f t="shared" si="156"/>
        <v>327.26339199235406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9">
        <f t="shared" si="110"/>
        <v>183.33333333333334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-9.7543306765146564E-14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478.11504516179713</v>
      </c>
      <c r="T184" s="62">
        <f t="shared" si="142"/>
        <v>249.93713224442419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-4.5224624045658861E-14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394.49874384716014</v>
      </c>
      <c r="AO184" s="62">
        <f t="shared" si="144"/>
        <v>423.72519584013378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-4.5224624045658861E-14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394.49874384716014</v>
      </c>
      <c r="BJ184" s="62">
        <f t="shared" si="146"/>
        <v>423.72519584013378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-9.3464223027694966E-13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496.33873798282525</v>
      </c>
      <c r="CE184" s="62">
        <f t="shared" si="148"/>
        <v>280.25465074992246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5.4092197387944907E-14</v>
      </c>
      <c r="CV184" s="14">
        <f t="shared" si="173"/>
        <v>8.7287050538073676E-13</v>
      </c>
      <c r="CW184" s="22">
        <f t="shared" si="174"/>
        <v>1.6144600406554537E-12</v>
      </c>
      <c r="CX184" s="62">
        <f t="shared" si="122"/>
        <v>289.47336565868568</v>
      </c>
      <c r="CY184" s="62">
        <f ca="1">AVERAGE(OFFSET($CX$3,0,0,'Données projet'!$E$13+1,1))-AVERAGE(OFFSET($H$3,0,0,'Données projet'!$E$13+1,1))</f>
        <v>441.15969139782891</v>
      </c>
      <c r="CZ184" s="62">
        <f t="shared" si="150"/>
        <v>315.06466790224783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4.4337866711430253E-14</v>
      </c>
      <c r="DQ184" s="14">
        <f t="shared" si="176"/>
        <v>7.3222115536967035E-13</v>
      </c>
      <c r="DR184" s="22">
        <f t="shared" si="177"/>
        <v>1.3525069634579169E-12</v>
      </c>
      <c r="DS184" s="62">
        <f t="shared" si="125"/>
        <v>289.47336565868545</v>
      </c>
      <c r="DT184" s="62">
        <f ca="1">AVERAGE(OFFSET($DS$3,0,0,'Données projet'!$E$14+1,1))-AVERAGE(OFFSET($H$3,0,0,'Données projet'!$E$14+1,1))</f>
        <v>309.21625451786218</v>
      </c>
      <c r="DU184" s="62">
        <f t="shared" si="152"/>
        <v>302.59481222418219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-1.1368683772161603E-13</v>
      </c>
      <c r="EK184" s="18">
        <f>EJ184*VLOOKUP('Données projet'!$B$15,Paramètres!$A$1:$I$89,3,0)*VLOOKUP('Données projet'!$B$15,Paramètres!$A$1:$I$89,5,0)</f>
        <v>-9.9316821433603781E-14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298.56812743477741</v>
      </c>
      <c r="EP184" s="62">
        <f t="shared" si="154"/>
        <v>276.01618888357268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396.0878652679051</v>
      </c>
      <c r="FK184" s="62">
        <f t="shared" si="156"/>
        <v>327.26339199235406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9">
        <f t="shared" si="110"/>
        <v>183.33333333333334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-9.7543306765146564E-14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478.11504516179713</v>
      </c>
      <c r="T185" s="62">
        <f t="shared" si="142"/>
        <v>249.93713224442419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-4.5224624045658861E-14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394.49874384716014</v>
      </c>
      <c r="AO185" s="62">
        <f t="shared" si="144"/>
        <v>423.72519584013378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-4.5224624045658861E-14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394.49874384716014</v>
      </c>
      <c r="BJ185" s="62">
        <f t="shared" si="146"/>
        <v>423.72519584013378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-9.3464223027694966E-13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496.33873798282525</v>
      </c>
      <c r="CE185" s="62">
        <f t="shared" si="148"/>
        <v>280.25465074992246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5.4092197387944907E-14</v>
      </c>
      <c r="CV185" s="14">
        <f t="shared" si="173"/>
        <v>8.7287050538073676E-13</v>
      </c>
      <c r="CW185" s="22">
        <f t="shared" si="174"/>
        <v>1.6144600406554537E-12</v>
      </c>
      <c r="CX185" s="62">
        <f t="shared" si="122"/>
        <v>289.54032746824601</v>
      </c>
      <c r="CY185" s="62">
        <f ca="1">AVERAGE(OFFSET($CX$3,0,0,'Données projet'!$E$13+1,1))-AVERAGE(OFFSET($H$3,0,0,'Données projet'!$E$13+1,1))</f>
        <v>441.15969139782891</v>
      </c>
      <c r="CZ185" s="62">
        <f t="shared" si="150"/>
        <v>315.06466790224783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4.4337866711430253E-14</v>
      </c>
      <c r="DQ185" s="14">
        <f t="shared" si="176"/>
        <v>7.3222115536967035E-13</v>
      </c>
      <c r="DR185" s="22">
        <f t="shared" si="177"/>
        <v>1.3525069634579169E-12</v>
      </c>
      <c r="DS185" s="62">
        <f t="shared" si="125"/>
        <v>289.54032746824578</v>
      </c>
      <c r="DT185" s="62">
        <f ca="1">AVERAGE(OFFSET($DS$3,0,0,'Données projet'!$E$14+1,1))-AVERAGE(OFFSET($H$3,0,0,'Données projet'!$E$14+1,1))</f>
        <v>309.21625451786218</v>
      </c>
      <c r="DU185" s="62">
        <f t="shared" si="152"/>
        <v>302.59481222418219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-1.1368683772161603E-13</v>
      </c>
      <c r="EK185" s="18">
        <f>EJ185*VLOOKUP('Données projet'!$B$15,Paramètres!$A$1:$I$89,3,0)*VLOOKUP('Données projet'!$B$15,Paramètres!$A$1:$I$89,5,0)</f>
        <v>-9.9316821433603781E-14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298.56812743477741</v>
      </c>
      <c r="EP185" s="62">
        <f t="shared" si="154"/>
        <v>276.01618888357268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396.0878652679051</v>
      </c>
      <c r="FK185" s="62">
        <f t="shared" si="156"/>
        <v>327.26339199235406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9">
        <f t="shared" si="110"/>
        <v>183.33333333333334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-9.7543306765146564E-14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478.11504516179713</v>
      </c>
      <c r="T186" s="62">
        <f t="shared" si="142"/>
        <v>249.93713224442419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-4.5224624045658861E-14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394.49874384716014</v>
      </c>
      <c r="AO186" s="62">
        <f t="shared" si="144"/>
        <v>423.72519584013378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-4.5224624045658861E-14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394.49874384716014</v>
      </c>
      <c r="BJ186" s="62">
        <f t="shared" si="146"/>
        <v>423.72519584013378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-9.3464223027694966E-13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496.33873798282525</v>
      </c>
      <c r="CE186" s="62">
        <f t="shared" si="148"/>
        <v>280.25465074992246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5.4092197387944907E-14</v>
      </c>
      <c r="CV186" s="14">
        <f t="shared" si="173"/>
        <v>8.7287050538073676E-13</v>
      </c>
      <c r="CW186" s="22">
        <f t="shared" si="174"/>
        <v>1.6144600406554537E-12</v>
      </c>
      <c r="CX186" s="62">
        <f t="shared" si="122"/>
        <v>289.60612764011455</v>
      </c>
      <c r="CY186" s="62">
        <f ca="1">AVERAGE(OFFSET($CX$3,0,0,'Données projet'!$E$13+1,1))-AVERAGE(OFFSET($H$3,0,0,'Données projet'!$E$13+1,1))</f>
        <v>441.15969139782891</v>
      </c>
      <c r="CZ186" s="62">
        <f t="shared" si="150"/>
        <v>315.06466790224783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4.4337866711430253E-14</v>
      </c>
      <c r="DQ186" s="14">
        <f t="shared" si="176"/>
        <v>7.3222115536967035E-13</v>
      </c>
      <c r="DR186" s="22">
        <f t="shared" si="177"/>
        <v>1.3525069634579169E-12</v>
      </c>
      <c r="DS186" s="62">
        <f t="shared" si="125"/>
        <v>289.60612764011432</v>
      </c>
      <c r="DT186" s="62">
        <f ca="1">AVERAGE(OFFSET($DS$3,0,0,'Données projet'!$E$14+1,1))-AVERAGE(OFFSET($H$3,0,0,'Données projet'!$E$14+1,1))</f>
        <v>309.21625451786218</v>
      </c>
      <c r="DU186" s="62">
        <f t="shared" si="152"/>
        <v>302.59481222418219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-1.1368683772161603E-13</v>
      </c>
      <c r="EK186" s="18">
        <f>EJ186*VLOOKUP('Données projet'!$B$15,Paramètres!$A$1:$I$89,3,0)*VLOOKUP('Données projet'!$B$15,Paramètres!$A$1:$I$89,5,0)</f>
        <v>-9.9316821433603781E-14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298.56812743477741</v>
      </c>
      <c r="EP186" s="62">
        <f t="shared" si="154"/>
        <v>276.01618888357268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396.0878652679051</v>
      </c>
      <c r="FK186" s="62">
        <f t="shared" si="156"/>
        <v>327.26339199235406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9">
        <f t="shared" si="110"/>
        <v>183.33333333333334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-9.7543306765146564E-14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478.11504516179713</v>
      </c>
      <c r="T187" s="62">
        <f t="shared" si="142"/>
        <v>249.93713224442419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-4.5224624045658861E-14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394.49874384716014</v>
      </c>
      <c r="AO187" s="62">
        <f t="shared" si="144"/>
        <v>423.72519584013378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-4.5224624045658861E-14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394.49874384716014</v>
      </c>
      <c r="BJ187" s="62">
        <f t="shared" si="146"/>
        <v>423.72519584013378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-9.3464223027694966E-13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496.33873798282525</v>
      </c>
      <c r="CE187" s="62">
        <f t="shared" si="148"/>
        <v>280.25465074992246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5.4092197387944907E-14</v>
      </c>
      <c r="CV187" s="14">
        <f t="shared" si="173"/>
        <v>8.7287050538073676E-13</v>
      </c>
      <c r="CW187" s="22">
        <f t="shared" si="174"/>
        <v>1.6144600406554537E-12</v>
      </c>
      <c r="CX187" s="62">
        <f t="shared" si="122"/>
        <v>289.67078632610833</v>
      </c>
      <c r="CY187" s="62">
        <f ca="1">AVERAGE(OFFSET($CX$3,0,0,'Données projet'!$E$13+1,1))-AVERAGE(OFFSET($H$3,0,0,'Données projet'!$E$13+1,1))</f>
        <v>441.15969139782891</v>
      </c>
      <c r="CZ187" s="62">
        <f t="shared" si="150"/>
        <v>315.06466790224783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4.4337866711430253E-14</v>
      </c>
      <c r="DQ187" s="14">
        <f t="shared" si="176"/>
        <v>7.3222115536967035E-13</v>
      </c>
      <c r="DR187" s="22">
        <f t="shared" si="177"/>
        <v>1.3525069634579169E-12</v>
      </c>
      <c r="DS187" s="62">
        <f t="shared" si="125"/>
        <v>289.6707863261081</v>
      </c>
      <c r="DT187" s="62">
        <f ca="1">AVERAGE(OFFSET($DS$3,0,0,'Données projet'!$E$14+1,1))-AVERAGE(OFFSET($H$3,0,0,'Données projet'!$E$14+1,1))</f>
        <v>309.21625451786218</v>
      </c>
      <c r="DU187" s="62">
        <f t="shared" si="152"/>
        <v>302.59481222418219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-1.1368683772161603E-13</v>
      </c>
      <c r="EK187" s="18">
        <f>EJ187*VLOOKUP('Données projet'!$B$15,Paramètres!$A$1:$I$89,3,0)*VLOOKUP('Données projet'!$B$15,Paramètres!$A$1:$I$89,5,0)</f>
        <v>-9.9316821433603781E-14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298.56812743477741</v>
      </c>
      <c r="EP187" s="62">
        <f t="shared" si="154"/>
        <v>276.01618888357268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396.0878652679051</v>
      </c>
      <c r="FK187" s="62">
        <f t="shared" si="156"/>
        <v>327.26339199235406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9">
        <f t="shared" si="110"/>
        <v>183.33333333333334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-9.7543306765146564E-14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478.11504516179713</v>
      </c>
      <c r="T188" s="62">
        <f t="shared" si="142"/>
        <v>249.93713224442419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-4.5224624045658861E-14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394.49874384716014</v>
      </c>
      <c r="AO188" s="62">
        <f t="shared" si="144"/>
        <v>423.72519584013378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-4.5224624045658861E-14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394.49874384716014</v>
      </c>
      <c r="BJ188" s="62">
        <f t="shared" si="146"/>
        <v>423.72519584013378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-9.3464223027694966E-13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496.33873798282525</v>
      </c>
      <c r="CE188" s="62">
        <f t="shared" si="148"/>
        <v>280.25465074992246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5.4092197387944907E-14</v>
      </c>
      <c r="CV188" s="14">
        <f t="shared" si="173"/>
        <v>8.7287050538073676E-13</v>
      </c>
      <c r="CW188" s="22">
        <f t="shared" si="174"/>
        <v>1.6144600406554537E-12</v>
      </c>
      <c r="CX188" s="62">
        <f t="shared" si="122"/>
        <v>289.73432332845533</v>
      </c>
      <c r="CY188" s="62">
        <f ca="1">AVERAGE(OFFSET($CX$3,0,0,'Données projet'!$E$13+1,1))-AVERAGE(OFFSET($H$3,0,0,'Données projet'!$E$13+1,1))</f>
        <v>441.15969139782891</v>
      </c>
      <c r="CZ188" s="62">
        <f t="shared" si="150"/>
        <v>315.06466790224783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4.4337866711430253E-14</v>
      </c>
      <c r="DQ188" s="14">
        <f t="shared" si="176"/>
        <v>7.3222115536967035E-13</v>
      </c>
      <c r="DR188" s="22">
        <f t="shared" si="177"/>
        <v>1.3525069634579169E-12</v>
      </c>
      <c r="DS188" s="62">
        <f t="shared" si="125"/>
        <v>289.7343233284551</v>
      </c>
      <c r="DT188" s="62">
        <f ca="1">AVERAGE(OFFSET($DS$3,0,0,'Données projet'!$E$14+1,1))-AVERAGE(OFFSET($H$3,0,0,'Données projet'!$E$14+1,1))</f>
        <v>309.21625451786218</v>
      </c>
      <c r="DU188" s="62">
        <f t="shared" si="152"/>
        <v>302.59481222418219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-1.1368683772161603E-13</v>
      </c>
      <c r="EK188" s="18">
        <f>EJ188*VLOOKUP('Données projet'!$B$15,Paramètres!$A$1:$I$89,3,0)*VLOOKUP('Données projet'!$B$15,Paramètres!$A$1:$I$89,5,0)</f>
        <v>-9.9316821433603781E-14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298.56812743477741</v>
      </c>
      <c r="EP188" s="62">
        <f t="shared" si="154"/>
        <v>276.01618888357268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396.0878652679051</v>
      </c>
      <c r="FK188" s="62">
        <f t="shared" si="156"/>
        <v>327.26339199235406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9">
        <f t="shared" si="110"/>
        <v>183.33333333333334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-9.7543306765146564E-14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478.11504516179713</v>
      </c>
      <c r="T189" s="62">
        <f t="shared" si="142"/>
        <v>249.93713224442419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-4.5224624045658861E-14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394.49874384716014</v>
      </c>
      <c r="AO189" s="62">
        <f t="shared" si="144"/>
        <v>423.72519584013378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-4.5224624045658861E-14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394.49874384716014</v>
      </c>
      <c r="BJ189" s="62">
        <f t="shared" si="146"/>
        <v>423.72519584013378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-9.3464223027694966E-13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496.33873798282525</v>
      </c>
      <c r="CE189" s="62">
        <f t="shared" si="148"/>
        <v>280.25465074992246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5.4092197387944907E-14</v>
      </c>
      <c r="CV189" s="14">
        <f t="shared" si="173"/>
        <v>8.7287050538073676E-13</v>
      </c>
      <c r="CW189" s="22">
        <f t="shared" si="174"/>
        <v>1.6144600406554537E-12</v>
      </c>
      <c r="CX189" s="62">
        <f t="shared" si="122"/>
        <v>289.796758105859</v>
      </c>
      <c r="CY189" s="62">
        <f ca="1">AVERAGE(OFFSET($CX$3,0,0,'Données projet'!$E$13+1,1))-AVERAGE(OFFSET($H$3,0,0,'Données projet'!$E$13+1,1))</f>
        <v>441.15969139782891</v>
      </c>
      <c r="CZ189" s="62">
        <f t="shared" si="150"/>
        <v>315.06466790224783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4.4337866711430253E-14</v>
      </c>
      <c r="DQ189" s="14">
        <f t="shared" si="176"/>
        <v>7.3222115536967035E-13</v>
      </c>
      <c r="DR189" s="22">
        <f t="shared" si="177"/>
        <v>1.3525069634579169E-12</v>
      </c>
      <c r="DS189" s="62">
        <f t="shared" si="125"/>
        <v>289.79675810585877</v>
      </c>
      <c r="DT189" s="62">
        <f ca="1">AVERAGE(OFFSET($DS$3,0,0,'Données projet'!$E$14+1,1))-AVERAGE(OFFSET($H$3,0,0,'Données projet'!$E$14+1,1))</f>
        <v>309.21625451786218</v>
      </c>
      <c r="DU189" s="62">
        <f t="shared" si="152"/>
        <v>302.59481222418219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-1.1368683772161603E-13</v>
      </c>
      <c r="EK189" s="18">
        <f>EJ189*VLOOKUP('Données projet'!$B$15,Paramètres!$A$1:$I$89,3,0)*VLOOKUP('Données projet'!$B$15,Paramètres!$A$1:$I$89,5,0)</f>
        <v>-9.9316821433603781E-14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298.56812743477741</v>
      </c>
      <c r="EP189" s="62">
        <f t="shared" si="154"/>
        <v>276.01618888357268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396.0878652679051</v>
      </c>
      <c r="FK189" s="62">
        <f t="shared" si="156"/>
        <v>327.26339199235406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9">
        <f t="shared" si="110"/>
        <v>183.33333333333334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-9.7543306765146564E-14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478.11504516179713</v>
      </c>
      <c r="T190" s="62">
        <f t="shared" si="142"/>
        <v>249.93713224442419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-4.5224624045658861E-14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394.49874384716014</v>
      </c>
      <c r="AO190" s="62">
        <f t="shared" si="144"/>
        <v>423.72519584013378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-4.5224624045658861E-14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394.49874384716014</v>
      </c>
      <c r="BJ190" s="62">
        <f t="shared" si="146"/>
        <v>423.72519584013378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-9.3464223027694966E-13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496.33873798282525</v>
      </c>
      <c r="CE190" s="62">
        <f t="shared" si="148"/>
        <v>280.25465074992246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5.4092197387944907E-14</v>
      </c>
      <c r="CV190" s="14">
        <f t="shared" si="173"/>
        <v>8.7287050538073676E-13</v>
      </c>
      <c r="CW190" s="22">
        <f t="shared" si="174"/>
        <v>1.6144600406554537E-12</v>
      </c>
      <c r="CX190" s="62">
        <f t="shared" si="122"/>
        <v>289.858109779458</v>
      </c>
      <c r="CY190" s="62">
        <f ca="1">AVERAGE(OFFSET($CX$3,0,0,'Données projet'!$E$13+1,1))-AVERAGE(OFFSET($H$3,0,0,'Données projet'!$E$13+1,1))</f>
        <v>441.15969139782891</v>
      </c>
      <c r="CZ190" s="62">
        <f t="shared" si="150"/>
        <v>315.06466790224783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4.4337866711430253E-14</v>
      </c>
      <c r="DQ190" s="14">
        <f t="shared" si="176"/>
        <v>7.3222115536967035E-13</v>
      </c>
      <c r="DR190" s="22">
        <f t="shared" si="177"/>
        <v>1.3525069634579169E-12</v>
      </c>
      <c r="DS190" s="62">
        <f t="shared" si="125"/>
        <v>289.85810977945778</v>
      </c>
      <c r="DT190" s="62">
        <f ca="1">AVERAGE(OFFSET($DS$3,0,0,'Données projet'!$E$14+1,1))-AVERAGE(OFFSET($H$3,0,0,'Données projet'!$E$14+1,1))</f>
        <v>309.21625451786218</v>
      </c>
      <c r="DU190" s="62">
        <f t="shared" si="152"/>
        <v>302.59481222418219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-1.1368683772161603E-13</v>
      </c>
      <c r="EK190" s="18">
        <f>EJ190*VLOOKUP('Données projet'!$B$15,Paramètres!$A$1:$I$89,3,0)*VLOOKUP('Données projet'!$B$15,Paramètres!$A$1:$I$89,5,0)</f>
        <v>-9.9316821433603781E-14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298.56812743477741</v>
      </c>
      <c r="EP190" s="62">
        <f t="shared" si="154"/>
        <v>276.01618888357268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396.0878652679051</v>
      </c>
      <c r="FK190" s="62">
        <f t="shared" si="156"/>
        <v>327.26339199235406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9">
        <f t="shared" si="110"/>
        <v>183.33333333333334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-9.7543306765146564E-14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478.11504516179713</v>
      </c>
      <c r="T191" s="62">
        <f t="shared" si="142"/>
        <v>249.93713224442419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-4.5224624045658861E-14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394.49874384716014</v>
      </c>
      <c r="AO191" s="62">
        <f t="shared" si="144"/>
        <v>423.72519584013378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-4.5224624045658861E-14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394.49874384716014</v>
      </c>
      <c r="BJ191" s="62">
        <f t="shared" si="146"/>
        <v>423.72519584013378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-9.3464223027694966E-13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496.33873798282525</v>
      </c>
      <c r="CE191" s="62">
        <f t="shared" si="148"/>
        <v>280.25465074992246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5.4092197387944907E-14</v>
      </c>
      <c r="CV191" s="14">
        <f t="shared" si="173"/>
        <v>8.7287050538073676E-13</v>
      </c>
      <c r="CW191" s="22">
        <f t="shared" si="174"/>
        <v>1.6144600406554537E-12</v>
      </c>
      <c r="CX191" s="62">
        <f t="shared" si="122"/>
        <v>289.91839713868183</v>
      </c>
      <c r="CY191" s="62">
        <f ca="1">AVERAGE(OFFSET($CX$3,0,0,'Données projet'!$E$13+1,1))-AVERAGE(OFFSET($H$3,0,0,'Données projet'!$E$13+1,1))</f>
        <v>441.15969139782891</v>
      </c>
      <c r="CZ191" s="62">
        <f t="shared" si="150"/>
        <v>315.06466790224783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4.4337866711430253E-14</v>
      </c>
      <c r="DQ191" s="14">
        <f t="shared" si="176"/>
        <v>7.3222115536967035E-13</v>
      </c>
      <c r="DR191" s="22">
        <f t="shared" si="177"/>
        <v>1.3525069634579169E-12</v>
      </c>
      <c r="DS191" s="62">
        <f t="shared" si="125"/>
        <v>289.9183971386816</v>
      </c>
      <c r="DT191" s="62">
        <f ca="1">AVERAGE(OFFSET($DS$3,0,0,'Données projet'!$E$14+1,1))-AVERAGE(OFFSET($H$3,0,0,'Données projet'!$E$14+1,1))</f>
        <v>309.21625451786218</v>
      </c>
      <c r="DU191" s="62">
        <f t="shared" si="152"/>
        <v>302.59481222418219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-1.1368683772161603E-13</v>
      </c>
      <c r="EK191" s="18">
        <f>EJ191*VLOOKUP('Données projet'!$B$15,Paramètres!$A$1:$I$89,3,0)*VLOOKUP('Données projet'!$B$15,Paramètres!$A$1:$I$89,5,0)</f>
        <v>-9.9316821433603781E-14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298.56812743477741</v>
      </c>
      <c r="EP191" s="62">
        <f t="shared" si="154"/>
        <v>276.01618888357268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396.0878652679051</v>
      </c>
      <c r="FK191" s="62">
        <f t="shared" si="156"/>
        <v>327.26339199235406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9">
        <f t="shared" si="110"/>
        <v>183.33333333333334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-9.7543306765146564E-14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478.11504516179713</v>
      </c>
      <c r="T192" s="62">
        <f t="shared" si="142"/>
        <v>249.93713224442419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-4.5224624045658861E-14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394.49874384716014</v>
      </c>
      <c r="AO192" s="62">
        <f t="shared" si="144"/>
        <v>423.72519584013378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-4.5224624045658861E-14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394.49874384716014</v>
      </c>
      <c r="BJ192" s="62">
        <f t="shared" si="146"/>
        <v>423.72519584013378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-9.3464223027694966E-13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496.33873798282525</v>
      </c>
      <c r="CE192" s="62">
        <f t="shared" si="148"/>
        <v>280.25465074992246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5.4092197387944907E-14</v>
      </c>
      <c r="CV192" s="14">
        <f t="shared" si="173"/>
        <v>8.7287050538073676E-13</v>
      </c>
      <c r="CW192" s="22">
        <f t="shared" si="174"/>
        <v>1.6144600406554537E-12</v>
      </c>
      <c r="CX192" s="62">
        <f t="shared" si="122"/>
        <v>289.97763864700545</v>
      </c>
      <c r="CY192" s="62">
        <f ca="1">AVERAGE(OFFSET($CX$3,0,0,'Données projet'!$E$13+1,1))-AVERAGE(OFFSET($H$3,0,0,'Données projet'!$E$13+1,1))</f>
        <v>441.15969139782891</v>
      </c>
      <c r="CZ192" s="62">
        <f t="shared" si="150"/>
        <v>315.06466790224783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4.4337866711430253E-14</v>
      </c>
      <c r="DQ192" s="14">
        <f t="shared" si="176"/>
        <v>7.3222115536967035E-13</v>
      </c>
      <c r="DR192" s="22">
        <f t="shared" si="177"/>
        <v>1.3525069634579169E-12</v>
      </c>
      <c r="DS192" s="62">
        <f t="shared" si="125"/>
        <v>289.97763864700522</v>
      </c>
      <c r="DT192" s="62">
        <f ca="1">AVERAGE(OFFSET($DS$3,0,0,'Données projet'!$E$14+1,1))-AVERAGE(OFFSET($H$3,0,0,'Données projet'!$E$14+1,1))</f>
        <v>309.21625451786218</v>
      </c>
      <c r="DU192" s="62">
        <f t="shared" si="152"/>
        <v>302.59481222418219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-1.1368683772161603E-13</v>
      </c>
      <c r="EK192" s="18">
        <f>EJ192*VLOOKUP('Données projet'!$B$15,Paramètres!$A$1:$I$89,3,0)*VLOOKUP('Données projet'!$B$15,Paramètres!$A$1:$I$89,5,0)</f>
        <v>-9.9316821433603781E-14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298.56812743477741</v>
      </c>
      <c r="EP192" s="62">
        <f t="shared" si="154"/>
        <v>276.01618888357268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396.0878652679051</v>
      </c>
      <c r="FK192" s="62">
        <f t="shared" si="156"/>
        <v>327.26339199235406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9">
        <f t="shared" si="110"/>
        <v>183.33333333333334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-9.7543306765146564E-14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478.11504516179713</v>
      </c>
      <c r="T193" s="62">
        <f t="shared" si="142"/>
        <v>249.93713224442419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-4.5224624045658861E-14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394.49874384716014</v>
      </c>
      <c r="AO193" s="62">
        <f t="shared" si="144"/>
        <v>423.72519584013378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-4.5224624045658861E-14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394.49874384716014</v>
      </c>
      <c r="BJ193" s="62">
        <f t="shared" si="146"/>
        <v>423.72519584013378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-9.3464223027694966E-13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496.33873798282525</v>
      </c>
      <c r="CE193" s="62">
        <f t="shared" si="148"/>
        <v>280.25465074992246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5.4092197387944907E-14</v>
      </c>
      <c r="CV193" s="14">
        <f t="shared" si="173"/>
        <v>8.7287050538073676E-13</v>
      </c>
      <c r="CW193" s="22">
        <f t="shared" si="174"/>
        <v>1.6144600406554537E-12</v>
      </c>
      <c r="CX193" s="62">
        <f t="shared" si="122"/>
        <v>290.03585244760387</v>
      </c>
      <c r="CY193" s="62">
        <f ca="1">AVERAGE(OFFSET($CX$3,0,0,'Données projet'!$E$13+1,1))-AVERAGE(OFFSET($H$3,0,0,'Données projet'!$E$13+1,1))</f>
        <v>441.15969139782891</v>
      </c>
      <c r="CZ193" s="62">
        <f t="shared" si="150"/>
        <v>315.06466790224783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4.4337866711430253E-14</v>
      </c>
      <c r="DQ193" s="14">
        <f t="shared" si="176"/>
        <v>7.3222115536967035E-13</v>
      </c>
      <c r="DR193" s="22">
        <f t="shared" si="177"/>
        <v>1.3525069634579169E-12</v>
      </c>
      <c r="DS193" s="62">
        <f t="shared" si="125"/>
        <v>290.03585244760365</v>
      </c>
      <c r="DT193" s="62">
        <f ca="1">AVERAGE(OFFSET($DS$3,0,0,'Données projet'!$E$14+1,1))-AVERAGE(OFFSET($H$3,0,0,'Données projet'!$E$14+1,1))</f>
        <v>309.21625451786218</v>
      </c>
      <c r="DU193" s="62">
        <f t="shared" si="152"/>
        <v>302.59481222418219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-1.1368683772161603E-13</v>
      </c>
      <c r="EK193" s="18">
        <f>EJ193*VLOOKUP('Données projet'!$B$15,Paramètres!$A$1:$I$89,3,0)*VLOOKUP('Données projet'!$B$15,Paramètres!$A$1:$I$89,5,0)</f>
        <v>-9.9316821433603781E-14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298.56812743477741</v>
      </c>
      <c r="EP193" s="62">
        <f t="shared" si="154"/>
        <v>276.01618888357268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396.0878652679051</v>
      </c>
      <c r="FK193" s="62">
        <f t="shared" si="156"/>
        <v>327.26339199235406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9">
        <f t="shared" si="110"/>
        <v>183.33333333333334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-9.7543306765146564E-14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478.11504516179713</v>
      </c>
      <c r="T194" s="62">
        <f t="shared" si="142"/>
        <v>249.93713224442419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-4.5224624045658861E-14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394.49874384716014</v>
      </c>
      <c r="AO194" s="62">
        <f t="shared" si="144"/>
        <v>423.72519584013378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-4.5224624045658861E-14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394.49874384716014</v>
      </c>
      <c r="BJ194" s="62">
        <f t="shared" si="146"/>
        <v>423.72519584013378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-9.3464223027694966E-13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496.33873798282525</v>
      </c>
      <c r="CE194" s="62">
        <f t="shared" si="148"/>
        <v>280.25465074992246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5.4092197387944907E-14</v>
      </c>
      <c r="CV194" s="14">
        <f t="shared" si="173"/>
        <v>8.7287050538073676E-13</v>
      </c>
      <c r="CW194" s="22">
        <f t="shared" si="174"/>
        <v>1.6144600406554537E-12</v>
      </c>
      <c r="CX194" s="62">
        <f t="shared" si="122"/>
        <v>290.09305636890844</v>
      </c>
      <c r="CY194" s="62">
        <f ca="1">AVERAGE(OFFSET($CX$3,0,0,'Données projet'!$E$13+1,1))-AVERAGE(OFFSET($H$3,0,0,'Données projet'!$E$13+1,1))</f>
        <v>441.15969139782891</v>
      </c>
      <c r="CZ194" s="62">
        <f t="shared" si="150"/>
        <v>315.06466790224783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4.4337866711430253E-14</v>
      </c>
      <c r="DQ194" s="14">
        <f t="shared" si="176"/>
        <v>7.3222115536967035E-13</v>
      </c>
      <c r="DR194" s="22">
        <f t="shared" si="177"/>
        <v>1.3525069634579169E-12</v>
      </c>
      <c r="DS194" s="62">
        <f t="shared" si="125"/>
        <v>290.09305636890821</v>
      </c>
      <c r="DT194" s="62">
        <f ca="1">AVERAGE(OFFSET($DS$3,0,0,'Données projet'!$E$14+1,1))-AVERAGE(OFFSET($H$3,0,0,'Données projet'!$E$14+1,1))</f>
        <v>309.21625451786218</v>
      </c>
      <c r="DU194" s="62">
        <f t="shared" si="152"/>
        <v>302.59481222418219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-1.1368683772161603E-13</v>
      </c>
      <c r="EK194" s="18">
        <f>EJ194*VLOOKUP('Données projet'!$B$15,Paramètres!$A$1:$I$89,3,0)*VLOOKUP('Données projet'!$B$15,Paramètres!$A$1:$I$89,5,0)</f>
        <v>-9.9316821433603781E-14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298.56812743477741</v>
      </c>
      <c r="EP194" s="62">
        <f t="shared" si="154"/>
        <v>276.01618888357268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396.0878652679051</v>
      </c>
      <c r="FK194" s="62">
        <f t="shared" si="156"/>
        <v>327.26339199235406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9">
        <f t="shared" si="110"/>
        <v>183.33333333333334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-9.7543306765146564E-14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478.11504516179713</v>
      </c>
      <c r="T195" s="62">
        <f t="shared" si="142"/>
        <v>249.93713224442419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-4.5224624045658861E-14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394.49874384716014</v>
      </c>
      <c r="AO195" s="62">
        <f t="shared" si="144"/>
        <v>423.72519584013378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-4.5224624045658861E-14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394.49874384716014</v>
      </c>
      <c r="BJ195" s="62">
        <f t="shared" si="146"/>
        <v>423.72519584013378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-9.3464223027694966E-13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496.33873798282525</v>
      </c>
      <c r="CE195" s="62">
        <f t="shared" si="148"/>
        <v>280.25465074992246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5.4092197387944907E-14</v>
      </c>
      <c r="CV195" s="14">
        <f t="shared" si="173"/>
        <v>8.7287050538073676E-13</v>
      </c>
      <c r="CW195" s="22">
        <f t="shared" si="174"/>
        <v>1.6144600406554537E-12</v>
      </c>
      <c r="CX195" s="62">
        <f t="shared" si="122"/>
        <v>290.14926793006725</v>
      </c>
      <c r="CY195" s="62">
        <f ca="1">AVERAGE(OFFSET($CX$3,0,0,'Données projet'!$E$13+1,1))-AVERAGE(OFFSET($H$3,0,0,'Données projet'!$E$13+1,1))</f>
        <v>441.15969139782891</v>
      </c>
      <c r="CZ195" s="62">
        <f t="shared" si="150"/>
        <v>315.06466790224783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4.4337866711430253E-14</v>
      </c>
      <c r="DQ195" s="14">
        <f t="shared" si="176"/>
        <v>7.3222115536967035E-13</v>
      </c>
      <c r="DR195" s="22">
        <f t="shared" si="177"/>
        <v>1.3525069634579169E-12</v>
      </c>
      <c r="DS195" s="62">
        <f t="shared" si="125"/>
        <v>290.14926793006703</v>
      </c>
      <c r="DT195" s="62">
        <f ca="1">AVERAGE(OFFSET($DS$3,0,0,'Données projet'!$E$14+1,1))-AVERAGE(OFFSET($H$3,0,0,'Données projet'!$E$14+1,1))</f>
        <v>309.21625451786218</v>
      </c>
      <c r="DU195" s="62">
        <f t="shared" si="152"/>
        <v>302.59481222418219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-1.1368683772161603E-13</v>
      </c>
      <c r="EK195" s="18">
        <f>EJ195*VLOOKUP('Données projet'!$B$15,Paramètres!$A$1:$I$89,3,0)*VLOOKUP('Données projet'!$B$15,Paramètres!$A$1:$I$89,5,0)</f>
        <v>-9.9316821433603781E-14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298.56812743477741</v>
      </c>
      <c r="EP195" s="62">
        <f t="shared" si="154"/>
        <v>276.01618888357268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396.0878652679051</v>
      </c>
      <c r="FK195" s="62">
        <f t="shared" si="156"/>
        <v>327.26339199235406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9">
        <f t="shared" ref="H196:H203" si="192">(B196+E196+F196)*44/12+(C196+D196)*0.475*44/12</f>
        <v>183.33333333333334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-9.7543306765146564E-14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478.11504516179713</v>
      </c>
      <c r="T196" s="62">
        <f t="shared" si="142"/>
        <v>249.93713224442419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-4.5224624045658861E-14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394.49874384716014</v>
      </c>
      <c r="AO196" s="62">
        <f t="shared" si="144"/>
        <v>423.72519584013378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-4.5224624045658861E-14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394.49874384716014</v>
      </c>
      <c r="BJ196" s="62">
        <f t="shared" si="146"/>
        <v>423.72519584013378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-9.3464223027694966E-13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496.33873798282525</v>
      </c>
      <c r="CE196" s="62">
        <f t="shared" si="148"/>
        <v>280.25465074992246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5.4092197387944907E-14</v>
      </c>
      <c r="CV196" s="14">
        <f t="shared" si="173"/>
        <v>8.7287050538073676E-13</v>
      </c>
      <c r="CW196" s="22">
        <f t="shared" si="174"/>
        <v>1.6144600406554537E-12</v>
      </c>
      <c r="CX196" s="62">
        <f t="shared" ref="CX196:CX203" si="196">CW196+(CO196+CP196)*44/12</f>
        <v>290.2045043463101</v>
      </c>
      <c r="CY196" s="62">
        <f ca="1">AVERAGE(OFFSET($CX$3,0,0,'Données projet'!$E$13+1,1))-AVERAGE(OFFSET($H$3,0,0,'Données projet'!$E$13+1,1))</f>
        <v>441.15969139782891</v>
      </c>
      <c r="CZ196" s="62">
        <f t="shared" si="150"/>
        <v>315.06466790224783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4.4337866711430253E-14</v>
      </c>
      <c r="DQ196" s="14">
        <f t="shared" si="176"/>
        <v>7.3222115536967035E-13</v>
      </c>
      <c r="DR196" s="22">
        <f t="shared" si="177"/>
        <v>1.3525069634579169E-12</v>
      </c>
      <c r="DS196" s="62">
        <f t="shared" ref="DS196:DS203" si="197">DR196+(DJ196+DK196)*44/12</f>
        <v>290.20450434630988</v>
      </c>
      <c r="DT196" s="62">
        <f ca="1">AVERAGE(OFFSET($DS$3,0,0,'Données projet'!$E$14+1,1))-AVERAGE(OFFSET($H$3,0,0,'Données projet'!$E$14+1,1))</f>
        <v>309.21625451786218</v>
      </c>
      <c r="DU196" s="62">
        <f t="shared" si="152"/>
        <v>302.59481222418219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-1.1368683772161603E-13</v>
      </c>
      <c r="EK196" s="18">
        <f>EJ196*VLOOKUP('Données projet'!$B$15,Paramètres!$A$1:$I$89,3,0)*VLOOKUP('Données projet'!$B$15,Paramètres!$A$1:$I$89,5,0)</f>
        <v>-9.9316821433603781E-14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298.56812743477741</v>
      </c>
      <c r="EP196" s="62">
        <f t="shared" si="154"/>
        <v>276.01618888357268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396.0878652679051</v>
      </c>
      <c r="FK196" s="62">
        <f t="shared" si="156"/>
        <v>327.26339199235406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9">
        <f t="shared" si="192"/>
        <v>183.33333333333334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-9.7543306765146564E-14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478.11504516179713</v>
      </c>
      <c r="T197" s="62">
        <f t="shared" ref="T197:T203" si="204">$T$3</f>
        <v>249.93713224442419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-4.5224624045658861E-14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394.49874384716014</v>
      </c>
      <c r="AO197" s="62">
        <f t="shared" ref="AO197:AO203" si="205">$AO$3</f>
        <v>423.72519584013378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-4.5224624045658861E-14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394.49874384716014</v>
      </c>
      <c r="BJ197" s="62">
        <f t="shared" ref="BJ197:BJ203" si="206">$BJ$3</f>
        <v>423.72519584013378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-9.3464223027694966E-13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496.33873798282525</v>
      </c>
      <c r="CE197" s="62">
        <f t="shared" ref="CE197:CE203" si="207">$CE$3</f>
        <v>280.25465074992246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5.4092197387944907E-14</v>
      </c>
      <c r="CV197" s="14">
        <f t="shared" si="173"/>
        <v>8.7287050538073676E-13</v>
      </c>
      <c r="CW197" s="22">
        <f t="shared" si="174"/>
        <v>1.6144600406554537E-12</v>
      </c>
      <c r="CX197" s="62">
        <f t="shared" si="196"/>
        <v>290.25878253422133</v>
      </c>
      <c r="CY197" s="62">
        <f ca="1">AVERAGE(OFFSET($CX$3,0,0,'Données projet'!$E$13+1,1))-AVERAGE(OFFSET($H$3,0,0,'Données projet'!$E$13+1,1))</f>
        <v>441.15969139782891</v>
      </c>
      <c r="CZ197" s="62">
        <f t="shared" ref="CZ197:CZ203" si="208">$CZ$3</f>
        <v>315.06466790224783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4.4337866711430253E-14</v>
      </c>
      <c r="DQ197" s="14">
        <f t="shared" si="176"/>
        <v>7.3222115536967035E-13</v>
      </c>
      <c r="DR197" s="22">
        <f t="shared" si="177"/>
        <v>1.3525069634579169E-12</v>
      </c>
      <c r="DS197" s="62">
        <f t="shared" si="197"/>
        <v>290.2587825342211</v>
      </c>
      <c r="DT197" s="62">
        <f ca="1">AVERAGE(OFFSET($DS$3,0,0,'Données projet'!$E$14+1,1))-AVERAGE(OFFSET($H$3,0,0,'Données projet'!$E$14+1,1))</f>
        <v>309.21625451786218</v>
      </c>
      <c r="DU197" s="62">
        <f t="shared" ref="DU197:DU203" si="209">$DU$3</f>
        <v>302.59481222418219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-1.1368683772161603E-13</v>
      </c>
      <c r="EK197" s="18">
        <f>EJ197*VLOOKUP('Données projet'!$B$15,Paramètres!$A$1:$I$89,3,0)*VLOOKUP('Données projet'!$B$15,Paramètres!$A$1:$I$89,5,0)</f>
        <v>-9.9316821433603781E-14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298.56812743477741</v>
      </c>
      <c r="EP197" s="62">
        <f t="shared" ref="EP197:EP203" si="210">$EP$3</f>
        <v>276.01618888357268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396.0878652679051</v>
      </c>
      <c r="FK197" s="62">
        <f t="shared" ref="FK197:FK203" si="211">$FK$3</f>
        <v>327.26339199235406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9">
        <f t="shared" si="192"/>
        <v>183.33333333333334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-9.7543306765146564E-14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478.11504516179713</v>
      </c>
      <c r="T198" s="62">
        <f t="shared" si="204"/>
        <v>249.93713224442419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-4.5224624045658861E-14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394.49874384716014</v>
      </c>
      <c r="AO198" s="62">
        <f t="shared" si="205"/>
        <v>423.72519584013378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-4.5224624045658861E-14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394.49874384716014</v>
      </c>
      <c r="BJ198" s="62">
        <f t="shared" si="206"/>
        <v>423.72519584013378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-9.3464223027694966E-13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496.33873798282525</v>
      </c>
      <c r="CE198" s="62">
        <f t="shared" si="207"/>
        <v>280.25465074992246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5.4092197387944907E-14</v>
      </c>
      <c r="CV198" s="14">
        <f t="shared" si="173"/>
        <v>8.7287050538073676E-13</v>
      </c>
      <c r="CW198" s="22">
        <f t="shared" si="174"/>
        <v>1.6144600406554537E-12</v>
      </c>
      <c r="CX198" s="62">
        <f t="shared" si="196"/>
        <v>290.31211911692009</v>
      </c>
      <c r="CY198" s="62">
        <f ca="1">AVERAGE(OFFSET($CX$3,0,0,'Données projet'!$E$13+1,1))-AVERAGE(OFFSET($H$3,0,0,'Données projet'!$E$13+1,1))</f>
        <v>441.15969139782891</v>
      </c>
      <c r="CZ198" s="62">
        <f t="shared" si="208"/>
        <v>315.06466790224783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4.4337866711430253E-14</v>
      </c>
      <c r="DQ198" s="14">
        <f t="shared" si="176"/>
        <v>7.3222115536967035E-13</v>
      </c>
      <c r="DR198" s="22">
        <f t="shared" si="177"/>
        <v>1.3525069634579169E-12</v>
      </c>
      <c r="DS198" s="62">
        <f t="shared" si="197"/>
        <v>290.31211911691986</v>
      </c>
      <c r="DT198" s="62">
        <f ca="1">AVERAGE(OFFSET($DS$3,0,0,'Données projet'!$E$14+1,1))-AVERAGE(OFFSET($H$3,0,0,'Données projet'!$E$14+1,1))</f>
        <v>309.21625451786218</v>
      </c>
      <c r="DU198" s="62">
        <f t="shared" si="209"/>
        <v>302.59481222418219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-1.1368683772161603E-13</v>
      </c>
      <c r="EK198" s="18">
        <f>EJ198*VLOOKUP('Données projet'!$B$15,Paramètres!$A$1:$I$89,3,0)*VLOOKUP('Données projet'!$B$15,Paramètres!$A$1:$I$89,5,0)</f>
        <v>-9.9316821433603781E-14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298.56812743477741</v>
      </c>
      <c r="EP198" s="62">
        <f t="shared" si="210"/>
        <v>276.01618888357268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396.0878652679051</v>
      </c>
      <c r="FK198" s="62">
        <f t="shared" si="211"/>
        <v>327.26339199235406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9">
        <f t="shared" si="192"/>
        <v>183.33333333333334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-9.7543306765146564E-14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478.11504516179713</v>
      </c>
      <c r="T199" s="62">
        <f t="shared" si="204"/>
        <v>249.93713224442419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-4.5224624045658861E-14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394.49874384716014</v>
      </c>
      <c r="AO199" s="62">
        <f t="shared" si="205"/>
        <v>423.72519584013378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-4.5224624045658861E-14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394.49874384716014</v>
      </c>
      <c r="BJ199" s="62">
        <f t="shared" si="206"/>
        <v>423.72519584013378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-9.3464223027694966E-13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496.33873798282525</v>
      </c>
      <c r="CE199" s="62">
        <f t="shared" si="207"/>
        <v>280.25465074992246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5.4092197387944907E-14</v>
      </c>
      <c r="CV199" s="14">
        <f t="shared" si="173"/>
        <v>8.7287050538073676E-13</v>
      </c>
      <c r="CW199" s="22">
        <f t="shared" si="174"/>
        <v>1.6144600406554537E-12</v>
      </c>
      <c r="CX199" s="62">
        <f t="shared" si="196"/>
        <v>290.36453042915178</v>
      </c>
      <c r="CY199" s="62">
        <f ca="1">AVERAGE(OFFSET($CX$3,0,0,'Données projet'!$E$13+1,1))-AVERAGE(OFFSET($H$3,0,0,'Données projet'!$E$13+1,1))</f>
        <v>441.15969139782891</v>
      </c>
      <c r="CZ199" s="62">
        <f t="shared" si="208"/>
        <v>315.06466790224783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4.4337866711430253E-14</v>
      </c>
      <c r="DQ199" s="14">
        <f t="shared" si="176"/>
        <v>7.3222115536967035E-13</v>
      </c>
      <c r="DR199" s="22">
        <f t="shared" si="177"/>
        <v>1.3525069634579169E-12</v>
      </c>
      <c r="DS199" s="62">
        <f t="shared" si="197"/>
        <v>290.36453042915156</v>
      </c>
      <c r="DT199" s="62">
        <f ca="1">AVERAGE(OFFSET($DS$3,0,0,'Données projet'!$E$14+1,1))-AVERAGE(OFFSET($H$3,0,0,'Données projet'!$E$14+1,1))</f>
        <v>309.21625451786218</v>
      </c>
      <c r="DU199" s="62">
        <f t="shared" si="209"/>
        <v>302.59481222418219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-1.1368683772161603E-13</v>
      </c>
      <c r="EK199" s="18">
        <f>EJ199*VLOOKUP('Données projet'!$B$15,Paramètres!$A$1:$I$89,3,0)*VLOOKUP('Données projet'!$B$15,Paramètres!$A$1:$I$89,5,0)</f>
        <v>-9.9316821433603781E-14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298.56812743477741</v>
      </c>
      <c r="EP199" s="62">
        <f t="shared" si="210"/>
        <v>276.01618888357268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396.0878652679051</v>
      </c>
      <c r="FK199" s="62">
        <f t="shared" si="211"/>
        <v>327.26339199235406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9">
        <f t="shared" si="192"/>
        <v>183.33333333333334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-9.7543306765146564E-14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478.11504516179713</v>
      </c>
      <c r="T200" s="62">
        <f t="shared" si="204"/>
        <v>249.93713224442419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-4.5224624045658861E-14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394.49874384716014</v>
      </c>
      <c r="AO200" s="62">
        <f t="shared" si="205"/>
        <v>423.72519584013378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-4.5224624045658861E-14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394.49874384716014</v>
      </c>
      <c r="BJ200" s="62">
        <f t="shared" si="206"/>
        <v>423.72519584013378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-9.3464223027694966E-13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496.33873798282525</v>
      </c>
      <c r="CE200" s="62">
        <f t="shared" si="207"/>
        <v>280.25465074992246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5.4092197387944907E-14</v>
      </c>
      <c r="CV200" s="14">
        <f t="shared" si="173"/>
        <v>8.7287050538073676E-13</v>
      </c>
      <c r="CW200" s="22">
        <f t="shared" si="174"/>
        <v>1.6144600406554537E-12</v>
      </c>
      <c r="CX200" s="62">
        <f t="shared" si="196"/>
        <v>290.41603252229038</v>
      </c>
      <c r="CY200" s="62">
        <f ca="1">AVERAGE(OFFSET($CX$3,0,0,'Données projet'!$E$13+1,1))-AVERAGE(OFFSET($H$3,0,0,'Données projet'!$E$13+1,1))</f>
        <v>441.15969139782891</v>
      </c>
      <c r="CZ200" s="62">
        <f t="shared" si="208"/>
        <v>315.06466790224783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4.4337866711430253E-14</v>
      </c>
      <c r="DQ200" s="14">
        <f t="shared" si="176"/>
        <v>7.3222115536967035E-13</v>
      </c>
      <c r="DR200" s="22">
        <f t="shared" si="177"/>
        <v>1.3525069634579169E-12</v>
      </c>
      <c r="DS200" s="62">
        <f t="shared" si="197"/>
        <v>290.41603252229015</v>
      </c>
      <c r="DT200" s="62">
        <f ca="1">AVERAGE(OFFSET($DS$3,0,0,'Données projet'!$E$14+1,1))-AVERAGE(OFFSET($H$3,0,0,'Données projet'!$E$14+1,1))</f>
        <v>309.21625451786218</v>
      </c>
      <c r="DU200" s="62">
        <f t="shared" si="209"/>
        <v>302.59481222418219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-1.1368683772161603E-13</v>
      </c>
      <c r="EK200" s="18">
        <f>EJ200*VLOOKUP('Données projet'!$B$15,Paramètres!$A$1:$I$89,3,0)*VLOOKUP('Données projet'!$B$15,Paramètres!$A$1:$I$89,5,0)</f>
        <v>-9.9316821433603781E-14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298.56812743477741</v>
      </c>
      <c r="EP200" s="62">
        <f t="shared" si="210"/>
        <v>276.01618888357268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396.0878652679051</v>
      </c>
      <c r="FK200" s="62">
        <f t="shared" si="211"/>
        <v>327.26339199235406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9">
        <f t="shared" si="192"/>
        <v>183.33333333333334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-9.7543306765146564E-14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478.11504516179713</v>
      </c>
      <c r="T201" s="62">
        <f t="shared" si="204"/>
        <v>249.93713224442419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-4.5224624045658861E-14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394.49874384716014</v>
      </c>
      <c r="AO201" s="62">
        <f t="shared" si="205"/>
        <v>423.72519584013378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-4.5224624045658861E-14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394.49874384716014</v>
      </c>
      <c r="BJ201" s="62">
        <f t="shared" si="206"/>
        <v>423.72519584013378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-9.3464223027694966E-13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496.33873798282525</v>
      </c>
      <c r="CE201" s="62">
        <f t="shared" si="207"/>
        <v>280.25465074992246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5.4092197387944907E-14</v>
      </c>
      <c r="CV201" s="14">
        <f t="shared" si="173"/>
        <v>8.7287050538073676E-13</v>
      </c>
      <c r="CW201" s="22">
        <f t="shared" si="174"/>
        <v>1.6144600406554537E-12</v>
      </c>
      <c r="CX201" s="62">
        <f t="shared" si="196"/>
        <v>290.4666411692545</v>
      </c>
      <c r="CY201" s="62">
        <f ca="1">AVERAGE(OFFSET($CX$3,0,0,'Données projet'!$E$13+1,1))-AVERAGE(OFFSET($H$3,0,0,'Données projet'!$E$13+1,1))</f>
        <v>441.15969139782891</v>
      </c>
      <c r="CZ201" s="62">
        <f t="shared" si="208"/>
        <v>315.06466790224783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4.4337866711430253E-14</v>
      </c>
      <c r="DQ201" s="14">
        <f t="shared" si="176"/>
        <v>7.3222115536967035E-13</v>
      </c>
      <c r="DR201" s="22">
        <f t="shared" si="177"/>
        <v>1.3525069634579169E-12</v>
      </c>
      <c r="DS201" s="62">
        <f t="shared" si="197"/>
        <v>290.46664116925427</v>
      </c>
      <c r="DT201" s="62">
        <f ca="1">AVERAGE(OFFSET($DS$3,0,0,'Données projet'!$E$14+1,1))-AVERAGE(OFFSET($H$3,0,0,'Données projet'!$E$14+1,1))</f>
        <v>309.21625451786218</v>
      </c>
      <c r="DU201" s="62">
        <f t="shared" si="209"/>
        <v>302.59481222418219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-1.1368683772161603E-13</v>
      </c>
      <c r="EK201" s="18">
        <f>EJ201*VLOOKUP('Données projet'!$B$15,Paramètres!$A$1:$I$89,3,0)*VLOOKUP('Données projet'!$B$15,Paramètres!$A$1:$I$89,5,0)</f>
        <v>-9.9316821433603781E-14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298.56812743477741</v>
      </c>
      <c r="EP201" s="62">
        <f t="shared" si="210"/>
        <v>276.01618888357268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396.0878652679051</v>
      </c>
      <c r="FK201" s="62">
        <f t="shared" si="211"/>
        <v>327.26339199235406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9">
        <f t="shared" si="192"/>
        <v>183.33333333333334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-9.7543306765146564E-14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478.11504516179713</v>
      </c>
      <c r="T202" s="62">
        <f t="shared" si="204"/>
        <v>249.93713224442419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-4.5224624045658861E-14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394.49874384716014</v>
      </c>
      <c r="AO202" s="62">
        <f t="shared" si="205"/>
        <v>423.72519584013378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-4.5224624045658861E-14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394.49874384716014</v>
      </c>
      <c r="BJ202" s="62">
        <f t="shared" si="206"/>
        <v>423.72519584013378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-9.3464223027694966E-13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496.33873798282525</v>
      </c>
      <c r="CE202" s="62">
        <f t="shared" si="207"/>
        <v>280.25465074992246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5.4092197387944907E-14</v>
      </c>
      <c r="CV202" s="14">
        <f t="shared" si="173"/>
        <v>8.7287050538073676E-13</v>
      </c>
      <c r="CW202" s="22">
        <f t="shared" si="174"/>
        <v>1.6144600406554537E-12</v>
      </c>
      <c r="CX202" s="62">
        <f t="shared" si="196"/>
        <v>290.51637186933772</v>
      </c>
      <c r="CY202" s="62">
        <f ca="1">AVERAGE(OFFSET($CX$3,0,0,'Données projet'!$E$13+1,1))-AVERAGE(OFFSET($H$3,0,0,'Données projet'!$E$13+1,1))</f>
        <v>441.15969139782891</v>
      </c>
      <c r="CZ202" s="62">
        <f t="shared" si="208"/>
        <v>315.06466790224783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4.4337866711430253E-14</v>
      </c>
      <c r="DQ202" s="14">
        <f t="shared" si="176"/>
        <v>7.3222115536967035E-13</v>
      </c>
      <c r="DR202" s="22">
        <f t="shared" si="177"/>
        <v>1.3525069634579169E-12</v>
      </c>
      <c r="DS202" s="62">
        <f t="shared" si="197"/>
        <v>290.51637186933749</v>
      </c>
      <c r="DT202" s="62">
        <f ca="1">AVERAGE(OFFSET($DS$3,0,0,'Données projet'!$E$14+1,1))-AVERAGE(OFFSET($H$3,0,0,'Données projet'!$E$14+1,1))</f>
        <v>309.21625451786218</v>
      </c>
      <c r="DU202" s="62">
        <f t="shared" si="209"/>
        <v>302.59481222418219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-1.1368683772161603E-13</v>
      </c>
      <c r="EK202" s="18">
        <f>EJ202*VLOOKUP('Données projet'!$B$15,Paramètres!$A$1:$I$89,3,0)*VLOOKUP('Données projet'!$B$15,Paramètres!$A$1:$I$89,5,0)</f>
        <v>-9.9316821433603781E-14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298.56812743477741</v>
      </c>
      <c r="EP202" s="62">
        <f t="shared" si="210"/>
        <v>276.01618888357268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396.0878652679051</v>
      </c>
      <c r="FK202" s="62">
        <f t="shared" si="211"/>
        <v>327.26339199235406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9">
        <f t="shared" si="192"/>
        <v>183.33333333333334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-9.7543306765146564E-14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478.11504516179713</v>
      </c>
      <c r="T203" s="62">
        <f t="shared" si="204"/>
        <v>249.93713224442419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-4.5224624045658861E-14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394.49874384716014</v>
      </c>
      <c r="AO203" s="62">
        <f t="shared" si="205"/>
        <v>423.72519584013378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-4.5224624045658861E-14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394.49874384716014</v>
      </c>
      <c r="BJ203" s="62">
        <f t="shared" si="206"/>
        <v>423.72519584013378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-9.3464223027694966E-13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496.33873798282525</v>
      </c>
      <c r="CE203" s="62">
        <f t="shared" si="207"/>
        <v>280.25465074992246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5.4092197387944907E-14</v>
      </c>
      <c r="CV203" s="14">
        <f t="shared" si="173"/>
        <v>8.7287050538073676E-13</v>
      </c>
      <c r="CW203" s="22">
        <f t="shared" si="174"/>
        <v>1.6144600406554537E-12</v>
      </c>
      <c r="CX203" s="62">
        <f t="shared" si="196"/>
        <v>290.5652398529557</v>
      </c>
      <c r="CY203" s="62">
        <f ca="1">AVERAGE(OFFSET($CX$3,0,0,'Données projet'!$E$13+1,1))-AVERAGE(OFFSET($H$3,0,0,'Données projet'!$E$13+1,1))</f>
        <v>441.15969139782891</v>
      </c>
      <c r="CZ203" s="62">
        <f t="shared" si="208"/>
        <v>315.06466790224783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4.4337866711430253E-14</v>
      </c>
      <c r="DQ203" s="14">
        <f t="shared" si="176"/>
        <v>7.3222115536967035E-13</v>
      </c>
      <c r="DR203" s="22">
        <f t="shared" si="177"/>
        <v>1.3525069634579169E-12</v>
      </c>
      <c r="DS203" s="62">
        <f t="shared" si="197"/>
        <v>290.56523985295547</v>
      </c>
      <c r="DT203" s="62">
        <f ca="1">AVERAGE(OFFSET($DS$3,0,0,'Données projet'!$E$14+1,1))-AVERAGE(OFFSET($H$3,0,0,'Données projet'!$E$14+1,1))</f>
        <v>309.21625451786218</v>
      </c>
      <c r="DU203" s="62">
        <f t="shared" si="209"/>
        <v>302.59481222418219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-1.1368683772161603E-13</v>
      </c>
      <c r="EK203" s="18">
        <f>EJ203*VLOOKUP('Données projet'!$B$15,Paramètres!$A$1:$I$89,3,0)*VLOOKUP('Données projet'!$B$15,Paramètres!$A$1:$I$89,5,0)</f>
        <v>-9.9316821433603781E-14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298.56812743477741</v>
      </c>
      <c r="EP203" s="62">
        <f t="shared" si="210"/>
        <v>276.01618888357268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396.0878652679051</v>
      </c>
      <c r="FK203" s="62">
        <f t="shared" si="211"/>
        <v>327.26339199235406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1.1745459910013509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1.2721323532877689</v>
      </c>
      <c r="BA205" s="87">
        <f>EXP(LN('Données projet'!B88)/'Données projet'!A88)</f>
        <v>1.2721323532877689</v>
      </c>
      <c r="BV205" s="87">
        <f>EXP(LN('Données projet'!B114)/'Données projet'!A114)</f>
        <v>1.2054868146447177</v>
      </c>
      <c r="CQ205" s="87">
        <f>EXP(LN('Données projet'!B140)/'Données projet'!A140)</f>
        <v>1.2934226882877784</v>
      </c>
      <c r="DL205" s="87">
        <f>EXP(LN('Données projet'!B166)/'Données projet'!A166)</f>
        <v>1.2788040393997409</v>
      </c>
      <c r="EG205" s="87">
        <f>EXP(LN('Données projet'!B192)/'Données projet'!A192)</f>
        <v>1.1577536725165907</v>
      </c>
      <c r="FB205" s="87">
        <f>EXP(LN('Données projet'!B218)/'Données projet'!A218)</f>
        <v>1.4172437739267318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7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8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7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9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9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8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7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8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E18" sqref="E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Hêtre</v>
      </c>
      <c r="B6" s="153">
        <f>'Données projet'!D9</f>
        <v>0.36000000000000004</v>
      </c>
      <c r="C6" s="154">
        <f ca="1">IF(OR('Données projet'!B9="",'Données projet'!C9="",'Données projet'!C9=0%),0,Calculateur!S3)</f>
        <v>478.11504516179713</v>
      </c>
      <c r="D6" s="154">
        <f>IF(OR('Données projet'!B9="",'Données projet'!C9="",'Données projet'!C9=0%),0,Calculateur!T3)</f>
        <v>249.93713224442419</v>
      </c>
      <c r="E6" s="154">
        <f ca="1">MIN(C6,D6)</f>
        <v>249.93713224442419</v>
      </c>
      <c r="F6" s="154">
        <f ca="1">E6*B6</f>
        <v>89.977367607992718</v>
      </c>
      <c r="G6" s="154">
        <f ca="1">F6*(100%-'Données projet'!$C$24)*(100%-'Données projet'!$C$25)*(100%-'Données projet'!$C$26)*(100%-'Données projet'!$C$27)</f>
        <v>80.979630847193448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2.2500000000000004</v>
      </c>
      <c r="K6" s="158">
        <f>J6*(100%-'Données projet'!$C$24)*(100%-'Données projet'!$C$25)*(100%-'Données projet'!$C$26)*(100%-'Données projet'!$C$27)</f>
        <v>2.0250000000000004</v>
      </c>
      <c r="L6" s="159">
        <f ca="1">G6+I6+K6</f>
        <v>83.004630847193454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Erable sycomore</v>
      </c>
      <c r="B7" s="161">
        <f>'Données projet'!D10</f>
        <v>0.36000000000000004</v>
      </c>
      <c r="C7" s="154">
        <f ca="1">IF(OR('Données projet'!B10="",'Données projet'!C10="",'Données projet'!C10=0%),0,Calculateur!AN3)</f>
        <v>394.49874384716014</v>
      </c>
      <c r="D7" s="154">
        <f>IF(OR('Données projet'!B10="",'Données projet'!C10="",'Données projet'!C10=0%),0,Calculateur!AO3)</f>
        <v>423.72519584013378</v>
      </c>
      <c r="E7" s="154">
        <f t="shared" ref="E7:E15" ca="1" si="0">MIN(C7,D7)</f>
        <v>394.49874384716014</v>
      </c>
      <c r="F7" s="154">
        <f t="shared" ref="F7:F15" ca="1" si="1">E7*B7</f>
        <v>142.01954778497768</v>
      </c>
      <c r="G7" s="154">
        <f ca="1">F7*(100%-'Données projet'!$C$24)*(100%-'Données projet'!$C$25)*(100%-'Données projet'!$C$26)*(100%-'Données projet'!$C$27)</f>
        <v>127.81759300647991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12.285000000000002</v>
      </c>
      <c r="K7" s="158">
        <f>J7*(100%-'Données projet'!$C$24)*(100%-'Données projet'!$C$25)*(100%-'Données projet'!$C$26)*(100%-'Données projet'!$C$27)</f>
        <v>11.056500000000002</v>
      </c>
      <c r="L7" s="159">
        <f t="shared" ref="L7:L15" ca="1" si="2">G7+I7+K7</f>
        <v>138.87409300647991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Erable plane</v>
      </c>
      <c r="B8" s="161">
        <f>'Données projet'!D11</f>
        <v>0.36000000000000004</v>
      </c>
      <c r="C8" s="154">
        <f ca="1">IF(OR('Données projet'!B11="",'Données projet'!C11="",'Données projet'!C11=0%),0,Calculateur!BI3)</f>
        <v>394.49874384716014</v>
      </c>
      <c r="D8" s="154">
        <f>IF(OR('Données projet'!B11="",'Données projet'!C11="",'Données projet'!C11=0%),0,Calculateur!BJ3)</f>
        <v>423.72519584013378</v>
      </c>
      <c r="E8" s="154">
        <f t="shared" ca="1" si="0"/>
        <v>394.49874384716014</v>
      </c>
      <c r="F8" s="154">
        <f t="shared" ca="1" si="1"/>
        <v>142.01954778497768</v>
      </c>
      <c r="G8" s="154">
        <f ca="1">F8*(100%-'Données projet'!$C$24)*(100%-'Données projet'!$C$25)*(100%-'Données projet'!$C$26)*(100%-'Données projet'!$C$27)</f>
        <v>127.81759300647991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12.285000000000002</v>
      </c>
      <c r="K8" s="158">
        <f>J8*(100%-'Données projet'!$C$24)*(100%-'Données projet'!$C$25)*(100%-'Données projet'!$C$26)*(100%-'Données projet'!$C$27)</f>
        <v>11.056500000000002</v>
      </c>
      <c r="L8" s="159">
        <f t="shared" ca="1" si="2"/>
        <v>138.87409300647991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Alisier torminal</v>
      </c>
      <c r="B9" s="161">
        <f>'Données projet'!D12</f>
        <v>0.18000000000000002</v>
      </c>
      <c r="C9" s="154">
        <f ca="1">IF(OR('Données projet'!B12="",'Données projet'!C12="",'Données projet'!C12=0%),0,Calculateur!CD3)</f>
        <v>496.33873798282525</v>
      </c>
      <c r="D9" s="154">
        <f>IF(OR('Données projet'!B12="",'Données projet'!C12="",'Données projet'!C12=0%),0,Calculateur!CE3)</f>
        <v>280.25465074992246</v>
      </c>
      <c r="E9" s="154">
        <f t="shared" ca="1" si="0"/>
        <v>280.25465074992246</v>
      </c>
      <c r="F9" s="154">
        <f t="shared" ca="1" si="1"/>
        <v>50.44583713498605</v>
      </c>
      <c r="G9" s="154">
        <f ca="1">F9*(100%-'Données projet'!$C$24)*(100%-'Données projet'!$C$25)*(100%-'Données projet'!$C$26)*(100%-'Données projet'!$C$27)</f>
        <v>45.401253421487446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1.3050000000000002</v>
      </c>
      <c r="K9" s="158">
        <f>J9*(100%-'Données projet'!$C$24)*(100%-'Données projet'!$C$25)*(100%-'Données projet'!$C$26)*(100%-'Données projet'!$C$27)</f>
        <v>1.1745000000000001</v>
      </c>
      <c r="L9" s="159">
        <f t="shared" ca="1" si="2"/>
        <v>46.575753421487448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Charme</v>
      </c>
      <c r="B10" s="161">
        <f>'Données projet'!D13</f>
        <v>0.18000000000000002</v>
      </c>
      <c r="C10" s="154">
        <f ca="1">IF(OR('Données projet'!B13="",'Données projet'!C13="",'Données projet'!C13=0%),0,Calculateur!CY3)</f>
        <v>441.15969139782891</v>
      </c>
      <c r="D10" s="154">
        <f>IF(OR('Données projet'!B13="",'Données projet'!C13="",'Données projet'!C13=0%),0,Calculateur!CZ3)</f>
        <v>315.06466790224783</v>
      </c>
      <c r="E10" s="154">
        <f t="shared" ca="1" si="0"/>
        <v>315.06466790224783</v>
      </c>
      <c r="F10" s="154">
        <f t="shared" ca="1" si="1"/>
        <v>56.711640222404618</v>
      </c>
      <c r="G10" s="154">
        <f ca="1">F10*(100%-'Données projet'!$C$24)*(100%-'Données projet'!$C$25)*(100%-'Données projet'!$C$26)*(100%-'Données projet'!$C$27)</f>
        <v>51.040476200164157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1.6153846153846156</v>
      </c>
      <c r="K10" s="158">
        <f>J10*(100%-'Données projet'!$C$24)*(100%-'Données projet'!$C$25)*(100%-'Données projet'!$C$26)*(100%-'Données projet'!$C$27)</f>
        <v>1.453846153846154</v>
      </c>
      <c r="L10" s="159">
        <f t="shared" ca="1" si="2"/>
        <v>52.494322354010308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Merisier</v>
      </c>
      <c r="B11" s="161">
        <f>'Données projet'!D14</f>
        <v>0.18000000000000002</v>
      </c>
      <c r="C11" s="154">
        <f ca="1">IF(OR('Données projet'!B14="",'Données projet'!C14="",'Données projet'!C14=0%),0,Calculateur!DT3)</f>
        <v>309.21625451786218</v>
      </c>
      <c r="D11" s="154">
        <f>IF(OR('Données projet'!B14="",'Données projet'!C14="",'Données projet'!C14=0%),0,Calculateur!DU3)</f>
        <v>302.59481222418219</v>
      </c>
      <c r="E11" s="154">
        <f t="shared" ca="1" si="0"/>
        <v>302.59481222418219</v>
      </c>
      <c r="F11" s="154">
        <f t="shared" ca="1" si="1"/>
        <v>54.467066200352804</v>
      </c>
      <c r="G11" s="154">
        <f ca="1">F11*(100%-'Données projet'!$C$24)*(100%-'Données projet'!$C$25)*(100%-'Données projet'!$C$26)*(100%-'Données projet'!$C$27)</f>
        <v>49.020359580317525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2.4750000000000001</v>
      </c>
      <c r="K11" s="158">
        <f>J11*(100%-'Données projet'!$C$24)*(100%-'Données projet'!$C$25)*(100%-'Données projet'!$C$26)*(100%-'Données projet'!$C$27)</f>
        <v>2.2275</v>
      </c>
      <c r="L11" s="159">
        <f t="shared" ca="1" si="2"/>
        <v>51.247859580317524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Erable champêtre</v>
      </c>
      <c r="B12" s="161">
        <f>'Données projet'!D15</f>
        <v>9.0000000000000011E-2</v>
      </c>
      <c r="C12" s="154">
        <f ca="1">IF(OR('Données projet'!B15="",'Données projet'!C15="",'Données projet'!C15=0%),0,Calculateur!EO3)</f>
        <v>298.56812743477741</v>
      </c>
      <c r="D12" s="154">
        <f>IF(OR('Données projet'!B15="",'Données projet'!C15="",'Données projet'!C15=0%),0,Calculateur!EP3)</f>
        <v>276.01618888357268</v>
      </c>
      <c r="E12" s="154">
        <f t="shared" ca="1" si="0"/>
        <v>276.01618888357268</v>
      </c>
      <c r="F12" s="154">
        <f t="shared" ca="1" si="1"/>
        <v>24.841456999521544</v>
      </c>
      <c r="G12" s="154">
        <f ca="1">F12*(100%-'Données projet'!$C$24)*(100%-'Données projet'!$C$25)*(100%-'Données projet'!$C$26)*(100%-'Données projet'!$C$27)</f>
        <v>22.357311299569389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0.94500000000000006</v>
      </c>
      <c r="K12" s="158">
        <f>J12*(100%-'Données projet'!$C$24)*(100%-'Données projet'!$C$25)*(100%-'Données projet'!$C$26)*(100%-'Données projet'!$C$27)</f>
        <v>0.85050000000000003</v>
      </c>
      <c r="L12" s="159">
        <f t="shared" ca="1" si="2"/>
        <v>23.207811299569389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Tilleul</v>
      </c>
      <c r="B13" s="161">
        <f>'Données projet'!D16</f>
        <v>9.0000000000000011E-2</v>
      </c>
      <c r="C13" s="154">
        <f ca="1">IF(OR('Données projet'!B16="",'Données projet'!C16="",'Données projet'!C16=0%),0,Calculateur!FJ3)</f>
        <v>396.0878652679051</v>
      </c>
      <c r="D13" s="154">
        <f>IF(OR('Données projet'!B16="",'Données projet'!C16="",'Données projet'!C16=0%),0,Calculateur!FK3)</f>
        <v>327.26339199235406</v>
      </c>
      <c r="E13" s="154">
        <f t="shared" ca="1" si="0"/>
        <v>327.26339199235406</v>
      </c>
      <c r="F13" s="154">
        <f t="shared" ca="1" si="1"/>
        <v>29.453705279311869</v>
      </c>
      <c r="G13" s="154">
        <f ca="1">F13*(100%-'Données projet'!$C$24)*(100%-'Données projet'!$C$25)*(100%-'Données projet'!$C$26)*(100%-'Données projet'!$C$27)</f>
        <v>26.508334751380684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1.7596153846153848</v>
      </c>
      <c r="K13" s="158">
        <f>J13*(100%-'Données projet'!$C$24)*(100%-'Données projet'!$C$25)*(100%-'Données projet'!$C$26)*(100%-'Données projet'!$C$27)</f>
        <v>1.5836538461538463</v>
      </c>
      <c r="L13" s="159">
        <f t="shared" ca="1" si="2"/>
        <v>28.091988597534531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589.93616901452492</v>
      </c>
      <c r="G16" s="173">
        <f t="shared" ca="1" si="3"/>
        <v>530.94255211307245</v>
      </c>
      <c r="H16" s="174">
        <f t="shared" si="3"/>
        <v>0</v>
      </c>
      <c r="I16" s="174">
        <f t="shared" si="3"/>
        <v>0</v>
      </c>
      <c r="J16" s="175">
        <f t="shared" si="3"/>
        <v>34.920000000000009</v>
      </c>
      <c r="K16" s="175">
        <f t="shared" si="3"/>
        <v>31.428000000000008</v>
      </c>
      <c r="L16" s="176">
        <f t="shared" ca="1" si="3"/>
        <v>562.37055211307245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Hêtre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Erable sycomore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Erable plane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Alisier torminal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Charme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Merisier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Erable champêtre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Tilleul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C133" sqref="C1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40" t="s">
        <v>315</v>
      </c>
      <c r="I4" s="340"/>
      <c r="K4" s="337" t="s">
        <v>253</v>
      </c>
      <c r="L4" s="338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9" t="s">
        <v>310</v>
      </c>
      <c r="S7" s="330"/>
      <c r="T7" s="330"/>
      <c r="U7" s="330"/>
      <c r="V7" s="331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Hêtre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1225.1437350061908</v>
      </c>
      <c r="U10" s="188">
        <f>'Données projet'!D9</f>
        <v>0.36000000000000004</v>
      </c>
      <c r="V10" s="187">
        <f>U10*T10</f>
        <v>441.05174460222872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Erable sycomore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2094.3643226198092</v>
      </c>
      <c r="U11" s="188">
        <f>'Données projet'!D10</f>
        <v>0.36000000000000004</v>
      </c>
      <c r="V11" s="187">
        <f>U11*T11</f>
        <v>753.97115614313134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Erable plane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2094.3643226198092</v>
      </c>
      <c r="U12" s="188">
        <f>'Données projet'!D11</f>
        <v>0.36000000000000004</v>
      </c>
      <c r="V12" s="187">
        <f t="shared" ref="V12:V19" si="0">U12*T12</f>
        <v>753.97115614313134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Alisier torminal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566.64391648456444</v>
      </c>
      <c r="U13" s="188">
        <f>'Données projet'!D12</f>
        <v>0.18000000000000002</v>
      </c>
      <c r="V13" s="187">
        <f t="shared" si="0"/>
        <v>101.99590496722161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Hêtre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Charme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509.58934385645489</v>
      </c>
      <c r="U14" s="188">
        <f>'Données projet'!D13</f>
        <v>0.18000000000000002</v>
      </c>
      <c r="V14" s="187">
        <f t="shared" si="0"/>
        <v>91.726081894161894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41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Merisier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2381.3036276748571</v>
      </c>
      <c r="U15" s="188">
        <f>'Données projet'!D14</f>
        <v>0.18000000000000002</v>
      </c>
      <c r="V15" s="187">
        <f t="shared" si="0"/>
        <v>428.63465298147435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1"/>
      <c r="H16" s="201"/>
      <c r="I16" s="202"/>
      <c r="J16" s="214"/>
      <c r="K16" s="223"/>
      <c r="L16" s="337" t="s">
        <v>254</v>
      </c>
      <c r="M16" s="338"/>
      <c r="N16" s="2"/>
      <c r="O16" s="25"/>
      <c r="P16" s="25"/>
      <c r="Q16" s="263"/>
      <c r="R16" s="25"/>
      <c r="S16" s="183" t="str">
        <f>B200</f>
        <v>Erable champêtre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1176.8953181142263</v>
      </c>
      <c r="U16" s="188">
        <f>'Données projet'!D15</f>
        <v>9.0000000000000011E-2</v>
      </c>
      <c r="V16" s="187">
        <f t="shared" si="0"/>
        <v>105.92057863028037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1"/>
      <c r="J17" s="214"/>
      <c r="K17" s="223"/>
      <c r="L17" s="295" t="s">
        <v>289</v>
      </c>
      <c r="M17" s="297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Tilleul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721.52809522880659</v>
      </c>
      <c r="U17" s="188">
        <f>'Données projet'!D16</f>
        <v>9.0000000000000011E-2</v>
      </c>
      <c r="V17" s="187">
        <f t="shared" si="0"/>
        <v>64.937528570592605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1"/>
      <c r="J18" s="214"/>
      <c r="K18" s="223"/>
      <c r="L18" s="295" t="s">
        <v>255</v>
      </c>
      <c r="M18" s="297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1"/>
      <c r="H19" s="230" t="s">
        <v>178</v>
      </c>
      <c r="I19" s="230" t="s">
        <v>287</v>
      </c>
      <c r="J19" s="258"/>
      <c r="K19" s="181"/>
      <c r="L19" s="337" t="s">
        <v>288</v>
      </c>
      <c r="M19" s="338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1"/>
      <c r="H20" s="201">
        <v>0</v>
      </c>
      <c r="I20" s="202">
        <v>8000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27</v>
      </c>
      <c r="B23" s="191">
        <f>'Données projet'!D36</f>
        <v>12</v>
      </c>
      <c r="C23" s="202">
        <v>10</v>
      </c>
      <c r="D23" s="192">
        <f>B23*C23</f>
        <v>120</v>
      </c>
      <c r="E23" s="204"/>
      <c r="F23" s="259"/>
      <c r="H23" s="201"/>
      <c r="I23" s="202"/>
      <c r="K23" s="223"/>
      <c r="L23" s="339" t="s">
        <v>260</v>
      </c>
      <c r="M23" s="339"/>
      <c r="N23" s="339"/>
      <c r="O23" s="25"/>
      <c r="P23" s="25"/>
      <c r="Q23" s="263"/>
      <c r="R23" s="25"/>
      <c r="S23" s="183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-11657.791196067777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30</v>
      </c>
      <c r="B24" s="191">
        <f>'Données projet'!D37</f>
        <v>13</v>
      </c>
      <c r="C24" s="202">
        <v>10</v>
      </c>
      <c r="D24" s="192">
        <f t="shared" ref="D24:D42" si="1">B24*C24</f>
        <v>130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6440.0117235444177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36</v>
      </c>
      <c r="B25" s="191">
        <f>'Données projet'!D38</f>
        <v>60</v>
      </c>
      <c r="C25" s="202">
        <v>10</v>
      </c>
      <c r="D25" s="192">
        <f t="shared" si="1"/>
        <v>600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161.47999999999999</v>
      </c>
      <c r="Q25" s="263"/>
      <c r="R25" s="25"/>
      <c r="S25" s="196" t="s">
        <v>266</v>
      </c>
      <c r="T25" s="336">
        <f ca="1">T23-T24</f>
        <v>-18097.802919612193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42</v>
      </c>
      <c r="B26" s="191">
        <f>'Données projet'!D39</f>
        <v>59</v>
      </c>
      <c r="C26" s="202">
        <v>15</v>
      </c>
      <c r="D26" s="192">
        <f t="shared" si="1"/>
        <v>885</v>
      </c>
      <c r="E26" s="204"/>
      <c r="F26" s="262"/>
      <c r="G26" s="257"/>
      <c r="H26" s="201"/>
      <c r="I26" s="202"/>
      <c r="K26" s="223"/>
      <c r="L26" s="323" t="s">
        <v>258</v>
      </c>
      <c r="M26" s="324"/>
      <c r="N26" s="324"/>
      <c r="O26" s="324"/>
      <c r="P26" s="325"/>
      <c r="Q26" s="263"/>
      <c r="R26" s="25"/>
      <c r="S26" s="196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48</v>
      </c>
      <c r="B27" s="191">
        <f>'Données projet'!D40</f>
        <v>63</v>
      </c>
      <c r="C27" s="202">
        <v>15</v>
      </c>
      <c r="D27" s="192">
        <f t="shared" si="1"/>
        <v>945</v>
      </c>
      <c r="E27" s="204"/>
      <c r="F27" s="262"/>
      <c r="G27" s="257"/>
      <c r="H27" s="201"/>
      <c r="I27" s="202"/>
      <c r="K27" s="223"/>
      <c r="L27" s="326"/>
      <c r="M27" s="327"/>
      <c r="N27" s="327"/>
      <c r="O27" s="327"/>
      <c r="P27" s="328"/>
      <c r="Q27" s="263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54</v>
      </c>
      <c r="B28" s="191">
        <f>'Données projet'!D41</f>
        <v>64</v>
      </c>
      <c r="C28" s="202">
        <v>20</v>
      </c>
      <c r="D28" s="192">
        <f t="shared" si="1"/>
        <v>1280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60</v>
      </c>
      <c r="B29" s="191">
        <f>'Données projet'!D42</f>
        <v>61</v>
      </c>
      <c r="C29" s="202">
        <v>25</v>
      </c>
      <c r="D29" s="192">
        <f t="shared" si="1"/>
        <v>1525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69</v>
      </c>
      <c r="B30" s="191">
        <f>'Données projet'!D43</f>
        <v>84</v>
      </c>
      <c r="C30" s="202">
        <v>30</v>
      </c>
      <c r="D30" s="192">
        <f t="shared" si="1"/>
        <v>2520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3577.7842908580096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78</v>
      </c>
      <c r="B31" s="191">
        <f>'Données projet'!D44</f>
        <v>39</v>
      </c>
      <c r="C31" s="202">
        <v>40</v>
      </c>
      <c r="D31" s="192">
        <f t="shared" si="1"/>
        <v>1560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84</v>
      </c>
      <c r="B32" s="191">
        <f>'Données projet'!D45</f>
        <v>0</v>
      </c>
      <c r="C32" s="202"/>
      <c r="D32" s="192">
        <f t="shared" si="1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90</v>
      </c>
      <c r="B33" s="191">
        <f>'Données projet'!D46</f>
        <v>0</v>
      </c>
      <c r="C33" s="202"/>
      <c r="D33" s="192">
        <f t="shared" si="1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2">$P$25/(1+$M$4)^O33</f>
        <v>161.47999999999999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96</v>
      </c>
      <c r="B34" s="191">
        <f>'Données projet'!D47</f>
        <v>0</v>
      </c>
      <c r="C34" s="202"/>
      <c r="D34" s="192">
        <f t="shared" si="1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2"/>
        <v>154.52631578947367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99</v>
      </c>
      <c r="B35" s="191">
        <f>'Données projet'!D48</f>
        <v>591</v>
      </c>
      <c r="C35" s="202">
        <v>50</v>
      </c>
      <c r="D35" s="192">
        <f t="shared" si="1"/>
        <v>29550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2"/>
        <v>147.87207252581214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1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2"/>
        <v>141.50437562278674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1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2"/>
        <v>135.41088576343233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1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2"/>
        <v>129.57979498893047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1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2"/>
        <v>123.99980381715837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1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2"/>
        <v>118.66009934656302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1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2"/>
        <v>113.55033430293116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1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2"/>
        <v>108.66060698845088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2"/>
        <v>103.98144209421139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2"/>
        <v>99.503772338958257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Erable sycomore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2"/>
        <v>95.218920898524672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2"/>
        <v>91.118584591889629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2"/>
        <v>87.194817791281963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2"/>
        <v>83.440017025150198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2"/>
        <v>79.846906244162909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2"/>
        <v>76.408522721686992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2"/>
        <v>73.118203561422973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2"/>
        <v>69.969572786050691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2"/>
        <v>66.956528981866711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2"/>
        <v>64.073233475470531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15</v>
      </c>
      <c r="B55" s="191">
        <f>'Données projet'!D63</f>
        <v>0</v>
      </c>
      <c r="C55" s="202"/>
      <c r="D55" s="189">
        <f t="shared" ref="D55:D73" si="3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2"/>
        <v>61.314099019589044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20</v>
      </c>
      <c r="B56" s="191">
        <f>'Données projet'!D64</f>
        <v>66.5</v>
      </c>
      <c r="C56" s="202">
        <v>10</v>
      </c>
      <c r="D56" s="189">
        <f t="shared" si="3"/>
        <v>665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2"/>
        <v>58.673778966113915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25</v>
      </c>
      <c r="B57" s="191">
        <f>'Données projet'!D65</f>
        <v>0</v>
      </c>
      <c r="C57" s="202"/>
      <c r="D57" s="189">
        <f t="shared" si="3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2"/>
        <v>56.147156905372178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30</v>
      </c>
      <c r="B58" s="191">
        <f>'Données projet'!D66</f>
        <v>70</v>
      </c>
      <c r="C58" s="202">
        <v>15</v>
      </c>
      <c r="D58" s="189">
        <f t="shared" si="3"/>
        <v>1050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2"/>
        <v>53.729336751552324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35</v>
      </c>
      <c r="B59" s="191">
        <f>'Données projet'!D67</f>
        <v>0</v>
      </c>
      <c r="C59" s="202"/>
      <c r="D59" s="189">
        <f t="shared" si="3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2"/>
        <v>51.415633255074013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40</v>
      </c>
      <c r="B60" s="191">
        <f>'Données projet'!D68</f>
        <v>70</v>
      </c>
      <c r="C60" s="202">
        <v>20</v>
      </c>
      <c r="D60" s="189">
        <f t="shared" si="3"/>
        <v>1400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2"/>
        <v>49.201562923515795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45</v>
      </c>
      <c r="B61" s="191">
        <f>'Données projet'!D69</f>
        <v>0</v>
      </c>
      <c r="C61" s="202"/>
      <c r="D61" s="189">
        <f t="shared" si="3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2"/>
        <v>47.082835333507951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50</v>
      </c>
      <c r="B62" s="191">
        <f>'Données projet'!D70</f>
        <v>43.099999999999994</v>
      </c>
      <c r="C62" s="202">
        <v>30</v>
      </c>
      <c r="D62" s="189">
        <f t="shared" si="3"/>
        <v>1292.9999999999998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2"/>
        <v>45.055344816754015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55</v>
      </c>
      <c r="B63" s="191">
        <f>'Données projet'!D71</f>
        <v>0</v>
      </c>
      <c r="C63" s="202"/>
      <c r="D63" s="189">
        <f t="shared" si="3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2"/>
        <v>43.115162504070845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60</v>
      </c>
      <c r="B64" s="191">
        <f>'Données projet'!D72</f>
        <v>30.2</v>
      </c>
      <c r="C64" s="202">
        <v>40</v>
      </c>
      <c r="D64" s="189">
        <f t="shared" si="3"/>
        <v>1208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2"/>
        <v>41.258528712029509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65</v>
      </c>
      <c r="B65" s="191">
        <f>'Données projet'!D73</f>
        <v>0</v>
      </c>
      <c r="C65" s="202"/>
      <c r="D65" s="189">
        <f t="shared" si="3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4">$P$25/(1+$M$4)^O65</f>
        <v>39.481845657444524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70</v>
      </c>
      <c r="B66" s="191">
        <f>'Données projet'!D74</f>
        <v>25.9</v>
      </c>
      <c r="C66" s="202">
        <v>50</v>
      </c>
      <c r="D66" s="189">
        <f t="shared" si="3"/>
        <v>1295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4"/>
        <v>37.781670485592855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75</v>
      </c>
      <c r="B67" s="191">
        <f>'Données projet'!D75</f>
        <v>0</v>
      </c>
      <c r="C67" s="202"/>
      <c r="D67" s="189">
        <f t="shared" si="3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4"/>
        <v>36.15470859865345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80</v>
      </c>
      <c r="B68" s="191">
        <f>'Données projet'!D76</f>
        <v>341.3</v>
      </c>
      <c r="C68" s="204">
        <v>100</v>
      </c>
      <c r="D68" s="189">
        <f t="shared" si="3"/>
        <v>34130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4"/>
        <v>34.597807271438711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3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4"/>
        <v>33.107949542046619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3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4"/>
        <v>31.682248365594852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3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4"/>
        <v>30.317941019707995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3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4"/>
        <v>29.012383750916744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3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4"/>
        <v>27.763046651594976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4"/>
        <v>26.567508757507159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4"/>
        <v>25.423453356466183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Erable plane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4"/>
        <v>24.328663499010702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4"/>
        <v>23.28101770240259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4"/>
        <v>22.278485839619702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4"/>
        <v>21.319125205377709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4"/>
        <v>20.401076751557614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4"/>
        <v>19.522561484744138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4"/>
        <v>18.681877018893911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4"/>
        <v>17.877394276453508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4"/>
        <v>17.107554331534459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4"/>
        <v>16.370865389028193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15</v>
      </c>
      <c r="B86" s="191">
        <f>'Données projet'!D89</f>
        <v>0</v>
      </c>
      <c r="C86" s="202"/>
      <c r="D86" s="189">
        <f t="shared" ref="D86:D104" si="5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4"/>
        <v>15.665899893806882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20</v>
      </c>
      <c r="B87" s="191">
        <f>'Données projet'!D90</f>
        <v>66.5</v>
      </c>
      <c r="C87" s="202">
        <v>10</v>
      </c>
      <c r="D87" s="189">
        <f t="shared" si="5"/>
        <v>665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4"/>
        <v>14.991291764408507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25</v>
      </c>
      <c r="B88" s="191">
        <f>'Données projet'!D91</f>
        <v>0</v>
      </c>
      <c r="C88" s="202"/>
      <c r="D88" s="189">
        <f t="shared" si="5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4"/>
        <v>14.345733745845457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30</v>
      </c>
      <c r="B89" s="191">
        <f>'Données projet'!D92</f>
        <v>70</v>
      </c>
      <c r="C89" s="202">
        <v>15</v>
      </c>
      <c r="D89" s="189">
        <f t="shared" si="5"/>
        <v>1050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4"/>
        <v>13.72797487640714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35</v>
      </c>
      <c r="B90" s="191">
        <f>'Données projet'!D93</f>
        <v>0</v>
      </c>
      <c r="C90" s="202"/>
      <c r="D90" s="189">
        <f t="shared" si="5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4"/>
        <v>13.136818063547505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40</v>
      </c>
      <c r="B91" s="191">
        <f>'Données projet'!D94</f>
        <v>70</v>
      </c>
      <c r="C91" s="202">
        <v>20</v>
      </c>
      <c r="D91" s="189">
        <f t="shared" si="5"/>
        <v>1400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4"/>
        <v>12.571117764160293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45</v>
      </c>
      <c r="B92" s="191">
        <f>'Données projet'!D95</f>
        <v>0</v>
      </c>
      <c r="C92" s="202"/>
      <c r="D92" s="189">
        <f t="shared" si="5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4"/>
        <v>12.029777764746694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50</v>
      </c>
      <c r="B93" s="191">
        <f>'Données projet'!D96</f>
        <v>43.099999999999994</v>
      </c>
      <c r="C93" s="202">
        <v>30</v>
      </c>
      <c r="D93" s="189">
        <f t="shared" si="5"/>
        <v>1292.9999999999998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4"/>
        <v>11.511749057173871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55</v>
      </c>
      <c r="B94" s="191">
        <f>'Données projet'!D97</f>
        <v>0</v>
      </c>
      <c r="C94" s="202"/>
      <c r="D94" s="189">
        <f t="shared" si="5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4"/>
        <v>11.016027805908008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60</v>
      </c>
      <c r="B95" s="191">
        <f>'Données projet'!D98</f>
        <v>30.2</v>
      </c>
      <c r="C95" s="202">
        <v>40</v>
      </c>
      <c r="D95" s="189">
        <f t="shared" si="5"/>
        <v>1208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4"/>
        <v>10.541653402782787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65</v>
      </c>
      <c r="B96" s="191">
        <f>'Données projet'!D99</f>
        <v>0</v>
      </c>
      <c r="C96" s="202"/>
      <c r="D96" s="189">
        <f t="shared" si="5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4"/>
        <v>10.087706605533766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70</v>
      </c>
      <c r="B97" s="191">
        <f>'Données projet'!D100</f>
        <v>25.9</v>
      </c>
      <c r="C97" s="202">
        <v>50</v>
      </c>
      <c r="D97" s="189">
        <f t="shared" si="5"/>
        <v>1295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6">$P$25/(1+$M$4)^O97</f>
        <v>9.6533077564916479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75</v>
      </c>
      <c r="B98" s="191">
        <f>'Données projet'!D101</f>
        <v>0</v>
      </c>
      <c r="C98" s="202"/>
      <c r="D98" s="189">
        <f t="shared" si="5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6"/>
        <v>9.2376150779824382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80</v>
      </c>
      <c r="B99" s="191">
        <f>'Données projet'!D102</f>
        <v>341.3</v>
      </c>
      <c r="C99" s="204">
        <v>100</v>
      </c>
      <c r="D99" s="189">
        <f t="shared" si="5"/>
        <v>34130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6"/>
        <v>8.8398230411315222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4"/>
      <c r="D100" s="189">
        <f t="shared" si="5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6"/>
        <v>8.459160804910546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4"/>
      <c r="D101" s="189">
        <f t="shared" si="5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6"/>
        <v>8.0948907224024378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4"/>
      <c r="D102" s="189">
        <f t="shared" si="5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6"/>
        <v>7.7463069113898939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4"/>
      <c r="D103" s="189">
        <f t="shared" si="5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str">
        <f>IF(O102+1&lt;=MIN('Données projet'!$E$9:$E$18),O102+1,"STOP")</f>
        <v>STOP</v>
      </c>
      <c r="P103" s="195" t="e">
        <f t="shared" si="6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4"/>
      <c r="D104" s="189">
        <f t="shared" si="5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6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6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6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Alisier torminal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6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6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6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6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6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6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6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6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6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6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0</v>
      </c>
      <c r="C117" s="204"/>
      <c r="D117" s="189">
        <f t="shared" ref="D117:D135" si="7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6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29</v>
      </c>
      <c r="C118" s="204">
        <v>10</v>
      </c>
      <c r="D118" s="189">
        <f t="shared" si="7"/>
        <v>290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6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0</v>
      </c>
      <c r="C119" s="204"/>
      <c r="D119" s="189">
        <f t="shared" si="7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6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42</v>
      </c>
      <c r="C120" s="204">
        <v>10</v>
      </c>
      <c r="D120" s="189">
        <f t="shared" si="7"/>
        <v>420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6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0</v>
      </c>
      <c r="C121" s="204"/>
      <c r="D121" s="189">
        <f t="shared" si="7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6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42</v>
      </c>
      <c r="C122" s="204">
        <v>10</v>
      </c>
      <c r="D122" s="189">
        <f t="shared" si="7"/>
        <v>420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6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0</v>
      </c>
      <c r="C123" s="204"/>
      <c r="D123" s="189">
        <f t="shared" si="7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6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42</v>
      </c>
      <c r="C124" s="204">
        <v>20</v>
      </c>
      <c r="D124" s="189">
        <f t="shared" si="7"/>
        <v>840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6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0</v>
      </c>
      <c r="C125" s="204"/>
      <c r="D125" s="189">
        <f t="shared" si="7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6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42</v>
      </c>
      <c r="C126" s="204">
        <v>30</v>
      </c>
      <c r="D126" s="189">
        <f t="shared" si="7"/>
        <v>1260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6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0</v>
      </c>
      <c r="C127" s="204"/>
      <c r="D127" s="189">
        <f t="shared" si="7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6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42</v>
      </c>
      <c r="C128" s="204">
        <v>40</v>
      </c>
      <c r="D128" s="189">
        <f t="shared" si="7"/>
        <v>1680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6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42</v>
      </c>
      <c r="C129" s="204">
        <v>50</v>
      </c>
      <c r="D129" s="189">
        <f t="shared" si="7"/>
        <v>2100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100</v>
      </c>
      <c r="B130" s="191">
        <f>'Données projet'!D128</f>
        <v>42</v>
      </c>
      <c r="C130" s="204">
        <v>60</v>
      </c>
      <c r="D130" s="189">
        <f t="shared" si="7"/>
        <v>2520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>$P$25/(1+$M$4)^O130</f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110</v>
      </c>
      <c r="B131" s="191">
        <f>'Données projet'!D129</f>
        <v>39</v>
      </c>
      <c r="C131" s="204">
        <v>70</v>
      </c>
      <c r="D131" s="189">
        <f t="shared" si="7"/>
        <v>2730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>$P$25/(1+$M$4)^O131</f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120</v>
      </c>
      <c r="B132" s="191">
        <f>'Données projet'!D130</f>
        <v>35</v>
      </c>
      <c r="C132" s="204">
        <v>80</v>
      </c>
      <c r="D132" s="189">
        <f t="shared" si="7"/>
        <v>2800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>$P$25/(1+$M$4)^O132</f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130</v>
      </c>
      <c r="B133" s="191">
        <f>'Données projet'!D131</f>
        <v>31</v>
      </c>
      <c r="C133" s="204">
        <v>100</v>
      </c>
      <c r="D133" s="189">
        <f t="shared" si="7"/>
        <v>3100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140</v>
      </c>
      <c r="B134" s="191">
        <f>'Données projet'!D132</f>
        <v>27</v>
      </c>
      <c r="C134" s="204">
        <v>120</v>
      </c>
      <c r="D134" s="189">
        <f t="shared" si="7"/>
        <v>3240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293</v>
      </c>
      <c r="C135" s="204">
        <v>200</v>
      </c>
      <c r="D135" s="189">
        <f t="shared" si="7"/>
        <v>58600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Charme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5">
        <f>'Données projet'!D141</f>
        <v>0</v>
      </c>
      <c r="C148" s="202"/>
      <c r="D148" s="192">
        <f t="shared" ref="D148:D166" si="8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5">
        <f>'Données projet'!D142</f>
        <v>35.897435897435898</v>
      </c>
      <c r="C149" s="202">
        <v>10</v>
      </c>
      <c r="D149" s="192">
        <f t="shared" si="8"/>
        <v>358.97435897435901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5">
        <f>'Données projet'!D143</f>
        <v>0</v>
      </c>
      <c r="C150" s="202"/>
      <c r="D150" s="192">
        <f t="shared" si="8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5">
        <f>'Données projet'!D144</f>
        <v>33.333333333333336</v>
      </c>
      <c r="C151" s="202">
        <v>10</v>
      </c>
      <c r="D151" s="192">
        <f t="shared" si="8"/>
        <v>333.33333333333337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5">
        <f>'Données projet'!D145</f>
        <v>0</v>
      </c>
      <c r="C152" s="202"/>
      <c r="D152" s="192">
        <f t="shared" si="8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5">
        <f>'Données projet'!D146</f>
        <v>34.615384615384613</v>
      </c>
      <c r="C153" s="202">
        <v>15</v>
      </c>
      <c r="D153" s="192">
        <f t="shared" si="8"/>
        <v>519.23076923076917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5">
        <f>'Données projet'!D147</f>
        <v>0</v>
      </c>
      <c r="C154" s="202"/>
      <c r="D154" s="192">
        <f t="shared" si="8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5">
        <f>'Données projet'!D148</f>
        <v>34.615384615384613</v>
      </c>
      <c r="C155" s="202">
        <v>20</v>
      </c>
      <c r="D155" s="192">
        <f t="shared" si="8"/>
        <v>692.30769230769226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5">
        <f>'Données projet'!D149</f>
        <v>0</v>
      </c>
      <c r="C156" s="202"/>
      <c r="D156" s="192">
        <f t="shared" si="8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5">
        <f>'Données projet'!D150</f>
        <v>32.692307692307693</v>
      </c>
      <c r="C157" s="202">
        <v>20</v>
      </c>
      <c r="D157" s="192">
        <f t="shared" si="8"/>
        <v>653.84615384615381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5">
        <f>'Données projet'!D151</f>
        <v>0</v>
      </c>
      <c r="C158" s="202"/>
      <c r="D158" s="192">
        <f t="shared" si="8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5">
        <f>'Données projet'!D152</f>
        <v>30.769230769230766</v>
      </c>
      <c r="C159" s="202">
        <v>25</v>
      </c>
      <c r="D159" s="192">
        <f t="shared" si="8"/>
        <v>769.23076923076917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5">
        <f>'Données projet'!D153</f>
        <v>0</v>
      </c>
      <c r="C160" s="202"/>
      <c r="D160" s="192">
        <f t="shared" si="8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5">
        <f>'Données projet'!D154</f>
        <v>28.846153846153847</v>
      </c>
      <c r="C161" s="202">
        <v>30</v>
      </c>
      <c r="D161" s="192">
        <f t="shared" si="8"/>
        <v>865.38461538461536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5">
        <f>'Données projet'!D155</f>
        <v>0</v>
      </c>
      <c r="C162" s="204"/>
      <c r="D162" s="192">
        <f t="shared" si="8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95</v>
      </c>
      <c r="B163" s="185">
        <f>'Données projet'!D156</f>
        <v>27.564102564102562</v>
      </c>
      <c r="C163" s="204">
        <v>35</v>
      </c>
      <c r="D163" s="192">
        <f t="shared" si="8"/>
        <v>964.74358974358972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100</v>
      </c>
      <c r="B164" s="185">
        <f>'Données projet'!D157</f>
        <v>0</v>
      </c>
      <c r="C164" s="204"/>
      <c r="D164" s="192">
        <f t="shared" si="8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5">
        <f>'Données projet'!D158</f>
        <v>37.820512820512818</v>
      </c>
      <c r="C165" s="204">
        <v>40</v>
      </c>
      <c r="D165" s="192">
        <f t="shared" si="8"/>
        <v>1512.8205128205127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5">
        <f>'Données projet'!D159</f>
        <v>285.89743589743591</v>
      </c>
      <c r="C166" s="204">
        <v>50</v>
      </c>
      <c r="D166" s="192">
        <f t="shared" si="8"/>
        <v>14294.871794871795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Merisier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20</v>
      </c>
      <c r="B179" s="191">
        <f>'Données projet'!D167</f>
        <v>28</v>
      </c>
      <c r="C179" s="204">
        <v>10</v>
      </c>
      <c r="D179" s="189">
        <f t="shared" ref="D179:D197" si="9">B179*C179</f>
        <v>280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25</v>
      </c>
      <c r="B180" s="191">
        <f>'Données projet'!D168</f>
        <v>27</v>
      </c>
      <c r="C180" s="204">
        <v>10</v>
      </c>
      <c r="D180" s="189">
        <f t="shared" si="9"/>
        <v>270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31</v>
      </c>
      <c r="B181" s="191">
        <f>'Données projet'!D169</f>
        <v>36</v>
      </c>
      <c r="C181" s="204">
        <v>10</v>
      </c>
      <c r="D181" s="189">
        <f t="shared" si="9"/>
        <v>360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37</v>
      </c>
      <c r="B182" s="191">
        <f>'Données projet'!D170</f>
        <v>36</v>
      </c>
      <c r="C182" s="204">
        <v>15</v>
      </c>
      <c r="D182" s="189">
        <f t="shared" si="9"/>
        <v>540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44</v>
      </c>
      <c r="B183" s="191">
        <f>'Données projet'!D171</f>
        <v>43</v>
      </c>
      <c r="C183" s="204">
        <v>20</v>
      </c>
      <c r="D183" s="189">
        <f t="shared" si="9"/>
        <v>860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52</v>
      </c>
      <c r="B184" s="191">
        <f>'Données projet'!D172</f>
        <v>48</v>
      </c>
      <c r="C184" s="204">
        <v>30</v>
      </c>
      <c r="D184" s="189">
        <f t="shared" si="9"/>
        <v>1440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60</v>
      </c>
      <c r="B185" s="191">
        <f>'Données projet'!D173</f>
        <v>47</v>
      </c>
      <c r="C185" s="204">
        <v>40</v>
      </c>
      <c r="D185" s="189">
        <f t="shared" si="9"/>
        <v>1880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69</v>
      </c>
      <c r="B186" s="191">
        <f>'Données projet'!D174</f>
        <v>328</v>
      </c>
      <c r="C186" s="204">
        <v>100</v>
      </c>
      <c r="D186" s="189">
        <f t="shared" si="9"/>
        <v>32800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9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9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2"/>
      <c r="D189" s="189">
        <f t="shared" si="9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2"/>
      <c r="D190" s="189">
        <f t="shared" si="9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2"/>
      <c r="D191" s="189">
        <f t="shared" si="9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9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9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9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9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9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9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Erable champêtre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20</v>
      </c>
      <c r="B210" s="191">
        <f>'Données projet'!D193</f>
        <v>0</v>
      </c>
      <c r="C210" s="204"/>
      <c r="D210" s="189">
        <f t="shared" ref="D210:D228" si="10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25</v>
      </c>
      <c r="B211" s="191">
        <f>'Données projet'!D194</f>
        <v>42</v>
      </c>
      <c r="C211" s="202">
        <v>10</v>
      </c>
      <c r="D211" s="189">
        <f t="shared" si="10"/>
        <v>420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30</v>
      </c>
      <c r="B212" s="191">
        <f>'Données projet'!D195</f>
        <v>0</v>
      </c>
      <c r="C212" s="202"/>
      <c r="D212" s="189">
        <f t="shared" si="10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35</v>
      </c>
      <c r="B213" s="191">
        <f>'Données projet'!D196</f>
        <v>42</v>
      </c>
      <c r="C213" s="202">
        <v>15</v>
      </c>
      <c r="D213" s="189">
        <f t="shared" si="10"/>
        <v>630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40</v>
      </c>
      <c r="B214" s="191">
        <f>'Données projet'!D197</f>
        <v>0</v>
      </c>
      <c r="C214" s="202"/>
      <c r="D214" s="189">
        <f t="shared" si="10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45</v>
      </c>
      <c r="B215" s="191">
        <f>'Données projet'!D198</f>
        <v>39</v>
      </c>
      <c r="C215" s="202">
        <v>20</v>
      </c>
      <c r="D215" s="189">
        <f t="shared" si="10"/>
        <v>780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50</v>
      </c>
      <c r="B216" s="191">
        <f>'Données projet'!D199</f>
        <v>0</v>
      </c>
      <c r="C216" s="202"/>
      <c r="D216" s="189">
        <f t="shared" si="10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55</v>
      </c>
      <c r="B217" s="191">
        <f>'Données projet'!D200</f>
        <v>24</v>
      </c>
      <c r="C217" s="202">
        <v>30</v>
      </c>
      <c r="D217" s="189">
        <f t="shared" si="10"/>
        <v>720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60</v>
      </c>
      <c r="B218" s="191">
        <f>'Données projet'!D201</f>
        <v>0</v>
      </c>
      <c r="C218" s="202"/>
      <c r="D218" s="189">
        <f t="shared" si="10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65</v>
      </c>
      <c r="B219" s="191">
        <f>'Données projet'!D202</f>
        <v>17</v>
      </c>
      <c r="C219" s="202">
        <v>40</v>
      </c>
      <c r="D219" s="189">
        <f t="shared" si="10"/>
        <v>680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70</v>
      </c>
      <c r="B220" s="191">
        <f>'Données projet'!D203</f>
        <v>0</v>
      </c>
      <c r="C220" s="202"/>
      <c r="D220" s="189">
        <f t="shared" si="10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75</v>
      </c>
      <c r="B221" s="191">
        <f>'Données projet'!D204</f>
        <v>0</v>
      </c>
      <c r="C221" s="202"/>
      <c r="D221" s="189">
        <f t="shared" si="10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80</v>
      </c>
      <c r="B222" s="191">
        <f>'Données projet'!D205</f>
        <v>234</v>
      </c>
      <c r="C222" s="202">
        <v>100</v>
      </c>
      <c r="D222" s="189">
        <f t="shared" si="10"/>
        <v>23400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0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0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0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0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0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0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Tilleul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15</v>
      </c>
      <c r="B241" s="191">
        <f>'Données projet'!D219</f>
        <v>0</v>
      </c>
      <c r="C241" s="204"/>
      <c r="D241" s="189">
        <f t="shared" ref="D241:D259" si="11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20</v>
      </c>
      <c r="B242" s="191">
        <f>'Données projet'!D220</f>
        <v>39.102564102564102</v>
      </c>
      <c r="C242" s="202">
        <v>10</v>
      </c>
      <c r="D242" s="189">
        <f t="shared" si="11"/>
        <v>391.02564102564099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25</v>
      </c>
      <c r="B243" s="191">
        <f>'Données projet'!D221</f>
        <v>0</v>
      </c>
      <c r="C243" s="202"/>
      <c r="D243" s="189">
        <f t="shared" si="11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30</v>
      </c>
      <c r="B244" s="191">
        <f>'Données projet'!D222</f>
        <v>39.102564102564102</v>
      </c>
      <c r="C244" s="202">
        <v>10</v>
      </c>
      <c r="D244" s="189">
        <f t="shared" si="11"/>
        <v>391.02564102564099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35</v>
      </c>
      <c r="B245" s="191">
        <f>'Données projet'!D223</f>
        <v>0</v>
      </c>
      <c r="C245" s="202"/>
      <c r="D245" s="189">
        <f t="shared" si="11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40</v>
      </c>
      <c r="B246" s="191">
        <f>'Données projet'!D224</f>
        <v>39.743589743589745</v>
      </c>
      <c r="C246" s="202">
        <v>10</v>
      </c>
      <c r="D246" s="189">
        <f t="shared" si="11"/>
        <v>397.43589743589746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45</v>
      </c>
      <c r="B247" s="191">
        <f>'Données projet'!D225</f>
        <v>0</v>
      </c>
      <c r="C247" s="202"/>
      <c r="D247" s="189">
        <f t="shared" si="11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50</v>
      </c>
      <c r="B248" s="191">
        <f>'Données projet'!D226</f>
        <v>36.53846153846154</v>
      </c>
      <c r="C248" s="202">
        <v>15</v>
      </c>
      <c r="D248" s="189">
        <f t="shared" si="11"/>
        <v>548.07692307692309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55</v>
      </c>
      <c r="B249" s="191">
        <f>'Données projet'!D227</f>
        <v>0</v>
      </c>
      <c r="C249" s="202"/>
      <c r="D249" s="189">
        <f t="shared" si="11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60</v>
      </c>
      <c r="B250" s="191">
        <f>'Données projet'!D228</f>
        <v>35.256410256410255</v>
      </c>
      <c r="C250" s="202">
        <v>20</v>
      </c>
      <c r="D250" s="189">
        <f t="shared" si="11"/>
        <v>705.12820512820508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65</v>
      </c>
      <c r="B251" s="191">
        <f>'Données projet'!D229</f>
        <v>0</v>
      </c>
      <c r="C251" s="202"/>
      <c r="D251" s="189">
        <f t="shared" si="11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70</v>
      </c>
      <c r="B252" s="191">
        <f>'Données projet'!D230</f>
        <v>31.410256410256409</v>
      </c>
      <c r="C252" s="202">
        <v>30</v>
      </c>
      <c r="D252" s="189">
        <f t="shared" si="11"/>
        <v>942.30769230769226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75</v>
      </c>
      <c r="B253" s="191">
        <f>'Données projet'!D231</f>
        <v>0</v>
      </c>
      <c r="C253" s="202"/>
      <c r="D253" s="189">
        <f t="shared" si="11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80</v>
      </c>
      <c r="B254" s="191">
        <f>'Données projet'!D232</f>
        <v>28.846153846153847</v>
      </c>
      <c r="C254" s="202">
        <v>30</v>
      </c>
      <c r="D254" s="189">
        <f t="shared" si="11"/>
        <v>865.38461538461536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85</v>
      </c>
      <c r="B255" s="191">
        <f>'Données projet'!D233</f>
        <v>0</v>
      </c>
      <c r="C255" s="202"/>
      <c r="D255" s="189">
        <f t="shared" si="11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90</v>
      </c>
      <c r="B256" s="191">
        <f>'Données projet'!D234</f>
        <v>27.564102564102562</v>
      </c>
      <c r="C256" s="202">
        <v>40</v>
      </c>
      <c r="D256" s="189">
        <f t="shared" si="11"/>
        <v>1102.5641025641025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95</v>
      </c>
      <c r="B257" s="191">
        <f>'Données projet'!D235</f>
        <v>0</v>
      </c>
      <c r="C257" s="202"/>
      <c r="D257" s="189">
        <f t="shared" si="11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100</v>
      </c>
      <c r="B258" s="191">
        <f>'Données projet'!D236</f>
        <v>25</v>
      </c>
      <c r="C258" s="202">
        <v>40</v>
      </c>
      <c r="D258" s="189">
        <f t="shared" si="11"/>
        <v>1000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110</v>
      </c>
      <c r="B259" s="191">
        <f>'Données projet'!D237</f>
        <v>366.66666666666663</v>
      </c>
      <c r="C259" s="202">
        <v>60</v>
      </c>
      <c r="D259" s="189">
        <f t="shared" si="11"/>
        <v>21999.999999999996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2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2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2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2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2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2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2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2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2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2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2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2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2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2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2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2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2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2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2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3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3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3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3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3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3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3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3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3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3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3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3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3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3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3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3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3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3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3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2023-09-28T10:18:40Z</dcterms:modified>
</cp:coreProperties>
</file>