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09-B-VALLIER-CVL(45)-MARRIERE-Michon-Coudroy/"/>
    </mc:Choice>
  </mc:AlternateContent>
  <xr:revisionPtr revIDLastSave="0" documentId="13_ncr:1_{30DE61D8-18AE-B04B-BF3D-F34025B4390A}" xr6:coauthVersionLast="47" xr6:coauthVersionMax="47" xr10:uidLastSave="{00000000-0000-0000-0000-000000000000}"/>
  <bookViews>
    <workbookView xWindow="4340" yWindow="-28300" windowWidth="21960" windowHeight="242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HG155" i="2"/>
  <c r="ED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B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AB161" i="2"/>
  <c r="HH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HH162" i="2"/>
  <c r="HG162" i="2"/>
  <c r="DI161" i="2"/>
  <c r="EC162" i="2"/>
  <c r="EW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HI163" i="2"/>
  <c r="EB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A164" i="2"/>
  <c r="EV164" i="2"/>
  <c r="HG164" i="2"/>
  <c r="DI163" i="2"/>
  <c r="ED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EB168" i="2"/>
  <c r="EC168" i="2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A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S175" i="2" l="1"/>
  <c r="ED174" i="2"/>
  <c r="EB175" i="2"/>
  <c r="AA175" i="2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FS178" i="2"/>
  <c r="EA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A186" i="2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FQ193" i="2"/>
  <c r="HI193" i="2"/>
  <c r="EX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FQ194" i="2"/>
  <c r="EB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D194" i="2"/>
  <c r="EB195" i="2"/>
  <c r="HG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V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HG202" i="2"/>
  <c r="FZ6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82" i="2" a="1"/>
  <c r="BC82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41" i="2" a="1"/>
  <c r="DN41" i="2" s="1"/>
  <c r="DN29" i="2" a="1"/>
  <c r="DN29" i="2" s="1"/>
  <c r="DN115" i="2" a="1"/>
  <c r="DN115" i="2" s="1"/>
  <c r="DN177" i="2" a="1"/>
  <c r="DN177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189" i="2" a="1"/>
  <c r="FD189" i="2" s="1"/>
  <c r="FD167" i="2" a="1"/>
  <c r="FD167" i="2" s="1"/>
  <c r="FD160" i="2" a="1"/>
  <c r="FD160" i="2" s="1"/>
  <c r="BC130" i="2" a="1"/>
  <c r="BC130" i="2" s="1"/>
  <c r="BC164" i="2" a="1"/>
  <c r="BC164" i="2" s="1"/>
  <c r="BC7" i="2" a="1"/>
  <c r="BC7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DN187" i="2" a="1"/>
  <c r="DN187" i="2" s="1"/>
  <c r="HJ202" i="2"/>
  <c r="EY202" i="2"/>
  <c r="AX200" i="2"/>
  <c r="CS116" i="2" l="1" a="1"/>
  <c r="CS116" i="2" s="1"/>
  <c r="CS72" i="2" a="1"/>
  <c r="CS72" i="2" s="1"/>
  <c r="BC126" i="2" a="1"/>
  <c r="BC126" i="2" s="1"/>
  <c r="BC18" i="2" a="1"/>
  <c r="BC18" i="2" s="1"/>
  <c r="CS77" i="2" a="1"/>
  <c r="CS77" i="2" s="1"/>
  <c r="CS161" i="2" a="1"/>
  <c r="CS161" i="2" s="1"/>
  <c r="BC151" i="2" a="1"/>
  <c r="BC151" i="2" s="1"/>
  <c r="BC185" i="2" a="1"/>
  <c r="BC185" i="2" s="1"/>
  <c r="BC143" i="2" a="1"/>
  <c r="BC143" i="2" s="1"/>
  <c r="BC31" i="2" a="1"/>
  <c r="BC31" i="2" s="1"/>
  <c r="BC84" i="2" a="1"/>
  <c r="BC84" i="2" s="1"/>
  <c r="BC32" i="2" a="1"/>
  <c r="BC32" i="2" s="1"/>
  <c r="BC117" i="2" a="1"/>
  <c r="BC117" i="2" s="1"/>
  <c r="BX107" i="2" a="1"/>
  <c r="BX107" i="2" s="1"/>
  <c r="BC192" i="2" a="1"/>
  <c r="BC192" i="2" s="1"/>
  <c r="BC65" i="2" a="1"/>
  <c r="BC65" i="2" s="1"/>
  <c r="BC47" i="2" a="1"/>
  <c r="BC47" i="2" s="1"/>
  <c r="BC55" i="2" a="1"/>
  <c r="BC55" i="2" s="1"/>
  <c r="BC114" i="2" a="1"/>
  <c r="BC114" i="2" s="1"/>
  <c r="BC68" i="2" a="1"/>
  <c r="BC68" i="2" s="1"/>
  <c r="HG203" i="2"/>
  <c r="CS56" i="2" a="1"/>
  <c r="CS56" i="2" s="1"/>
  <c r="FD194" i="2" a="1"/>
  <c r="FD194" i="2" s="1"/>
  <c r="FD159" i="2" a="1"/>
  <c r="FD159" i="2" s="1"/>
  <c r="FD43" i="2" a="1"/>
  <c r="FD43" i="2" s="1"/>
  <c r="FD48" i="2" a="1"/>
  <c r="FD48" i="2" s="1"/>
  <c r="CS38" i="2" a="1"/>
  <c r="CS38" i="2" s="1"/>
  <c r="AH62" i="2" a="1"/>
  <c r="AH62" i="2" s="1"/>
  <c r="CS137" i="2" a="1"/>
  <c r="CS137" i="2" s="1"/>
  <c r="CS52" i="2" a="1"/>
  <c r="CS52" i="2" s="1"/>
  <c r="FD144" i="2" a="1"/>
  <c r="FD144" i="2" s="1"/>
  <c r="FD19" i="2" a="1"/>
  <c r="FD19" i="2" s="1"/>
  <c r="FD107" i="2" a="1"/>
  <c r="FD107" i="2" s="1"/>
  <c r="FD64" i="2" a="1"/>
  <c r="FD64" i="2" s="1"/>
  <c r="FD44" i="2" a="1"/>
  <c r="FD44" i="2" s="1"/>
  <c r="CS105" i="2" a="1"/>
  <c r="CS105" i="2" s="1"/>
  <c r="AH166" i="2" a="1"/>
  <c r="AH166" i="2" s="1"/>
  <c r="CS66" i="2" a="1"/>
  <c r="CS66" i="2" s="1"/>
  <c r="FD21" i="2" a="1"/>
  <c r="FD21" i="2" s="1"/>
  <c r="BP203" i="2"/>
  <c r="FD82" i="2" a="1"/>
  <c r="FD82" i="2" s="1"/>
  <c r="CS134" i="2" a="1"/>
  <c r="CS134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AH163" i="2" a="1"/>
  <c r="AH163" i="2" s="1"/>
  <c r="AH151" i="2" a="1"/>
  <c r="AH151" i="2" s="1"/>
  <c r="CS129" i="2" a="1"/>
  <c r="CS129" i="2" s="1"/>
  <c r="FD59" i="2" a="1"/>
  <c r="FD59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84" i="2" l="1"/>
  <c r="CY24" i="2"/>
  <c r="CY112" i="2"/>
  <c r="CY113" i="2"/>
  <c r="CY125" i="2"/>
  <c r="CY75" i="2"/>
  <c r="CY87" i="2"/>
  <c r="CY138" i="2"/>
  <c r="CY169" i="2"/>
  <c r="CY50" i="2"/>
  <c r="CY180" i="2"/>
  <c r="CY48" i="2"/>
  <c r="CY34" i="2"/>
  <c r="CY109" i="2"/>
  <c r="CY46" i="2"/>
  <c r="CY41" i="2"/>
  <c r="CY14" i="2"/>
  <c r="CY174" i="2"/>
  <c r="CY187" i="2"/>
  <c r="CY98" i="2"/>
  <c r="CY64" i="2"/>
  <c r="CY66" i="2"/>
  <c r="CY141" i="2"/>
  <c r="CY7" i="2"/>
  <c r="CY153" i="2"/>
  <c r="CY55" i="2"/>
  <c r="CY192" i="2"/>
  <c r="CY114" i="2"/>
  <c r="CY151" i="2"/>
  <c r="CY124" i="2"/>
  <c r="CY53" i="2"/>
  <c r="CY193" i="2"/>
  <c r="CY130" i="2"/>
  <c r="CY150" i="2"/>
  <c r="CY99" i="2"/>
  <c r="CY175" i="2"/>
  <c r="CY18" i="2"/>
  <c r="CY157" i="2"/>
  <c r="CY29" i="2"/>
  <c r="CY200" i="2"/>
  <c r="CY143" i="2"/>
  <c r="CY186" i="2"/>
  <c r="CY135" i="2"/>
  <c r="CY144" i="2"/>
  <c r="CY61" i="2"/>
  <c r="CY49" i="2"/>
  <c r="CY90" i="2"/>
  <c r="CY116" i="2"/>
  <c r="CY47" i="2"/>
  <c r="CY110" i="2"/>
  <c r="CY123" i="2"/>
  <c r="CY199" i="2"/>
  <c r="CY159" i="2"/>
  <c r="CY77" i="2"/>
  <c r="CY137" i="2"/>
  <c r="CY191" i="2"/>
  <c r="CY81" i="2"/>
  <c r="CY56" i="2"/>
  <c r="CY10" i="2"/>
  <c r="CY167" i="2"/>
  <c r="CY91" i="2"/>
  <c r="CY202" i="2"/>
  <c r="CY31" i="2"/>
  <c r="CY96" i="2"/>
  <c r="CY104" i="2"/>
  <c r="CY126" i="2"/>
  <c r="CY132" i="2"/>
  <c r="CY57" i="2"/>
  <c r="CY4" i="2"/>
  <c r="CY22" i="2"/>
  <c r="CY25" i="2"/>
  <c r="CY23" i="2"/>
  <c r="CY78" i="2"/>
  <c r="CY140" i="2"/>
  <c r="CY36" i="2"/>
  <c r="CY58" i="2"/>
  <c r="CY89" i="2"/>
  <c r="CY30" i="2"/>
  <c r="CY68" i="2"/>
  <c r="CY127" i="2"/>
  <c r="CY70" i="2"/>
  <c r="CY142" i="2"/>
  <c r="CY119" i="2"/>
  <c r="CY136" i="2"/>
  <c r="CY37" i="2"/>
  <c r="CY83" i="2"/>
  <c r="CY184" i="2"/>
  <c r="CY44" i="2"/>
  <c r="CY107" i="2"/>
  <c r="CY60" i="2"/>
  <c r="CY9" i="2"/>
  <c r="CY105" i="2"/>
  <c r="CY15" i="2"/>
  <c r="CY168" i="2"/>
  <c r="CY106" i="2"/>
  <c r="CY177" i="2"/>
  <c r="CY145" i="2"/>
  <c r="CY62" i="2"/>
  <c r="CY28" i="2"/>
  <c r="CY108" i="2"/>
  <c r="CY8" i="2"/>
  <c r="CY190" i="2"/>
  <c r="CY97" i="2"/>
  <c r="CY155" i="2"/>
  <c r="CY173" i="2"/>
  <c r="CY63" i="2"/>
  <c r="CY35" i="2"/>
  <c r="CY148" i="2"/>
  <c r="CY5" i="2"/>
  <c r="CY160" i="2"/>
  <c r="CY179" i="2"/>
  <c r="CY185" i="2"/>
  <c r="CY158" i="2"/>
  <c r="CY59" i="2"/>
  <c r="CY162" i="2"/>
  <c r="CY182" i="2"/>
  <c r="CY19" i="2"/>
  <c r="CY88" i="2"/>
  <c r="CY171" i="2"/>
  <c r="CY82" i="2"/>
  <c r="CY164" i="2"/>
  <c r="CY139" i="2"/>
  <c r="CY45" i="2"/>
  <c r="CY95" i="2"/>
  <c r="CY152" i="2"/>
  <c r="CY166" i="2"/>
  <c r="CY203" i="2"/>
  <c r="CY38" i="2"/>
  <c r="CY201" i="2"/>
  <c r="CY79" i="2"/>
  <c r="CY17" i="2"/>
  <c r="CY3" i="2"/>
  <c r="C10" i="4" s="1"/>
  <c r="E10" i="4" s="1"/>
  <c r="F10" i="4" s="1"/>
  <c r="G10" i="4" s="1"/>
  <c r="L10" i="4" s="1"/>
  <c r="CY111" i="2"/>
  <c r="CY13" i="2"/>
  <c r="CY21" i="2"/>
  <c r="CY134" i="2"/>
  <c r="CY133" i="2"/>
  <c r="CY86" i="2"/>
  <c r="CY40" i="2"/>
  <c r="CY172" i="2"/>
  <c r="CY103" i="2"/>
  <c r="CY161" i="2"/>
  <c r="CY129" i="2"/>
  <c r="CY54" i="2"/>
  <c r="CY118" i="2"/>
  <c r="CY154" i="2"/>
  <c r="CY198" i="2"/>
  <c r="CY27" i="2"/>
  <c r="CY163" i="2"/>
  <c r="CY146" i="2"/>
  <c r="CY100" i="2"/>
  <c r="CY42" i="2"/>
  <c r="CY115" i="2"/>
  <c r="CY102" i="2"/>
  <c r="CY93" i="2"/>
  <c r="CY71" i="2"/>
  <c r="CY189" i="2"/>
  <c r="CY32" i="2"/>
  <c r="CY195" i="2"/>
  <c r="CY33" i="2"/>
  <c r="CY121" i="2"/>
  <c r="CY178" i="2"/>
  <c r="CY165" i="2"/>
  <c r="CY52" i="2"/>
  <c r="CY128" i="2"/>
  <c r="CY194" i="2"/>
  <c r="CY65" i="2"/>
  <c r="CY156" i="2"/>
  <c r="CY149" i="2"/>
  <c r="CY26" i="2"/>
  <c r="CY11" i="2"/>
  <c r="CY176" i="2"/>
  <c r="CY85" i="2"/>
  <c r="CY6" i="2"/>
  <c r="CY43" i="2"/>
  <c r="CY131" i="2"/>
  <c r="CY12" i="2"/>
  <c r="CY183" i="2"/>
  <c r="CY197" i="2"/>
  <c r="CY94" i="2"/>
  <c r="CY147" i="2"/>
  <c r="CY120" i="2"/>
  <c r="CY39" i="2"/>
  <c r="CY188" i="2"/>
  <c r="CY69" i="2"/>
  <c r="CY67" i="2"/>
  <c r="CY170" i="2"/>
  <c r="CY117" i="2"/>
  <c r="CY72" i="2"/>
  <c r="CY73" i="2"/>
  <c r="CY122" i="2"/>
  <c r="CY20" i="2"/>
  <c r="CY92" i="2"/>
  <c r="CY51" i="2"/>
  <c r="CY76" i="2"/>
  <c r="CY181" i="2"/>
  <c r="CY196" i="2"/>
  <c r="CY101" i="2"/>
  <c r="CY16" i="2"/>
  <c r="CY80" i="2"/>
  <c r="CY7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57" i="2" l="1"/>
  <c r="BI183" i="2"/>
  <c r="BI41" i="2"/>
  <c r="BI152" i="2"/>
  <c r="BI89" i="2"/>
  <c r="BI140" i="2"/>
  <c r="BI168" i="2"/>
  <c r="BI98" i="2"/>
  <c r="BI4" i="2"/>
  <c r="BI52" i="2"/>
  <c r="BI26" i="2"/>
  <c r="BI105" i="2"/>
  <c r="BI142" i="2"/>
  <c r="BI129" i="2"/>
  <c r="BI106" i="2"/>
  <c r="BI83" i="2"/>
  <c r="BI79" i="2"/>
  <c r="BI97" i="2"/>
  <c r="BI187" i="2"/>
  <c r="BI176" i="2"/>
  <c r="BI51" i="2"/>
  <c r="BI171" i="2"/>
  <c r="BI88" i="2"/>
  <c r="BI196" i="2"/>
  <c r="BI150" i="2"/>
  <c r="BI61" i="2"/>
  <c r="BI6" i="2"/>
  <c r="BI111" i="2"/>
  <c r="BI85" i="2"/>
  <c r="BI126" i="2"/>
  <c r="BI130" i="2"/>
  <c r="BI198" i="2"/>
  <c r="BI191" i="2"/>
  <c r="BI68" i="2"/>
  <c r="BI141" i="2"/>
  <c r="BI67" i="2"/>
  <c r="BI63" i="2"/>
  <c r="BI188" i="2"/>
  <c r="BI160" i="2"/>
  <c r="BI120" i="2"/>
  <c r="BI7" i="2"/>
  <c r="BI72" i="2"/>
  <c r="BI189" i="2"/>
  <c r="BI100" i="2"/>
  <c r="BI124" i="2"/>
  <c r="BI40" i="2"/>
  <c r="BI9" i="2"/>
  <c r="BI104" i="2"/>
  <c r="BI136" i="2"/>
  <c r="BI27" i="2"/>
  <c r="BI38" i="2"/>
  <c r="BI151" i="2"/>
  <c r="BI12" i="2"/>
  <c r="BI190" i="2"/>
  <c r="BI103" i="2"/>
  <c r="BI62" i="2"/>
  <c r="BI174" i="2"/>
  <c r="BI170" i="2"/>
  <c r="BI117" i="2"/>
  <c r="BI162" i="2"/>
  <c r="BI114" i="2"/>
  <c r="BI128" i="2"/>
  <c r="BI145" i="2"/>
  <c r="BI87" i="2"/>
  <c r="BI125" i="2"/>
  <c r="BI33" i="2"/>
  <c r="BI101" i="2"/>
  <c r="BI179" i="2"/>
  <c r="BI58" i="2"/>
  <c r="BI93" i="2"/>
  <c r="BI74" i="2"/>
  <c r="BI134" i="2"/>
  <c r="BI54" i="2"/>
  <c r="BI194" i="2"/>
  <c r="BI65" i="2"/>
  <c r="BI116" i="2"/>
  <c r="BI99" i="2"/>
  <c r="BI76" i="2"/>
  <c r="BI118" i="2"/>
  <c r="BI66" i="2"/>
  <c r="BI71" i="2"/>
  <c r="BI81" i="2"/>
  <c r="BI143" i="2"/>
  <c r="BI56" i="2"/>
  <c r="BI44" i="2"/>
  <c r="BI175" i="2"/>
  <c r="BI155" i="2"/>
  <c r="BI22" i="2"/>
  <c r="BI108" i="2"/>
  <c r="BI39" i="2"/>
  <c r="BI137" i="2"/>
  <c r="BI49" i="2"/>
  <c r="BI164" i="2"/>
  <c r="BI197" i="2"/>
  <c r="BI64" i="2"/>
  <c r="BI34" i="2"/>
  <c r="BI157" i="2"/>
  <c r="BI48" i="2"/>
  <c r="BI203" i="2"/>
  <c r="BI36" i="2"/>
  <c r="BI135" i="2"/>
  <c r="BI166" i="2"/>
  <c r="BI80" i="2"/>
  <c r="BI133" i="2"/>
  <c r="BI138" i="2"/>
  <c r="BI30" i="2"/>
  <c r="BI13" i="2"/>
  <c r="BI180" i="2"/>
  <c r="BI96" i="2"/>
  <c r="BI112" i="2"/>
  <c r="BI199" i="2"/>
  <c r="BI86" i="2"/>
  <c r="BI32" i="2"/>
  <c r="BI156" i="2"/>
  <c r="BI146" i="2"/>
  <c r="BI47" i="2"/>
  <c r="BI77" i="2"/>
  <c r="BI11" i="2"/>
  <c r="BI42" i="2"/>
  <c r="BI122" i="2"/>
  <c r="BI20" i="2"/>
  <c r="BI154" i="2"/>
  <c r="BI90" i="2"/>
  <c r="BI55" i="2"/>
  <c r="BI84" i="2"/>
  <c r="BI73" i="2"/>
  <c r="BI132" i="2"/>
  <c r="BI119" i="2"/>
  <c r="BI115" i="2"/>
  <c r="BI195" i="2"/>
  <c r="BI148" i="2"/>
  <c r="BI95" i="2"/>
  <c r="BI53" i="2"/>
  <c r="BI45" i="2"/>
  <c r="BI161" i="2"/>
  <c r="BI60" i="2"/>
  <c r="BI19" i="2"/>
  <c r="BI69" i="2"/>
  <c r="BI182" i="2"/>
  <c r="BI50" i="2"/>
  <c r="BI92" i="2"/>
  <c r="BI173" i="2"/>
  <c r="BI18" i="2"/>
  <c r="BI159" i="2"/>
  <c r="BI28" i="2"/>
  <c r="BI153" i="2"/>
  <c r="BI91" i="2"/>
  <c r="BI147" i="2"/>
  <c r="BI186" i="2"/>
  <c r="BI10" i="2"/>
  <c r="BI29" i="2"/>
  <c r="BI46" i="2"/>
  <c r="BI110" i="2"/>
  <c r="BI177" i="2"/>
  <c r="BI149" i="2"/>
  <c r="BI201" i="2"/>
  <c r="BI35" i="2"/>
  <c r="BI3" i="2"/>
  <c r="C8" i="4" s="1"/>
  <c r="E8" i="4" s="1"/>
  <c r="F8" i="4" s="1"/>
  <c r="G8" i="4" s="1"/>
  <c r="L8" i="4" s="1"/>
  <c r="BI131" i="2"/>
  <c r="BI139" i="2"/>
  <c r="BI178" i="2"/>
  <c r="BI193" i="2"/>
  <c r="BI16" i="2"/>
  <c r="BI25" i="2"/>
  <c r="BI165" i="2"/>
  <c r="BI200" i="2"/>
  <c r="BI94" i="2"/>
  <c r="BI78" i="2"/>
  <c r="BI113" i="2"/>
  <c r="BI15" i="2"/>
  <c r="BI121" i="2"/>
  <c r="BI167" i="2"/>
  <c r="BI8" i="2"/>
  <c r="BI172" i="2"/>
  <c r="BI75" i="2"/>
  <c r="BI158" i="2"/>
  <c r="BI184" i="2"/>
  <c r="BI24" i="2"/>
  <c r="BI59" i="2"/>
  <c r="BI127" i="2"/>
  <c r="BI185" i="2"/>
  <c r="BI21" i="2"/>
  <c r="BI70" i="2"/>
  <c r="BI163" i="2"/>
  <c r="BI37" i="2"/>
  <c r="BI181" i="2"/>
  <c r="BI23" i="2"/>
  <c r="BI17" i="2"/>
  <c r="BI144" i="2"/>
  <c r="BI107" i="2"/>
  <c r="BI102" i="2"/>
  <c r="BI5" i="2"/>
  <c r="BI31" i="2"/>
  <c r="BI14" i="2"/>
  <c r="BI109" i="2"/>
  <c r="BI202" i="2"/>
  <c r="BI123" i="2"/>
  <c r="BI169" i="2"/>
  <c r="BI192" i="2"/>
  <c r="BI43" i="2"/>
  <c r="BI82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<sst xmlns="http://schemas.openxmlformats.org/spreadsheetml/2006/main" count="1179" uniqueCount="325">
  <si>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</si>
  <si>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</si>
  <si>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</si>
  <si>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</si>
  <si>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</si>
  <si>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</si>
  <si>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</si>
  <si>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</si>
  <si>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</si>
  <si>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</si>
  <si>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</si>
  <si>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</si>
  <si>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</si>
  <si>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</si>
  <si>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</si>
  <si>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</si>
  <si>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</si>
  <si>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</si>
  <si>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</si>
  <si>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</si>
  <si>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</si>
  <si>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</si>
  <si>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</si>
  <si>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</si>
  <si>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</si>
  <si>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</si>
  <si>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</si>
  <si>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</si>
  <si>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</si>
  <si>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</si>
  <si>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</si>
  <si>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</si>
  <si>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</si>
  <si>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</si>
  <si>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</si>
  <si>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</si>
  <si>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</si>
  <si>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</si>
  <si>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</si>
  <si>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</si>
  <si>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</si>
  <si>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</si>
  <si>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</si>
  <si>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</si>
  <si>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</si>
  <si>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</si>
  <si>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</si>
  <si>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</si>
  <si>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</si>
  <si>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</si>
  <si>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</si>
  <si>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</si>
  <si>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</si>
  <si>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</si>
  <si>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</si>
  <si>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</si>
  <si>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</si>
  <si>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</si>
  <si>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</si>
  <si>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</si>
  <si>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</si>
  <si>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</si>
  <si>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</si>
  <si>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</si>
  <si>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</si>
  <si>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</si>
  <si>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</si>
  <si>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</si>
  <si>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</si>
  <si>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</si>
  <si>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</si>
  <si>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</si>
  <si>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</si>
  <si>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</si>
  <si>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</si>
  <si>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</si>
  <si>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</si>
  <si>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</si>
  <si>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</si>
  <si>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</si>
  <si>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</si>
  <si>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</si>
  <si>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</si>
  <si>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</si>
  <si>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</si>
  <si>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</si>
  <si>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</si>
  <si>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</si>
  <si>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</si>
  <si>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</si>
  <si>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</si>
  <si>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</si>
  <si>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</si>
  <si>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</si>
  <si>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</si>
  <si>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</si>
  <si>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</si>
  <si>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</si>
  <si>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</si>
  <si>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</si>
  <si>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</si>
  <si>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</si>
  <si>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</si>
  <si>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</si>
  <si>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</si>
  <si>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</si>
  <si>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</si>
  <si>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</si>
  <si>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</si>
  <si>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</si>
  <si>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</si>
  <si>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</si>
  <si>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</si>
  <si>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</si>
  <si>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</si>
  <si>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</si>
  <si>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</si>
  <si>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</si>
  <si>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</si>
  <si>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</si>
  <si>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</si>
  <si>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</si>
  <si>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</si>
  <si>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</si>
  <si>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</si>
  <si>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</si>
  <si>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</si>
  <si>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</si>
  <si>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</si>
  <si>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</si>
  <si>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</si>
  <si>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</si>
  <si>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</si>
  <si>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</si>
  <si>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</si>
  <si>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</si>
  <si>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</si>
  <si>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</si>
  <si>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</si>
  <si>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</si>
  <si>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</si>
  <si>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</si>
  <si>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</si>
  <si>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</si>
  <si>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</si>
  <si>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</si>
  <si>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</si>
  <si>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</si>
  <si>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</si>
  <si>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</si>
  <si>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</si>
  <si>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</si>
  <si>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</si>
  <si>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</si>
  <si>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</si>
  <si>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</si>
  <si>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</si>
  <si>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</si>
  <si>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</si>
  <si>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</si>
  <si>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</si>
  <si>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</si>
  <si>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</si>
  <si>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</si>
  <si>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</si>
  <si>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</si>
  <si>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</si>
  <si>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</si>
  <si>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</si>
  <si>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</si>
  <si>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</si>
  <si>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</si>
  <si>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</si>
  <si>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</si>
  <si>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</si>
  <si>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</si>
  <si>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</si>
  <si>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</si>
  <si>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</si>
  <si>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</si>
  <si>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</si>
  <si>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</si>
  <si>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</si>
  <si>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</si>
  <si>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</si>
  <si>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</si>
  <si>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</si>
  <si>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</si>
  <si>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</si>
  <si>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</si>
  <si>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</si>
  <si>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</si>
  <si>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</si>
  <si>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</si>
  <si>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</si>
  <si>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</si>
  <si>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</si>
  <si>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</si>
  <si>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</si>
  <si>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</si>
  <si>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</si>
  <si>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</si>
  <si>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</si>
  <si>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</si>
  <si>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</si>
  <si>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</si>
  <si>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</si>
  <si>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</si>
  <si>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</si>
  <si>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</si>
  <si>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</si>
  <si>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</si>
  <si>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</si>
  <si>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</si>
  <si>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</si>
  <si>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</si>
  <si>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</si>
  <si>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</si>
  <si>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</si>
  <si>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</si>
  <si>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</si>
  <si>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</si>
  <si>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</si>
  <si>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</si>
  <si>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</si>
  <si>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</si>
  <si>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</si>
  <si>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</si>
  <si>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</si>
  <si>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</si>
  <si>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</si>
  <si>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</si>
  <si>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</si>
  <si>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</si>
  <si>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</si>
  <si>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</si>
  <si>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</si>
  <si>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</si>
  <si>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</si>
  <si>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</si>
  <si>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</si>
  <si>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</si>
  <si>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</si>
  <si>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</si>
  <si>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</si>
  <si>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</si>
  <si>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</si>
  <si>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</si>
  <si>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</si>
  <si>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</si>
  <si>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</si>
  <si>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</si>
  <si>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</si>
  <si>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</si>
  <si>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</si>
  <si>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</si>
  <si>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</si>
  <si>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</si>
  <si>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</si>
  <si>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</si>
  <si>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</si>
  <si>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</si>
  <si>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</si>
  <si>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</si>
  <si>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</si>
  <si>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</si>
  <si>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</si>
  <si>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</si>
  <si>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</si>
  <si>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</si>
  <si>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</si>
  <si>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</si>
  <si>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</si>
  <si>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</si>
  <si>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</si>
  <si>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</si>
  <si>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</si>
  <si>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</si>
  <si>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</si>
  <si>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</si>
  <si>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</si>
  <si>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</si>
  <si>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</si>
  <si>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</si>
  <si>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</si>
  <si>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</si>
  <si>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</si>
  <si>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</si>
  <si>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</si>
  <si>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</si>
  <si>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</si>
  <si>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</si>
  <si>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</si>
  <si>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</si>
  <si>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</si>
  <si>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</si>
  <si>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</si>
  <si>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</si>
  <si>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</si>
  <si>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</si>
  <si>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</si>
  <si>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</si>
  <si>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</si>
  <si>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</si>
  <si>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</si>
  <si>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</si>
  <si>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</si>
  <si>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</si>
  <si>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</si>
  <si>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</si>
  <si>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</si>
  <si>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</si>
  <si>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</si>
  <si>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</si>
  <si>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</si>
  <si>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</si>
  <si>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</si>
  <si>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</si>
  <si>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</si>
  <si>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</si>
  <si>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</si>
  <si>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</si>
  <si>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</si>
  <si>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</si>
  <si>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Pommier sauvge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</si>
</sst>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152.31425123991514</c:v>
                </c:pt>
                <c:pt idx="27">
                  <c:v>162.93487032621877</c:v>
                </c:pt>
                <c:pt idx="28">
                  <c:v>173.53911854728722</c:v>
                </c:pt>
                <c:pt idx="29">
                  <c:v>184.12813820679631</c:v>
                </c:pt>
                <c:pt idx="30">
                  <c:v>194.7029293179402</c:v>
                </c:pt>
                <c:pt idx="31">
                  <c:v>169.2207687360675</c:v>
                </c:pt>
                <c:pt idx="32">
                  <c:v>184.91193253803272</c:v>
                </c:pt>
                <c:pt idx="33">
                  <c:v>200.57199414028261</c:v>
                </c:pt>
                <c:pt idx="34">
                  <c:v>216.20372460175977</c:v>
                </c:pt>
                <c:pt idx="35">
                  <c:v>231.80946116582979</c:v>
                </c:pt>
                <c:pt idx="36">
                  <c:v>207.21879690654123</c:v>
                </c:pt>
                <c:pt idx="37">
                  <c:v>223.61956111075651</c:v>
                </c:pt>
                <c:pt idx="38">
                  <c:v>239.99275146392401</c:v>
                </c:pt>
                <c:pt idx="39">
                  <c:v>256.3405141117878</c:v>
                </c:pt>
                <c:pt idx="40">
                  <c:v>272.66469897663586</c:v>
                </c:pt>
                <c:pt idx="41">
                  <c:v>248.16968942779499</c:v>
                </c:pt>
                <c:pt idx="42">
                  <c:v>264.50544806917623</c:v>
                </c:pt>
                <c:pt idx="43">
                  <c:v>280.81846105391622</c:v>
                </c:pt>
                <c:pt idx="44">
                  <c:v>297.11023564036338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304.47370954373434</c:v>
                </c:pt>
                <c:pt idx="48">
                  <c:v>320.34995854628943</c:v>
                </c:pt>
                <c:pt idx="49">
                  <c:v>336.20880231759622</c:v>
                </c:pt>
                <c:pt idx="50">
                  <c:v>352.05117734371061</c:v>
                </c:pt>
                <c:pt idx="51">
                  <c:v>326.92763310831185</c:v>
                </c:pt>
                <c:pt idx="52">
                  <c:v>342.39310348379212</c:v>
                </c:pt>
                <c:pt idx="53">
                  <c:v>357.84322260194625</c:v>
                </c:pt>
                <c:pt idx="54">
                  <c:v>373.27874650728057</c:v>
                </c:pt>
                <c:pt idx="55">
                  <c:v>388.70036362009404</c:v>
                </c:pt>
                <c:pt idx="56">
                  <c:v>362.86133414806545</c:v>
                </c:pt>
                <c:pt idx="57">
                  <c:v>377.52104986809331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421.42793186976093</c:v>
                </c:pt>
                <c:pt idx="61">
                  <c:v>394.86525935006398</c:v>
                </c:pt>
                <c:pt idx="62">
                  <c:v>408.72870365690937</c:v>
                </c:pt>
                <c:pt idx="63">
                  <c:v>422.5819944009279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462.16500679362116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458.70928319621322</c:v>
                </c:pt>
                <c:pt idx="73">
                  <c:v>470.61001955868886</c:v>
                </c:pt>
                <c:pt idx="74">
                  <c:v>482.50434799892838</c:v>
                </c:pt>
                <c:pt idx="75">
                  <c:v>494.3924487367961</c:v>
                </c:pt>
                <c:pt idx="76">
                  <c:v>465.62017905920675</c:v>
                </c:pt>
                <c:pt idx="77">
                  <c:v>477.13349754486762</c:v>
                </c:pt>
                <c:pt idx="78">
                  <c:v>488.64090858857691</c:v>
                </c:pt>
                <c:pt idx="79">
                  <c:v>500.14257091604276</c:v>
                </c:pt>
                <c:pt idx="80">
                  <c:v>511.63863535742718</c:v>
                </c:pt>
                <c:pt idx="81">
                  <c:v>482.50434799892838</c:v>
                </c:pt>
                <c:pt idx="82">
                  <c:v>493.6256590558267</c:v>
                </c:pt>
                <c:pt idx="83">
                  <c:v>504.74166024448414</c:v>
                </c:pt>
                <c:pt idx="84">
                  <c:v>515.85248498703129</c:v>
                </c:pt>
                <c:pt idx="85">
                  <c:v>526.95826048952063</c:v>
                </c:pt>
                <c:pt idx="86">
                  <c:v>497.07601440225949</c:v>
                </c:pt>
                <c:pt idx="87">
                  <c:v>507.42405248193245</c:v>
                </c:pt>
                <c:pt idx="88">
                  <c:v>517.76763064124975</c:v>
                </c:pt>
                <c:pt idx="89">
                  <c:v>528.10685054075043</c:v>
                </c:pt>
                <c:pt idx="90">
                  <c:v>538.44180953565819</c:v>
                </c:pt>
                <c:pt idx="91">
                  <c:v>511.63863535742689</c:v>
                </c:pt>
                <c:pt idx="92">
                  <c:v>525.04382649327329</c:v>
                </c:pt>
                <c:pt idx="93">
                  <c:v>538.44180953565819</c:v>
                </c:pt>
                <c:pt idx="94">
                  <c:v>551.83278906179692</c:v>
                </c:pt>
                <c:pt idx="95">
                  <c:v>565.21695891368051</c:v>
                </c:pt>
                <c:pt idx="96">
                  <c:v>530.40387297462291</c:v>
                </c:pt>
                <c:pt idx="97">
                  <c:v>535.76277959494882</c:v>
                </c:pt>
                <c:pt idx="98">
                  <c:v>541.12055937003311</c:v>
                </c:pt>
                <c:pt idx="99">
                  <c:v>546.47722503675357</c:v>
                </c:pt>
                <c:pt idx="100">
                  <c:v>551.83278906179714</c:v>
                </c:pt>
                <c:pt idx="101">
                  <c:v>516.23552610410309</c:v>
                </c:pt>
                <c:pt idx="102">
                  <c:v>520.83155309732092</c:v>
                </c:pt>
                <c:pt idx="103">
                  <c:v>525.42672503969095</c:v>
                </c:pt>
                <c:pt idx="104">
                  <c:v>530.02105046908639</c:v>
                </c:pt>
                <c:pt idx="105">
                  <c:v>534.61453776319513</c:v>
                </c:pt>
                <c:pt idx="106">
                  <c:v>539.20719514390589</c:v>
                </c:pt>
                <c:pt idx="107">
                  <c:v>543.7990306815376</c:v>
                </c:pt>
                <c:pt idx="108">
                  <c:v>548.39005229891814</c:v>
                </c:pt>
                <c:pt idx="109">
                  <c:v>552.98026777532004</c:v>
                </c:pt>
                <c:pt idx="110">
                  <c:v>557.56968475025735</c:v>
                </c:pt>
                <c:pt idx="111">
                  <c:v>497.8426909990248</c:v>
                </c:pt>
                <c:pt idx="112">
                  <c:v>512.78793950323222</c:v>
                </c:pt>
                <c:pt idx="113">
                  <c:v>527.72399304120256</c:v>
                </c:pt>
                <c:pt idx="114">
                  <c:v>542.65114840915544</c:v>
                </c:pt>
                <c:pt idx="115">
                  <c:v>557.56968475025758</c:v>
                </c:pt>
                <c:pt idx="116">
                  <c:v>530.02105046908628</c:v>
                </c:pt>
                <c:pt idx="117">
                  <c:v>536.91096968482657</c:v>
                </c:pt>
                <c:pt idx="118">
                  <c:v>543.79903068153772</c:v>
                </c:pt>
                <c:pt idx="119">
                  <c:v>550.68526032403997</c:v>
                </c:pt>
                <c:pt idx="120">
                  <c:v>557.56968475025758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43.749933231556845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102.21534438484889</c:v>
                </c:pt>
                <c:pt idx="22">
                  <c:v>113.90535303981146</c:v>
                </c:pt>
                <c:pt idx="23">
                  <c:v>125.56597116596221</c:v>
                </c:pt>
                <c:pt idx="24">
                  <c:v>137.20031631600065</c:v>
                </c:pt>
                <c:pt idx="25">
                  <c:v>148.81093286135922</c:v>
                </c:pt>
                <c:pt idx="26">
                  <c:v>159.98639323229057</c:v>
                </c:pt>
                <c:pt idx="27">
                  <c:v>171.14336016681935</c:v>
                </c:pt>
                <c:pt idx="28">
                  <c:v>182.28321024127104</c:v>
                </c:pt>
                <c:pt idx="29">
                  <c:v>193.40713781232171</c:v>
                </c:pt>
                <c:pt idx="30">
                  <c:v>204.51618846220973</c:v>
                </c:pt>
                <c:pt idx="31">
                  <c:v>177.74673882318052</c:v>
                </c:pt>
                <c:pt idx="32">
                  <c:v>194.23052863625438</c:v>
                </c:pt>
                <c:pt idx="33">
                  <c:v>210.68179897079315</c:v>
                </c:pt>
                <c:pt idx="34">
                  <c:v>227.10344715858128</c:v>
                </c:pt>
                <c:pt idx="35">
                  <c:v>243.49791694752582</c:v>
                </c:pt>
                <c:pt idx="36">
                  <c:v>217.66446793584771</c:v>
                </c:pt>
                <c:pt idx="37">
                  <c:v>234.89407374203225</c:v>
                </c:pt>
                <c:pt idx="38">
                  <c:v>252.0948491997051</c:v>
                </c:pt>
                <c:pt idx="39">
                  <c:v>269.26903825113038</c:v>
                </c:pt>
                <c:pt idx="40">
                  <c:v>286.4185751166749</c:v>
                </c:pt>
                <c:pt idx="41">
                  <c:v>260.68513965168012</c:v>
                </c:pt>
                <c:pt idx="42">
                  <c:v>277.84677769273588</c:v>
                </c:pt>
                <c:pt idx="43">
                  <c:v>294.98463359298859</c:v>
                </c:pt>
                <c:pt idx="44">
                  <c:v>312.10028329420317</c:v>
                </c:pt>
                <c:pt idx="45">
                  <c:v>329.19511576502651</c:v>
                </c:pt>
                <c:pt idx="46">
                  <c:v>303.13762323931292</c:v>
                </c:pt>
                <c:pt idx="47">
                  <c:v>319.83616118961055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343.42580104652308</c:v>
                </c:pt>
                <c:pt idx="52">
                  <c:v>359.67361293503626</c:v>
                </c:pt>
                <c:pt idx="53">
                  <c:v>375.90537403332661</c:v>
                </c:pt>
                <c:pt idx="54">
                  <c:v>392.12187483767133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429.36572078685396</c:v>
                </c:pt>
                <c:pt idx="63">
                  <c:v>443.92012811747736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458.06044564731337</c:v>
                </c:pt>
                <c:pt idx="68">
                  <c:v>471.78782761031499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494.37922843874429</c:v>
                </c:pt>
                <c:pt idx="74">
                  <c:v>506.87570609003552</c:v>
                </c:pt>
                <c:pt idx="75">
                  <c:v>519.3656722522536</c:v>
                </c:pt>
                <c:pt idx="76">
                  <c:v>489.13678734186624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537.48504536607993</c:v>
                </c:pt>
                <c:pt idx="81">
                  <c:v>506.87570609003552</c:v>
                </c:pt>
                <c:pt idx="82">
                  <c:v>518.56006095402699</c:v>
                </c:pt>
                <c:pt idx="83">
                  <c:v>530.2388639873484</c:v>
                </c:pt>
                <c:pt idx="84">
                  <c:v>541.91225469196922</c:v>
                </c:pt>
                <c:pt idx="85">
                  <c:v>553.58036607052372</c:v>
                </c:pt>
                <c:pt idx="86">
                  <c:v>522.18510454563489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565.64540564760966</c:v>
                </c:pt>
                <c:pt idx="91">
                  <c:v>537.48504536607982</c:v>
                </c:pt>
                <c:pt idx="92">
                  <c:v>551.56899378437413</c:v>
                </c:pt>
                <c:pt idx="93">
                  <c:v>565.64540564760966</c:v>
                </c:pt>
                <c:pt idx="94">
                  <c:v>579.71449485526716</c:v>
                </c:pt>
                <c:pt idx="95">
                  <c:v>593.77646408241492</c:v>
                </c:pt>
                <c:pt idx="96">
                  <c:v>557.20045067599392</c:v>
                </c:pt>
                <c:pt idx="97">
                  <c:v>562.83071576489795</c:v>
                </c:pt>
                <c:pt idx="98">
                  <c:v>568.45980265997707</c:v>
                </c:pt>
                <c:pt idx="99">
                  <c:v>574.08772467850861</c:v>
                </c:pt>
                <c:pt idx="100">
                  <c:v>579.71449485526716</c:v>
                </c:pt>
                <c:pt idx="101">
                  <c:v>542.31469049904456</c:v>
                </c:pt>
                <c:pt idx="102">
                  <c:v>547.14343251865034</c:v>
                </c:pt>
                <c:pt idx="103">
                  <c:v>551.97128052407231</c:v>
                </c:pt>
                <c:pt idx="104">
                  <c:v>556.79824344224153</c:v>
                </c:pt>
                <c:pt idx="105">
                  <c:v>561.62433003260378</c:v>
                </c:pt>
                <c:pt idx="106">
                  <c:v>566.44954889170651</c:v>
                </c:pt>
                <c:pt idx="107">
                  <c:v>571.27390845762045</c:v>
                </c:pt>
                <c:pt idx="108">
                  <c:v>576.09741701420489</c:v>
                </c:pt>
                <c:pt idx="109">
                  <c:v>580.92008269522091</c:v>
                </c:pt>
                <c:pt idx="110">
                  <c:v>585.74191348830391</c:v>
                </c:pt>
                <c:pt idx="111">
                  <c:v>522.99059760658645</c:v>
                </c:pt>
                <c:pt idx="112">
                  <c:v>538.69254182042334</c:v>
                </c:pt>
                <c:pt idx="113">
                  <c:v>554.38487206772686</c:v>
                </c:pt>
                <c:pt idx="114">
                  <c:v>570.06789866925862</c:v>
                </c:pt>
                <c:pt idx="115">
                  <c:v>585.74191348830414</c:v>
                </c:pt>
                <c:pt idx="116">
                  <c:v>556.7982434422413</c:v>
                </c:pt>
                <c:pt idx="117">
                  <c:v>564.03704739751959</c:v>
                </c:pt>
                <c:pt idx="118">
                  <c:v>571.27390845762056</c:v>
                </c:pt>
                <c:pt idx="119">
                  <c:v>578.50885471155266</c:v>
                </c:pt>
                <c:pt idx="120">
                  <c:v>585.74191348830436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162.54181354343532</c:v>
                </c:pt>
                <c:pt idx="27">
                  <c:v>173.87743954337375</c:v>
                </c:pt>
                <c:pt idx="28">
                  <c:v>185.19570097643805</c:v>
                </c:pt>
                <c:pt idx="29">
                  <c:v>196.49780948344781</c:v>
                </c:pt>
                <c:pt idx="30">
                  <c:v>207.78482577779437</c:v>
                </c:pt>
                <c:pt idx="31">
                  <c:v>180.58657218998465</c:v>
                </c:pt>
                <c:pt idx="32">
                  <c:v>197.33439015717349</c:v>
                </c:pt>
                <c:pt idx="33">
                  <c:v>214.04921803989637</c:v>
                </c:pt>
                <c:pt idx="34">
                  <c:v>230.73399509870123</c:v>
                </c:pt>
                <c:pt idx="35">
                  <c:v>247.39120044621515</c:v>
                </c:pt>
                <c:pt idx="36">
                  <c:v>221.14376696934895</c:v>
                </c:pt>
                <c:pt idx="37">
                  <c:v>238.64946815456824</c:v>
                </c:pt>
                <c:pt idx="38">
                  <c:v>256.12592177262371</c:v>
                </c:pt>
                <c:pt idx="39">
                  <c:v>273.57540423901071</c:v>
                </c:pt>
                <c:pt idx="40">
                  <c:v>290.99987776518367</c:v>
                </c:pt>
                <c:pt idx="41">
                  <c:v>264.85390518195578</c:v>
                </c:pt>
                <c:pt idx="42">
                  <c:v>282.29065500591184</c:v>
                </c:pt>
                <c:pt idx="43">
                  <c:v>299.70327852559706</c:v>
                </c:pt>
                <c:pt idx="44">
                  <c:v>317.09337448903159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324.95330656071559</c:v>
                </c:pt>
                <c:pt idx="48">
                  <c:v>341.90004953828543</c:v>
                </c:pt>
                <c:pt idx="49">
                  <c:v>358.82833079757546</c:v>
                </c:pt>
                <c:pt idx="50">
                  <c:v>375.73914366877966</c:v>
                </c:pt>
                <c:pt idx="51">
                  <c:v>348.92127422322795</c:v>
                </c:pt>
                <c:pt idx="52">
                  <c:v>365.42969930916394</c:v>
                </c:pt>
                <c:pt idx="53">
                  <c:v>381.92184132571987</c:v>
                </c:pt>
                <c:pt idx="54">
                  <c:v>398.39850220884659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402.92696857125219</c:v>
                </c:pt>
                <c:pt idx="58">
                  <c:v>418.56237841299998</c:v>
                </c:pt>
                <c:pt idx="59">
                  <c:v>434.18520687835775</c:v>
                </c:pt>
                <c:pt idx="60">
                  <c:v>449.79597029004367</c:v>
                </c:pt>
                <c:pt idx="61">
                  <c:v>421.44119734263649</c:v>
                </c:pt>
                <c:pt idx="62">
                  <c:v>436.23993334519008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480.57310550984772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476.88212094653824</c:v>
                </c:pt>
                <c:pt idx="72">
                  <c:v>489.59298637351304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509.26059140461638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514.99392273715944</c:v>
                </c:pt>
                <c:pt idx="82">
                  <c:v>526.86584290776068</c:v>
                </c:pt>
                <c:pt idx="83">
                  <c:v>538.73213090432375</c:v>
                </c:pt>
                <c:pt idx="84">
                  <c:v>550.5929282476219</c:v>
                </c:pt>
                <c:pt idx="85">
                  <c:v>562.44836986503822</c:v>
                </c:pt>
                <c:pt idx="86">
                  <c:v>530.54907998965132</c:v>
                </c:pt>
                <c:pt idx="87">
                  <c:v>541.59557948037605</c:v>
                </c:pt>
                <c:pt idx="88">
                  <c:v>552.63734833627143</c:v>
                </c:pt>
                <c:pt idx="89">
                  <c:v>563.67449438860956</c:v>
                </c:pt>
                <c:pt idx="90">
                  <c:v>574.70712090201823</c:v>
                </c:pt>
                <c:pt idx="91">
                  <c:v>546.09464274073559</c:v>
                </c:pt>
                <c:pt idx="92">
                  <c:v>560.40470463156896</c:v>
                </c:pt>
                <c:pt idx="93">
                  <c:v>574.70712090201823</c:v>
                </c:pt>
                <c:pt idx="94">
                  <c:v>589.00210854701243</c:v>
                </c:pt>
                <c:pt idx="95">
                  <c:v>603.28987317463395</c:v>
                </c:pt>
                <c:pt idx="96">
                  <c:v>566.12657619677782</c:v>
                </c:pt>
                <c:pt idx="97">
                  <c:v>571.84723871208746</c:v>
                </c:pt>
                <c:pt idx="98">
                  <c:v>577.56670598332892</c:v>
                </c:pt>
                <c:pt idx="99">
                  <c:v>583.28499152050165</c:v>
                </c:pt>
                <c:pt idx="100">
                  <c:v>589.00210854701254</c:v>
                </c:pt>
                <c:pt idx="101">
                  <c:v>551.00182497913659</c:v>
                </c:pt>
                <c:pt idx="102">
                  <c:v>555.90809103476602</c:v>
                </c:pt>
                <c:pt idx="103">
                  <c:v>560.81345013847704</c:v>
                </c:pt>
                <c:pt idx="104">
                  <c:v>565.71791134638681</c:v>
                </c:pt>
                <c:pt idx="105">
                  <c:v>570.62148354470389</c:v>
                </c:pt>
                <c:pt idx="106">
                  <c:v>575.52417545438061</c:v>
                </c:pt>
                <c:pt idx="107">
                  <c:v>580.42599563559941</c:v>
                </c:pt>
                <c:pt idx="108">
                  <c:v>585.32695249209905</c:v>
                </c:pt>
                <c:pt idx="109">
                  <c:v>590.22705427534913</c:v>
                </c:pt>
                <c:pt idx="110">
                  <c:v>595.12630908857784</c:v>
                </c:pt>
                <c:pt idx="111">
                  <c:v>531.36750389275528</c:v>
                </c:pt>
                <c:pt idx="112">
                  <c:v>547.32152470399262</c:v>
                </c:pt>
                <c:pt idx="113">
                  <c:v>563.26579242009177</c:v>
                </c:pt>
                <c:pt idx="114">
                  <c:v>579.20062185262441</c:v>
                </c:pt>
                <c:pt idx="115">
                  <c:v>595.12630908857807</c:v>
                </c:pt>
                <c:pt idx="116">
                  <c:v>565.71791134638659</c:v>
                </c:pt>
                <c:pt idx="117">
                  <c:v>573.07293899689409</c:v>
                </c:pt>
                <c:pt idx="118">
                  <c:v>580.42599563559952</c:v>
                </c:pt>
                <c:pt idx="119">
                  <c:v>587.77710975800062</c:v>
                </c:pt>
                <c:pt idx="120">
                  <c:v>595.1263090885783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1.8929016361849103</c:v>
                </c:pt>
                <c:pt idx="2">
                  <c:v>2.3103249881115357</c:v>
                </c:pt>
                <c:pt idx="3">
                  <c:v>2.8201537444262939</c:v>
                </c:pt>
                <c:pt idx="4">
                  <c:v>3.4429180968643043</c:v>
                </c:pt>
                <c:pt idx="5">
                  <c:v>4.2037250337776788</c:v>
                </c:pt>
                <c:pt idx="6">
                  <c:v>5.13328186517177</c:v>
                </c:pt>
                <c:pt idx="7">
                  <c:v>6.2691493088491406</c:v>
                </c:pt>
                <c:pt idx="8">
                  <c:v>7.6572757623219667</c:v>
                </c:pt>
                <c:pt idx="9">
                  <c:v>9.3538760230402129</c:v>
                </c:pt>
                <c:pt idx="10">
                  <c:v>11.427731986742112</c:v>
                </c:pt>
                <c:pt idx="11">
                  <c:v>13.963010345615054</c:v>
                </c:pt>
                <c:pt idx="12">
                  <c:v>17.062713754707328</c:v>
                </c:pt>
                <c:pt idx="13">
                  <c:v>20.852908232567817</c:v>
                </c:pt>
                <c:pt idx="14">
                  <c:v>25.487901809632802</c:v>
                </c:pt>
                <c:pt idx="15">
                  <c:v>31.15658898416282</c:v>
                </c:pt>
                <c:pt idx="16">
                  <c:v>50.800111510181161</c:v>
                </c:pt>
                <c:pt idx="17">
                  <c:v>70.238189581161905</c:v>
                </c:pt>
                <c:pt idx="18">
                  <c:v>89.536942918429148</c:v>
                </c:pt>
                <c:pt idx="19">
                  <c:v>108.73093091673428</c:v>
                </c:pt>
                <c:pt idx="20">
                  <c:v>127.8413471092915</c:v>
                </c:pt>
                <c:pt idx="21">
                  <c:v>146.88247870142399</c:v>
                </c:pt>
                <c:pt idx="22">
                  <c:v>171.78241860309038</c:v>
                </c:pt>
                <c:pt idx="23">
                  <c:v>121.86754839056165</c:v>
                </c:pt>
                <c:pt idx="24">
                  <c:v>139.71686473120599</c:v>
                </c:pt>
                <c:pt idx="25">
                  <c:v>161.87330176691839</c:v>
                </c:pt>
                <c:pt idx="26">
                  <c:v>183.95789288362235</c:v>
                </c:pt>
                <c:pt idx="27">
                  <c:v>205.98048401362237</c:v>
                </c:pt>
                <c:pt idx="28">
                  <c:v>178.51850048567619</c:v>
                </c:pt>
                <c:pt idx="29">
                  <c:v>200.02348598066865</c:v>
                </c:pt>
                <c:pt idx="30">
                  <c:v>221.4748626414931</c:v>
                </c:pt>
                <c:pt idx="31">
                  <c:v>242.87855360298772</c:v>
                </c:pt>
                <c:pt idx="32">
                  <c:v>264.2393516504294</c:v>
                </c:pt>
                <c:pt idx="33">
                  <c:v>285.56121089534173</c:v>
                </c:pt>
                <c:pt idx="34">
                  <c:v>242.72412679709473</c:v>
                </c:pt>
                <c:pt idx="35">
                  <c:v>264.13017498066563</c:v>
                </c:pt>
                <c:pt idx="36">
                  <c:v>285.49710137417628</c:v>
                </c:pt>
                <c:pt idx="37">
                  <c:v>306.82824455596079</c:v>
                </c:pt>
                <c:pt idx="38">
                  <c:v>328.12644095117611</c:v>
                </c:pt>
                <c:pt idx="39">
                  <c:v>349.39412873976761</c:v>
                </c:pt>
                <c:pt idx="40">
                  <c:v>370.63342511612001</c:v>
                </c:pt>
                <c:pt idx="41">
                  <c:v>391.84618490099996</c:v>
                </c:pt>
                <c:pt idx="42">
                  <c:v>319.87385016852932</c:v>
                </c:pt>
                <c:pt idx="43">
                  <c:v>339.97241120235776</c:v>
                </c:pt>
                <c:pt idx="44">
                  <c:v>360.04484296464335</c:v>
                </c:pt>
                <c:pt idx="45">
                  <c:v>380.09280633515488</c:v>
                </c:pt>
                <c:pt idx="46">
                  <c:v>400.11777275179594</c:v>
                </c:pt>
                <c:pt idx="47">
                  <c:v>420.12105441362866</c:v>
                </c:pt>
                <c:pt idx="48">
                  <c:v>440.10382843073722</c:v>
                </c:pt>
                <c:pt idx="49">
                  <c:v>460.06715635927213</c:v>
                </c:pt>
                <c:pt idx="50">
                  <c:v>480.01200016945177</c:v>
                </c:pt>
                <c:pt idx="51">
                  <c:v>409.02737160027169</c:v>
                </c:pt>
                <c:pt idx="52">
                  <c:v>426.95554244779782</c:v>
                </c:pt>
                <c:pt idx="53">
                  <c:v>444.86752926426328</c:v>
                </c:pt>
                <c:pt idx="54">
                  <c:v>462.76407507656899</c:v>
                </c:pt>
                <c:pt idx="55">
                  <c:v>480.64586078122107</c:v>
                </c:pt>
                <c:pt idx="56">
                  <c:v>498.51351250520219</c:v>
                </c:pt>
                <c:pt idx="57">
                  <c:v>516.36760785688273</c:v>
                </c:pt>
                <c:pt idx="58">
                  <c:v>534.20868126770017</c:v>
                </c:pt>
                <c:pt idx="59">
                  <c:v>552.03722858340063</c:v>
                </c:pt>
                <c:pt idx="60">
                  <c:v>569.85371103158263</c:v>
                </c:pt>
                <c:pt idx="61">
                  <c:v>5.2667878847729083E-12</c:v>
                </c:pt>
                <c:pt idx="62">
                  <c:v>5.2667878847729083E-12</c:v>
                </c:pt>
                <c:pt idx="63">
                  <c:v>5.2667878847729083E-12</c:v>
                </c:pt>
                <c:pt idx="64">
                  <c:v>5.2667878847729083E-12</c:v>
                </c:pt>
                <c:pt idx="65">
                  <c:v>5.2667878847729083E-12</c:v>
                </c:pt>
                <c:pt idx="66">
                  <c:v>5.2667878847729083E-12</c:v>
                </c:pt>
                <c:pt idx="67">
                  <c:v>5.2667878847729083E-12</c:v>
                </c:pt>
                <c:pt idx="68">
                  <c:v>5.2667878847729083E-12</c:v>
                </c:pt>
                <c:pt idx="69">
                  <c:v>5.2667878847729083E-12</c:v>
                </c:pt>
                <c:pt idx="70">
                  <c:v>5.2667878847729083E-12</c:v>
                </c:pt>
                <c:pt idx="71">
                  <c:v>5.2667878847729083E-12</c:v>
                </c:pt>
                <c:pt idx="72">
                  <c:v>5.2667878847729083E-12</c:v>
                </c:pt>
                <c:pt idx="73">
                  <c:v>5.2667878847729083E-12</c:v>
                </c:pt>
                <c:pt idx="74">
                  <c:v>5.2667878847729083E-12</c:v>
                </c:pt>
                <c:pt idx="75">
                  <c:v>5.2667878847729083E-12</c:v>
                </c:pt>
                <c:pt idx="76">
                  <c:v>5.2667878847729083E-12</c:v>
                </c:pt>
                <c:pt idx="77">
                  <c:v>5.2667878847729083E-12</c:v>
                </c:pt>
                <c:pt idx="78">
                  <c:v>5.2667878847729083E-12</c:v>
                </c:pt>
                <c:pt idx="79">
                  <c:v>5.2667878847729083E-12</c:v>
                </c:pt>
                <c:pt idx="80">
                  <c:v>5.2667878847729083E-12</c:v>
                </c:pt>
                <c:pt idx="81">
                  <c:v>5.2667878847729083E-12</c:v>
                </c:pt>
                <c:pt idx="82">
                  <c:v>5.2667878847729083E-12</c:v>
                </c:pt>
                <c:pt idx="83">
                  <c:v>5.2667878847729083E-12</c:v>
                </c:pt>
                <c:pt idx="84">
                  <c:v>5.2667878847729083E-12</c:v>
                </c:pt>
                <c:pt idx="85">
                  <c:v>5.2667878847729083E-12</c:v>
                </c:pt>
                <c:pt idx="86">
                  <c:v>5.2667878847729083E-12</c:v>
                </c:pt>
                <c:pt idx="87">
                  <c:v>5.2667878847729083E-12</c:v>
                </c:pt>
                <c:pt idx="88">
                  <c:v>5.2667878847729083E-12</c:v>
                </c:pt>
                <c:pt idx="89">
                  <c:v>5.2667878847729083E-12</c:v>
                </c:pt>
                <c:pt idx="90">
                  <c:v>5.2667878847729083E-12</c:v>
                </c:pt>
                <c:pt idx="91">
                  <c:v>5.2667878847729083E-12</c:v>
                </c:pt>
                <c:pt idx="92">
                  <c:v>5.2667878847729083E-12</c:v>
                </c:pt>
                <c:pt idx="93">
                  <c:v>5.2667878847729083E-12</c:v>
                </c:pt>
                <c:pt idx="94">
                  <c:v>5.2667878847729083E-12</c:v>
                </c:pt>
                <c:pt idx="95">
                  <c:v>5.2667878847729083E-12</c:v>
                </c:pt>
                <c:pt idx="96">
                  <c:v>5.2667878847729083E-12</c:v>
                </c:pt>
                <c:pt idx="97">
                  <c:v>5.2667878847729083E-12</c:v>
                </c:pt>
                <c:pt idx="98">
                  <c:v>5.2667878847729083E-12</c:v>
                </c:pt>
                <c:pt idx="99">
                  <c:v>5.2667878847729083E-12</c:v>
                </c:pt>
                <c:pt idx="100">
                  <c:v>5.2667878847729083E-12</c:v>
                </c:pt>
                <c:pt idx="101">
                  <c:v>5.2667878847729083E-12</c:v>
                </c:pt>
                <c:pt idx="102">
                  <c:v>5.2667878847729083E-12</c:v>
                </c:pt>
                <c:pt idx="103">
                  <c:v>5.2667878847729083E-12</c:v>
                </c:pt>
                <c:pt idx="104">
                  <c:v>5.2667878847729083E-12</c:v>
                </c:pt>
                <c:pt idx="105">
                  <c:v>5.2667878847729083E-12</c:v>
                </c:pt>
                <c:pt idx="106">
                  <c:v>5.2667878847729083E-12</c:v>
                </c:pt>
                <c:pt idx="107">
                  <c:v>5.2667878847729083E-12</c:v>
                </c:pt>
                <c:pt idx="108">
                  <c:v>5.2667878847729083E-12</c:v>
                </c:pt>
                <c:pt idx="109">
                  <c:v>5.2667878847729083E-12</c:v>
                </c:pt>
                <c:pt idx="110">
                  <c:v>5.2667878847729083E-12</c:v>
                </c:pt>
                <c:pt idx="111">
                  <c:v>5.2667878847729083E-12</c:v>
                </c:pt>
                <c:pt idx="112">
                  <c:v>5.2667878847729083E-12</c:v>
                </c:pt>
                <c:pt idx="113">
                  <c:v>5.2667878847729083E-12</c:v>
                </c:pt>
                <c:pt idx="114">
                  <c:v>5.2667878847729083E-12</c:v>
                </c:pt>
                <c:pt idx="115">
                  <c:v>5.2667878847729083E-12</c:v>
                </c:pt>
                <c:pt idx="116">
                  <c:v>5.2667878847729083E-12</c:v>
                </c:pt>
                <c:pt idx="117">
                  <c:v>5.2667878847729083E-12</c:v>
                </c:pt>
                <c:pt idx="118">
                  <c:v>5.2667878847729083E-12</c:v>
                </c:pt>
                <c:pt idx="119">
                  <c:v>5.2667878847729083E-12</c:v>
                </c:pt>
                <c:pt idx="120">
                  <c:v>5.2667878847729083E-12</c:v>
                </c:pt>
                <c:pt idx="121">
                  <c:v>5.2667878847729083E-12</c:v>
                </c:pt>
                <c:pt idx="122">
                  <c:v>5.2667878847729083E-12</c:v>
                </c:pt>
                <c:pt idx="123">
                  <c:v>5.2667878847729083E-12</c:v>
                </c:pt>
                <c:pt idx="124">
                  <c:v>5.2667878847729083E-12</c:v>
                </c:pt>
                <c:pt idx="125">
                  <c:v>5.2667878847729083E-12</c:v>
                </c:pt>
                <c:pt idx="126">
                  <c:v>5.2667878847729083E-12</c:v>
                </c:pt>
                <c:pt idx="127">
                  <c:v>5.2667878847729083E-12</c:v>
                </c:pt>
                <c:pt idx="128">
                  <c:v>5.2667878847729083E-12</c:v>
                </c:pt>
                <c:pt idx="129">
                  <c:v>5.2667878847729083E-12</c:v>
                </c:pt>
                <c:pt idx="130">
                  <c:v>5.2667878847729083E-12</c:v>
                </c:pt>
                <c:pt idx="131">
                  <c:v>5.2667878847729083E-12</c:v>
                </c:pt>
                <c:pt idx="132">
                  <c:v>5.2667878847729083E-12</c:v>
                </c:pt>
                <c:pt idx="133">
                  <c:v>5.2667878847729083E-12</c:v>
                </c:pt>
                <c:pt idx="134">
                  <c:v>5.2667878847729083E-12</c:v>
                </c:pt>
                <c:pt idx="135">
                  <c:v>5.2667878847729083E-12</c:v>
                </c:pt>
                <c:pt idx="136">
                  <c:v>5.2667878847729083E-12</c:v>
                </c:pt>
                <c:pt idx="137">
                  <c:v>5.2667878847729083E-12</c:v>
                </c:pt>
                <c:pt idx="138">
                  <c:v>5.2667878847729083E-12</c:v>
                </c:pt>
                <c:pt idx="139">
                  <c:v>5.2667878847729083E-12</c:v>
                </c:pt>
                <c:pt idx="140">
                  <c:v>5.2667878847729083E-12</c:v>
                </c:pt>
                <c:pt idx="141">
                  <c:v>5.2667878847729083E-12</c:v>
                </c:pt>
                <c:pt idx="142">
                  <c:v>5.2667878847729083E-12</c:v>
                </c:pt>
                <c:pt idx="143">
                  <c:v>5.2667878847729083E-12</c:v>
                </c:pt>
                <c:pt idx="144">
                  <c:v>5.2667878847729083E-12</c:v>
                </c:pt>
                <c:pt idx="145">
                  <c:v>5.2667878847729083E-12</c:v>
                </c:pt>
                <c:pt idx="146">
                  <c:v>5.2667878847729083E-12</c:v>
                </c:pt>
                <c:pt idx="147">
                  <c:v>5.2667878847729083E-12</c:v>
                </c:pt>
                <c:pt idx="148">
                  <c:v>5.2667878847729083E-12</c:v>
                </c:pt>
                <c:pt idx="149">
                  <c:v>5.2667878847729083E-12</c:v>
                </c:pt>
                <c:pt idx="150">
                  <c:v>5.2667878847729083E-12</c:v>
                </c:pt>
                <c:pt idx="151">
                  <c:v>5.2667878847729083E-12</c:v>
                </c:pt>
                <c:pt idx="152">
                  <c:v>5.2667878847729083E-12</c:v>
                </c:pt>
                <c:pt idx="153">
                  <c:v>5.2667878847729083E-12</c:v>
                </c:pt>
                <c:pt idx="154">
                  <c:v>5.2667878847729083E-12</c:v>
                </c:pt>
                <c:pt idx="155">
                  <c:v>5.2667878847729083E-12</c:v>
                </c:pt>
                <c:pt idx="156">
                  <c:v>5.2667878847729083E-12</c:v>
                </c:pt>
                <c:pt idx="157">
                  <c:v>5.2667878847729083E-12</c:v>
                </c:pt>
                <c:pt idx="158">
                  <c:v>5.2667878847729083E-12</c:v>
                </c:pt>
                <c:pt idx="159">
                  <c:v>5.2667878847729083E-12</c:v>
                </c:pt>
                <c:pt idx="160">
                  <c:v>5.2667878847729083E-12</c:v>
                </c:pt>
                <c:pt idx="161">
                  <c:v>5.2667878847729083E-12</c:v>
                </c:pt>
                <c:pt idx="162">
                  <c:v>5.2667878847729083E-12</c:v>
                </c:pt>
                <c:pt idx="163">
                  <c:v>5.2667878847729083E-12</c:v>
                </c:pt>
                <c:pt idx="164">
                  <c:v>5.2667878847729083E-12</c:v>
                </c:pt>
                <c:pt idx="165">
                  <c:v>5.2667878847729083E-12</c:v>
                </c:pt>
                <c:pt idx="166">
                  <c:v>5.2667878847729083E-12</c:v>
                </c:pt>
                <c:pt idx="167">
                  <c:v>5.2667878847729083E-12</c:v>
                </c:pt>
                <c:pt idx="168">
                  <c:v>5.2667878847729083E-12</c:v>
                </c:pt>
                <c:pt idx="169">
                  <c:v>5.2667878847729083E-12</c:v>
                </c:pt>
                <c:pt idx="170">
                  <c:v>5.2667878847729083E-12</c:v>
                </c:pt>
                <c:pt idx="171">
                  <c:v>5.2667878847729083E-12</c:v>
                </c:pt>
                <c:pt idx="172">
                  <c:v>5.2667878847729083E-12</c:v>
                </c:pt>
                <c:pt idx="173">
                  <c:v>5.2667878847729083E-12</c:v>
                </c:pt>
                <c:pt idx="174">
                  <c:v>5.2667878847729083E-12</c:v>
                </c:pt>
                <c:pt idx="175">
                  <c:v>5.2667878847729083E-12</c:v>
                </c:pt>
                <c:pt idx="176">
                  <c:v>5.2667878847729083E-12</c:v>
                </c:pt>
                <c:pt idx="177">
                  <c:v>5.2667878847729083E-12</c:v>
                </c:pt>
                <c:pt idx="178">
                  <c:v>5.2667878847729083E-12</c:v>
                </c:pt>
                <c:pt idx="179">
                  <c:v>5.2667878847729083E-12</c:v>
                </c:pt>
                <c:pt idx="180">
                  <c:v>5.2667878847729083E-12</c:v>
                </c:pt>
                <c:pt idx="181">
                  <c:v>5.2667878847729083E-12</c:v>
                </c:pt>
                <c:pt idx="182">
                  <c:v>5.2667878847729083E-12</c:v>
                </c:pt>
                <c:pt idx="183">
                  <c:v>5.2667878847729083E-12</c:v>
                </c:pt>
                <c:pt idx="184">
                  <c:v>5.2667878847729083E-12</c:v>
                </c:pt>
                <c:pt idx="185">
                  <c:v>5.2667878847729083E-12</c:v>
                </c:pt>
                <c:pt idx="186">
                  <c:v>5.2667878847729083E-12</c:v>
                </c:pt>
                <c:pt idx="187">
                  <c:v>5.2667878847729083E-12</c:v>
                </c:pt>
                <c:pt idx="188">
                  <c:v>5.2667878847729083E-12</c:v>
                </c:pt>
                <c:pt idx="189">
                  <c:v>5.2667878847729083E-12</c:v>
                </c:pt>
                <c:pt idx="190">
                  <c:v>5.2667878847729083E-12</c:v>
                </c:pt>
                <c:pt idx="191">
                  <c:v>5.2667878847729083E-12</c:v>
                </c:pt>
                <c:pt idx="192">
                  <c:v>5.2667878847729083E-12</c:v>
                </c:pt>
                <c:pt idx="193">
                  <c:v>5.2667878847729083E-12</c:v>
                </c:pt>
                <c:pt idx="194">
                  <c:v>5.2667878847729083E-12</c:v>
                </c:pt>
                <c:pt idx="195">
                  <c:v>5.2667878847729083E-12</c:v>
                </c:pt>
                <c:pt idx="196">
                  <c:v>5.2667878847729083E-12</c:v>
                </c:pt>
                <c:pt idx="197">
                  <c:v>5.2667878847729083E-12</c:v>
                </c:pt>
                <c:pt idx="198">
                  <c:v>5.2667878847729083E-12</c:v>
                </c:pt>
                <c:pt idx="199">
                  <c:v>5.2667878847729083E-12</c:v>
                </c:pt>
                <c:pt idx="200">
                  <c:v>5.2667878847729083E-12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180.40404312945904</c:v>
                </c:pt>
                <c:pt idx="27">
                  <c:v>192.98866205877778</c:v>
                </c:pt>
                <c:pt idx="28">
                  <c:v>205.55419504103602</c:v>
                </c:pt>
                <c:pt idx="29">
                  <c:v>218.10197382914805</c:v>
                </c:pt>
                <c:pt idx="30">
                  <c:v>230.63316428689714</c:v>
                </c:pt>
                <c:pt idx="31">
                  <c:v>200.43711831314491</c:v>
                </c:pt>
                <c:pt idx="32">
                  <c:v>219.03076565248205</c:v>
                </c:pt>
                <c:pt idx="33">
                  <c:v>237.58815254200752</c:v>
                </c:pt>
                <c:pt idx="34">
                  <c:v>256.11250961635932</c:v>
                </c:pt>
                <c:pt idx="35">
                  <c:v>274.60656174697812</c:v>
                </c:pt>
                <c:pt idx="36">
                  <c:v>245.46487179097778</c:v>
                </c:pt>
                <c:pt idx="37">
                  <c:v>264.9008120801621</c:v>
                </c:pt>
                <c:pt idx="38">
                  <c:v>284.30460543918787</c:v>
                </c:pt>
                <c:pt idx="39">
                  <c:v>303.67875394863933</c:v>
                </c:pt>
                <c:pt idx="40">
                  <c:v>323.02541433745836</c:v>
                </c:pt>
                <c:pt idx="41">
                  <c:v>293.99524327269961</c:v>
                </c:pt>
                <c:pt idx="42">
                  <c:v>313.3553969303855</c:v>
                </c:pt>
                <c:pt idx="43">
                  <c:v>332.68903260064212</c:v>
                </c:pt>
                <c:pt idx="44">
                  <c:v>351.99790751820524</c:v>
                </c:pt>
                <c:pt idx="45">
                  <c:v>371.28357043570509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398.33873496539189</c:v>
                </c:pt>
                <c:pt idx="50">
                  <c:v>417.11617489634546</c:v>
                </c:pt>
                <c:pt idx="51">
                  <c:v>387.33822121677053</c:v>
                </c:pt>
                <c:pt idx="52">
                  <c:v>405.66874423568089</c:v>
                </c:pt>
                <c:pt idx="53">
                  <c:v>423.98137001578158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429.92926929891956</c:v>
                </c:pt>
                <c:pt idx="57">
                  <c:v>447.30539808561929</c:v>
                </c:pt>
                <c:pt idx="58">
                  <c:v>464.66708288740665</c:v>
                </c:pt>
                <c:pt idx="59">
                  <c:v>482.01493909873881</c:v>
                </c:pt>
                <c:pt idx="60">
                  <c:v>499.34953422631753</c:v>
                </c:pt>
                <c:pt idx="61">
                  <c:v>467.86376222658561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501.17347881997534</c:v>
                </c:pt>
                <c:pt idx="67">
                  <c:v>516.67139318273337</c:v>
                </c:pt>
                <c:pt idx="68">
                  <c:v>532.15950176791512</c:v>
                </c:pt>
                <c:pt idx="69">
                  <c:v>547.63813003167184</c:v>
                </c:pt>
                <c:pt idx="70">
                  <c:v>563.10758354108657</c:v>
                </c:pt>
                <c:pt idx="71">
                  <c:v>529.42700402201569</c:v>
                </c:pt>
                <c:pt idx="72">
                  <c:v>543.54175115137798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585.84071282237755</c:v>
                </c:pt>
                <c:pt idx="76">
                  <c:v>551.73386614264211</c:v>
                </c:pt>
                <c:pt idx="77">
                  <c:v>565.38174692254529</c:v>
                </c:pt>
                <c:pt idx="78">
                  <c:v>579.02274052069413</c:v>
                </c:pt>
                <c:pt idx="79">
                  <c:v>592.65703198720178</c:v>
                </c:pt>
                <c:pt idx="80">
                  <c:v>606.28479716717095</c:v>
                </c:pt>
                <c:pt idx="81">
                  <c:v>571.74838952524453</c:v>
                </c:pt>
                <c:pt idx="82">
                  <c:v>584.93174584337009</c:v>
                </c:pt>
                <c:pt idx="83">
                  <c:v>598.10891166009662</c:v>
                </c:pt>
                <c:pt idx="84">
                  <c:v>611.28004252540165</c:v>
                </c:pt>
                <c:pt idx="85">
                  <c:v>624.44528674225796</c:v>
                </c:pt>
                <c:pt idx="86">
                  <c:v>589.02186615684741</c:v>
                </c:pt>
                <c:pt idx="87">
                  <c:v>601.28869695539117</c:v>
                </c:pt>
                <c:pt idx="88">
                  <c:v>613.55032816291862</c:v>
                </c:pt>
                <c:pt idx="89">
                  <c:v>625.80687830020725</c:v>
                </c:pt>
                <c:pt idx="90">
                  <c:v>638.0584608686886</c:v>
                </c:pt>
                <c:pt idx="91">
                  <c:v>606.28479716717072</c:v>
                </c:pt>
                <c:pt idx="92">
                  <c:v>622.17583079004851</c:v>
                </c:pt>
                <c:pt idx="93">
                  <c:v>638.0584608686886</c:v>
                </c:pt>
                <c:pt idx="94">
                  <c:v>653.93292590911028</c:v>
                </c:pt>
                <c:pt idx="95">
                  <c:v>669.79945190168894</c:v>
                </c:pt>
                <c:pt idx="96">
                  <c:v>628.52987759843575</c:v>
                </c:pt>
                <c:pt idx="97">
                  <c:v>634.8825955016714</c:v>
                </c:pt>
                <c:pt idx="98">
                  <c:v>641.23399967418334</c:v>
                </c:pt>
                <c:pt idx="99">
                  <c:v>647.58410496524073</c:v>
                </c:pt>
                <c:pt idx="100">
                  <c:v>653.93292590911051</c:v>
                </c:pt>
                <c:pt idx="101">
                  <c:v>611.73411362703007</c:v>
                </c:pt>
                <c:pt idx="102">
                  <c:v>617.18242308130061</c:v>
                </c:pt>
                <c:pt idx="103">
                  <c:v>622.62973567590745</c:v>
                </c:pt>
                <c:pt idx="104">
                  <c:v>628.07606136471634</c:v>
                </c:pt>
                <c:pt idx="105">
                  <c:v>633.52140991484146</c:v>
                </c:pt>
                <c:pt idx="106">
                  <c:v>638.96579091175806</c:v>
                </c:pt>
                <c:pt idx="107">
                  <c:v>644.40921376423512</c:v>
                </c:pt>
                <c:pt idx="108">
                  <c:v>649.85168770908865</c:v>
                </c:pt>
                <c:pt idx="109">
                  <c:v>655.29322181577083</c:v>
                </c:pt>
                <c:pt idx="110">
                  <c:v>660.73382499079753</c:v>
                </c:pt>
                <c:pt idx="111">
                  <c:v>589.93070129681655</c:v>
                </c:pt>
                <c:pt idx="112">
                  <c:v>607.64722125113917</c:v>
                </c:pt>
                <c:pt idx="113">
                  <c:v>625.35302126877571</c:v>
                </c:pt>
                <c:pt idx="114">
                  <c:v>643.04844736912366</c:v>
                </c:pt>
                <c:pt idx="115">
                  <c:v>660.73382499079776</c:v>
                </c:pt>
                <c:pt idx="116">
                  <c:v>628.07606136471634</c:v>
                </c:pt>
                <c:pt idx="117">
                  <c:v>636.24372076531779</c:v>
                </c:pt>
                <c:pt idx="118">
                  <c:v>644.40921376423535</c:v>
                </c:pt>
                <c:pt idx="119">
                  <c:v>652.57257168177625</c:v>
                </c:pt>
                <c:pt idx="120">
                  <c:v>660.7338249907981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264.77349292047239</c:v>
                </c:pt>
                <c:pt idx="57">
                  <c:v>275.80500562250131</c:v>
                </c:pt>
                <c:pt idx="58">
                  <c:v>286.82661124370242</c:v>
                </c:pt>
                <c:pt idx="59">
                  <c:v>297.83874433354407</c:v>
                </c:pt>
                <c:pt idx="60">
                  <c:v>308.84180466613213</c:v>
                </c:pt>
                <c:pt idx="61">
                  <c:v>291.31415591858644</c:v>
                </c:pt>
                <c:pt idx="62">
                  <c:v>302.3225462698868</c:v>
                </c:pt>
                <c:pt idx="63">
                  <c:v>313.32201769425825</c:v>
                </c:pt>
                <c:pt idx="64">
                  <c:v>324.31292757822456</c:v>
                </c:pt>
                <c:pt idx="65">
                  <c:v>335.2956070957909</c:v>
                </c:pt>
                <c:pt idx="66">
                  <c:v>316.9865887388741</c:v>
                </c:pt>
                <c:pt idx="67">
                  <c:v>327.16106643674794</c:v>
                </c:pt>
                <c:pt idx="68">
                  <c:v>337.32855839291477</c:v>
                </c:pt>
                <c:pt idx="69">
                  <c:v>347.48930495916358</c:v>
                </c:pt>
                <c:pt idx="70">
                  <c:v>357.64353127694955</c:v>
                </c:pt>
                <c:pt idx="71">
                  <c:v>339.36123992303641</c:v>
                </c:pt>
                <c:pt idx="72">
                  <c:v>349.52066488969604</c:v>
                </c:pt>
                <c:pt idx="73">
                  <c:v>359.67361293503609</c:v>
                </c:pt>
                <c:pt idx="74">
                  <c:v>369.82029275047876</c:v>
                </c:pt>
                <c:pt idx="75">
                  <c:v>379.96090063619022</c:v>
                </c:pt>
                <c:pt idx="76">
                  <c:v>360.8915414955336</c:v>
                </c:pt>
                <c:pt idx="77">
                  <c:v>370.22603238018934</c:v>
                </c:pt>
                <c:pt idx="78">
                  <c:v>379.55539054654463</c:v>
                </c:pt>
                <c:pt idx="79">
                  <c:v>388.8797600089427</c:v>
                </c:pt>
                <c:pt idx="80">
                  <c:v>398.19927730859058</c:v>
                </c:pt>
                <c:pt idx="81">
                  <c:v>378.74434206791716</c:v>
                </c:pt>
                <c:pt idx="82">
                  <c:v>387.66381592151902</c:v>
                </c:pt>
                <c:pt idx="83">
                  <c:v>396.57883448700221</c:v>
                </c:pt>
                <c:pt idx="84">
                  <c:v>405.48951209335405</c:v>
                </c:pt>
                <c:pt idx="85">
                  <c:v>414.39595763230818</c:v>
                </c:pt>
                <c:pt idx="86">
                  <c:v>394.55307910081621</c:v>
                </c:pt>
                <c:pt idx="87">
                  <c:v>403.05975148729186</c:v>
                </c:pt>
                <c:pt idx="88">
                  <c:v>411.56254124269799</c:v>
                </c:pt>
                <c:pt idx="89">
                  <c:v>420.06153993571371</c:v>
                </c:pt>
                <c:pt idx="90">
                  <c:v>428.55683512546551</c:v>
                </c:pt>
                <c:pt idx="91">
                  <c:v>407.91895794657762</c:v>
                </c:pt>
                <c:pt idx="92">
                  <c:v>415.61015082163493</c:v>
                </c:pt>
                <c:pt idx="93">
                  <c:v>423.29827493076988</c:v>
                </c:pt>
                <c:pt idx="94">
                  <c:v>430.98339390471682</c:v>
                </c:pt>
                <c:pt idx="95">
                  <c:v>438.665568918492</c:v>
                </c:pt>
                <c:pt idx="96">
                  <c:v>417.63363625997857</c:v>
                </c:pt>
                <c:pt idx="97">
                  <c:v>424.91644236173039</c:v>
                </c:pt>
                <c:pt idx="98">
                  <c:v>432.19656309026988</c:v>
                </c:pt>
                <c:pt idx="99">
                  <c:v>439.47405008772643</c:v>
                </c:pt>
                <c:pt idx="100">
                  <c:v>446.74895314532574</c:v>
                </c:pt>
                <c:pt idx="101">
                  <c:v>424.91644236173033</c:v>
                </c:pt>
                <c:pt idx="102">
                  <c:v>431.3877917760729</c:v>
                </c:pt>
                <c:pt idx="103">
                  <c:v>437.85705578334836</c:v>
                </c:pt>
                <c:pt idx="104">
                  <c:v>444.32426956358057</c:v>
                </c:pt>
                <c:pt idx="105">
                  <c:v>450.78946718843281</c:v>
                </c:pt>
                <c:pt idx="106">
                  <c:v>428.5568351254654</c:v>
                </c:pt>
                <c:pt idx="107">
                  <c:v>434.62268223024984</c:v>
                </c:pt>
                <c:pt idx="108">
                  <c:v>440.68671205242362</c:v>
                </c:pt>
                <c:pt idx="109">
                  <c:v>446.74895314532552</c:v>
                </c:pt>
                <c:pt idx="110">
                  <c:v>452.80943322358286</c:v>
                </c:pt>
                <c:pt idx="111">
                  <c:v>431.79218150168435</c:v>
                </c:pt>
                <c:pt idx="112">
                  <c:v>437.04851061482714</c:v>
                </c:pt>
                <c:pt idx="113">
                  <c:v>442.30348341629474</c:v>
                </c:pt>
                <c:pt idx="114">
                  <c:v>447.55711830783889</c:v>
                </c:pt>
                <c:pt idx="115">
                  <c:v>452.8094332235828</c:v>
                </c:pt>
                <c:pt idx="116">
                  <c:v>432.60093655052987</c:v>
                </c:pt>
                <c:pt idx="117">
                  <c:v>438.66556891849177</c:v>
                </c:pt>
                <c:pt idx="118">
                  <c:v>444.72840313441958</c:v>
                </c:pt>
                <c:pt idx="119">
                  <c:v>450.78946718843281</c:v>
                </c:pt>
                <c:pt idx="120">
                  <c:v>456.84878825602158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2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2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2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2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2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2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2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2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2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2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2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2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2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2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2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2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2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2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6" zoomScale="80" zoomScaleNormal="80" workbookViewId="0">
      <selection activeCell="A140" sqref="A140:H15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08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1" t="s">
        <v>192</v>
      </c>
      <c r="C3" s="262"/>
      <c r="D3" s="262"/>
      <c r="E3" s="262"/>
      <c r="F3" s="263"/>
      <c r="G3" s="87"/>
      <c r="I3" s="208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88"/>
      <c r="B4" s="88"/>
      <c r="C4" s="88"/>
      <c r="D4" s="88"/>
      <c r="E4" s="88"/>
      <c r="F4" s="88"/>
      <c r="G4" s="215"/>
      <c r="I4" s="208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6" t="s">
        <v>231</v>
      </c>
      <c r="B5" s="266"/>
      <c r="C5" s="24">
        <v>2.9</v>
      </c>
      <c r="D5" s="267" t="s">
        <v>229</v>
      </c>
      <c r="E5" s="268"/>
      <c r="F5" s="88"/>
      <c r="G5" s="215"/>
      <c r="H5" s="215"/>
      <c r="I5" s="215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89"/>
      <c r="B6" s="89"/>
      <c r="C6" s="4"/>
      <c r="D6" s="84"/>
      <c r="E6" s="84"/>
      <c r="F6" s="26"/>
      <c r="G6" s="202"/>
      <c r="H6" s="202"/>
      <c r="I6" s="202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5" t="s">
        <v>226</v>
      </c>
      <c r="B7" s="265"/>
      <c r="C7" s="88"/>
      <c r="D7" s="88"/>
      <c r="E7" s="4"/>
      <c r="F7" s="88"/>
      <c r="G7" s="215"/>
      <c r="H7" s="215"/>
      <c r="I7" s="215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2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0.6</v>
      </c>
      <c r="D9" s="33">
        <f t="shared" ref="D9:D18" si="0">C9*$C$5</f>
        <v>1.74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5" t="s">
        <v>306</v>
      </c>
      <c r="I9" s="22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6</v>
      </c>
      <c r="C10" s="32">
        <v>0.2</v>
      </c>
      <c r="D10" s="33">
        <f t="shared" si="0"/>
        <v>0.57999999999999996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</v>
      </c>
      <c r="C11" s="32">
        <v>0.05</v>
      </c>
      <c r="D11" s="33">
        <f t="shared" si="0"/>
        <v>0.14499999999999999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35</v>
      </c>
      <c r="C12" s="32">
        <v>0.05</v>
      </c>
      <c r="D12" s="33">
        <f t="shared" si="0"/>
        <v>0.14499999999999999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52</v>
      </c>
      <c r="C13" s="32">
        <v>0.05</v>
      </c>
      <c r="D13" s="33">
        <f t="shared" si="0"/>
        <v>0.14499999999999999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6</v>
      </c>
      <c r="C14" s="32">
        <v>0.05</v>
      </c>
      <c r="D14" s="33">
        <f t="shared" si="0"/>
        <v>0.14499999999999999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G14" s="254" t="s">
        <v>324</v>
      </c>
      <c r="I14" s="22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6"/>
      <c r="B19" s="36" t="s">
        <v>175</v>
      </c>
      <c r="C19" s="37">
        <f>SUM(C9:C18)</f>
        <v>1.0000000000000002</v>
      </c>
      <c r="D19" s="38">
        <f>SUM(D9:D18)</f>
        <v>2.9</v>
      </c>
      <c r="E19" s="4"/>
      <c r="F19" s="90"/>
      <c r="G19" s="216"/>
      <c r="H19" s="216"/>
      <c r="I19" s="21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6"/>
      <c r="B20" s="39" t="s">
        <v>230</v>
      </c>
      <c r="C20" s="40" t="str">
        <f>IF(C19&gt;100%,"Erreur : corrigez","OK")</f>
        <v>OK</v>
      </c>
      <c r="D20" s="219"/>
      <c r="F20" s="202"/>
      <c r="G20" s="202"/>
      <c r="H20" s="216"/>
      <c r="I20" s="216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7"/>
      <c r="I21" s="217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199"/>
      <c r="I24" s="199"/>
      <c r="J24" s="21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2"/>
      <c r="E25" s="4"/>
      <c r="F25" s="92"/>
      <c r="G25" s="218"/>
      <c r="I25" s="218"/>
      <c r="J25" s="21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199"/>
      <c r="I26" s="199"/>
      <c r="J26" s="199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199"/>
      <c r="I27" s="199"/>
      <c r="J27" s="199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5" t="s">
        <v>227</v>
      </c>
      <c r="B30" s="265"/>
      <c r="D30" s="22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0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6" t="s">
        <v>307</v>
      </c>
      <c r="K32" s="22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3" t="s">
        <v>185</v>
      </c>
      <c r="C34" s="256" t="s">
        <v>186</v>
      </c>
      <c r="D34" s="256"/>
      <c r="E34" s="257" t="s">
        <v>187</v>
      </c>
      <c r="F34" s="258"/>
      <c r="G34" s="258"/>
      <c r="H34" s="259"/>
      <c r="I34" s="93"/>
      <c r="J34" s="220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1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58">
        <v>42</v>
      </c>
      <c r="C36" s="58">
        <v>1</v>
      </c>
      <c r="D36" s="58">
        <v>0</v>
      </c>
      <c r="E36" s="51">
        <v>0</v>
      </c>
      <c r="F36" s="51"/>
      <c r="G36" s="51"/>
      <c r="H36" s="51">
        <v>1</v>
      </c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58">
        <v>70</v>
      </c>
      <c r="C37" s="58">
        <v>2</v>
      </c>
      <c r="D37" s="58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58">
        <v>97</v>
      </c>
      <c r="C38" s="58">
        <v>3</v>
      </c>
      <c r="D38" s="58">
        <v>21</v>
      </c>
      <c r="E38" s="51">
        <v>0</v>
      </c>
      <c r="F38" s="51"/>
      <c r="G38" s="51"/>
      <c r="H38" s="51">
        <v>1</v>
      </c>
      <c r="I38" s="53">
        <f t="shared" si="1"/>
        <v>5.4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58">
        <v>116</v>
      </c>
      <c r="C39" s="58">
        <v>4</v>
      </c>
      <c r="D39" s="58">
        <v>21</v>
      </c>
      <c r="E39" s="51">
        <v>0</v>
      </c>
      <c r="F39" s="51"/>
      <c r="G39" s="51"/>
      <c r="H39" s="51">
        <v>1</v>
      </c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58">
        <v>137</v>
      </c>
      <c r="C40" s="58">
        <v>5</v>
      </c>
      <c r="D40" s="58">
        <v>21</v>
      </c>
      <c r="E40" s="51">
        <v>0.2</v>
      </c>
      <c r="F40" s="51"/>
      <c r="G40" s="51"/>
      <c r="H40" s="51">
        <v>0.8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58">
        <v>158</v>
      </c>
      <c r="C41" s="58">
        <v>6</v>
      </c>
      <c r="D41" s="58">
        <v>21</v>
      </c>
      <c r="E41" s="51">
        <v>0.2</v>
      </c>
      <c r="F41" s="51"/>
      <c r="G41" s="51"/>
      <c r="H41" s="51">
        <v>0.8</v>
      </c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58">
        <v>178</v>
      </c>
      <c r="C42" s="58">
        <v>7</v>
      </c>
      <c r="D42" s="58">
        <v>21</v>
      </c>
      <c r="E42" s="51">
        <v>0.3</v>
      </c>
      <c r="F42" s="51"/>
      <c r="G42" s="51"/>
      <c r="H42" s="51">
        <v>0.7</v>
      </c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58">
        <v>197</v>
      </c>
      <c r="C43" s="58">
        <v>8</v>
      </c>
      <c r="D43" s="58">
        <v>21</v>
      </c>
      <c r="E43" s="51">
        <v>0.3</v>
      </c>
      <c r="F43" s="51"/>
      <c r="G43" s="51"/>
      <c r="H43" s="51">
        <v>0.7</v>
      </c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58">
        <v>214</v>
      </c>
      <c r="C44" s="58">
        <v>9</v>
      </c>
      <c r="D44" s="58">
        <v>21</v>
      </c>
      <c r="E44" s="51">
        <v>0.4</v>
      </c>
      <c r="F44" s="51"/>
      <c r="G44" s="51"/>
      <c r="H44" s="51">
        <v>0.6</v>
      </c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58">
        <v>229</v>
      </c>
      <c r="C45" s="58">
        <v>10</v>
      </c>
      <c r="D45" s="58">
        <v>21</v>
      </c>
      <c r="E45" s="51">
        <v>0.4</v>
      </c>
      <c r="F45" s="51"/>
      <c r="G45" s="51"/>
      <c r="H45" s="51">
        <v>0.6</v>
      </c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58">
        <v>242</v>
      </c>
      <c r="C46" s="58">
        <v>11</v>
      </c>
      <c r="D46" s="58">
        <v>21</v>
      </c>
      <c r="E46" s="51">
        <v>0.5</v>
      </c>
      <c r="F46" s="51"/>
      <c r="G46" s="51"/>
      <c r="H46" s="51">
        <v>0.5</v>
      </c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58">
        <v>252</v>
      </c>
      <c r="C47" s="58">
        <v>12</v>
      </c>
      <c r="D47" s="58">
        <v>21</v>
      </c>
      <c r="E47" s="51">
        <v>0.5</v>
      </c>
      <c r="F47" s="51"/>
      <c r="G47" s="51"/>
      <c r="H47" s="51">
        <v>0.5</v>
      </c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58">
        <v>261</v>
      </c>
      <c r="C48" s="58">
        <v>13</v>
      </c>
      <c r="D48" s="58">
        <v>21</v>
      </c>
      <c r="E48" s="51">
        <v>0.6</v>
      </c>
      <c r="F48" s="51"/>
      <c r="G48" s="51"/>
      <c r="H48" s="51">
        <v>0.4</v>
      </c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85</v>
      </c>
      <c r="B49" s="58">
        <v>269</v>
      </c>
      <c r="C49" s="58">
        <v>14</v>
      </c>
      <c r="D49" s="58">
        <v>21</v>
      </c>
      <c r="E49" s="51">
        <v>0.6</v>
      </c>
      <c r="F49" s="51"/>
      <c r="G49" s="51"/>
      <c r="H49" s="51">
        <v>0.4</v>
      </c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90</v>
      </c>
      <c r="B50" s="50">
        <v>275</v>
      </c>
      <c r="C50" s="50">
        <v>15</v>
      </c>
      <c r="D50" s="50">
        <v>21</v>
      </c>
      <c r="E50" s="51">
        <v>0.7</v>
      </c>
      <c r="F50" s="51"/>
      <c r="G50" s="51"/>
      <c r="H50" s="51">
        <v>0.3</v>
      </c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95</v>
      </c>
      <c r="B51" s="50">
        <v>289</v>
      </c>
      <c r="C51" s="50">
        <v>16</v>
      </c>
      <c r="D51" s="50">
        <v>21</v>
      </c>
      <c r="E51" s="51">
        <v>0.7</v>
      </c>
      <c r="F51" s="51"/>
      <c r="G51" s="51"/>
      <c r="H51" s="51">
        <v>0.3</v>
      </c>
      <c r="I51" s="49">
        <f t="shared" si="1"/>
        <v>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100</v>
      </c>
      <c r="B52" s="50">
        <v>282</v>
      </c>
      <c r="C52" s="50">
        <v>17</v>
      </c>
      <c r="D52" s="50">
        <v>21</v>
      </c>
      <c r="E52" s="51">
        <v>0.7</v>
      </c>
      <c r="F52" s="51"/>
      <c r="G52" s="51"/>
      <c r="H52" s="51">
        <v>0.3</v>
      </c>
      <c r="I52" s="49">
        <f t="shared" si="1"/>
        <v>2.8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110</v>
      </c>
      <c r="B53" s="50">
        <v>285</v>
      </c>
      <c r="C53" s="50">
        <v>19</v>
      </c>
      <c r="D53" s="50">
        <v>39</v>
      </c>
      <c r="E53" s="51">
        <v>0.8</v>
      </c>
      <c r="F53" s="51"/>
      <c r="G53" s="51"/>
      <c r="H53" s="51">
        <v>0.2</v>
      </c>
      <c r="I53" s="49">
        <f t="shared" si="1"/>
        <v>2.4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>
        <v>115</v>
      </c>
      <c r="B54" s="50">
        <v>285</v>
      </c>
      <c r="C54" s="50">
        <v>20</v>
      </c>
      <c r="D54" s="50">
        <v>18</v>
      </c>
      <c r="E54" s="51">
        <v>0.8</v>
      </c>
      <c r="F54" s="51"/>
      <c r="G54" s="51"/>
      <c r="H54" s="51">
        <v>0.2</v>
      </c>
      <c r="I54" s="49">
        <f t="shared" si="1"/>
        <v>7.8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>
        <v>120</v>
      </c>
      <c r="B55" s="50">
        <v>285</v>
      </c>
      <c r="C55" s="50">
        <v>21</v>
      </c>
      <c r="D55" s="50">
        <v>285</v>
      </c>
      <c r="E55" s="51">
        <v>0.8</v>
      </c>
      <c r="F55" s="51"/>
      <c r="G55" s="51"/>
      <c r="H55" s="51">
        <v>0.2</v>
      </c>
      <c r="I55" s="49">
        <f t="shared" si="1"/>
        <v>3.6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Charme</v>
      </c>
      <c r="D58" s="226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3" t="s">
        <v>185</v>
      </c>
      <c r="C60" s="256" t="s">
        <v>186</v>
      </c>
      <c r="D60" s="256"/>
      <c r="E60" s="257" t="s">
        <v>187</v>
      </c>
      <c r="F60" s="258"/>
      <c r="G60" s="258"/>
      <c r="H60" s="259"/>
      <c r="I60" s="93"/>
      <c r="J60" s="220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1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58">
        <v>42</v>
      </c>
      <c r="C62" s="58">
        <v>1</v>
      </c>
      <c r="D62" s="58">
        <v>0</v>
      </c>
      <c r="E62" s="51">
        <v>0</v>
      </c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58">
        <v>70</v>
      </c>
      <c r="C63" s="58">
        <v>2</v>
      </c>
      <c r="D63" s="58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58">
        <v>97</v>
      </c>
      <c r="C64" s="58">
        <v>3</v>
      </c>
      <c r="D64" s="58">
        <v>21</v>
      </c>
      <c r="E64" s="51">
        <v>0</v>
      </c>
      <c r="F64" s="51"/>
      <c r="G64" s="51"/>
      <c r="H64" s="51">
        <v>1</v>
      </c>
      <c r="I64" s="49">
        <f>IF(A64&lt;&gt;0,(B64-(B63-D63))/(A64-A63),"")</f>
        <v>5.4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58">
        <v>116</v>
      </c>
      <c r="C65" s="58">
        <v>4</v>
      </c>
      <c r="D65" s="58">
        <v>21</v>
      </c>
      <c r="E65" s="51">
        <v>0</v>
      </c>
      <c r="F65" s="51"/>
      <c r="G65" s="51"/>
      <c r="H65" s="51">
        <v>1</v>
      </c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58">
        <v>137</v>
      </c>
      <c r="C66" s="58">
        <v>5</v>
      </c>
      <c r="D66" s="58">
        <v>21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58">
        <v>158</v>
      </c>
      <c r="C67" s="58">
        <v>6</v>
      </c>
      <c r="D67" s="58">
        <v>21</v>
      </c>
      <c r="E67" s="51">
        <v>0.2</v>
      </c>
      <c r="F67" s="51"/>
      <c r="G67" s="51"/>
      <c r="H67" s="51">
        <v>0.8</v>
      </c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58">
        <v>178</v>
      </c>
      <c r="C68" s="58">
        <v>7</v>
      </c>
      <c r="D68" s="58">
        <v>21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8">
        <v>197</v>
      </c>
      <c r="C69" s="58">
        <v>8</v>
      </c>
      <c r="D69" s="58">
        <v>21</v>
      </c>
      <c r="E69" s="51">
        <v>0.3</v>
      </c>
      <c r="F69" s="51"/>
      <c r="G69" s="51"/>
      <c r="H69" s="51">
        <v>0.7</v>
      </c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8">
        <v>214</v>
      </c>
      <c r="C70" s="58">
        <v>9</v>
      </c>
      <c r="D70" s="58">
        <v>21</v>
      </c>
      <c r="E70" s="51">
        <v>0.4</v>
      </c>
      <c r="F70" s="51"/>
      <c r="G70" s="51"/>
      <c r="H70" s="51">
        <v>0.6</v>
      </c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8">
        <v>229</v>
      </c>
      <c r="C71" s="58">
        <v>10</v>
      </c>
      <c r="D71" s="58">
        <v>21</v>
      </c>
      <c r="E71" s="51">
        <v>0.4</v>
      </c>
      <c r="F71" s="51"/>
      <c r="G71" s="51"/>
      <c r="H71" s="51">
        <v>0.6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8">
        <v>242</v>
      </c>
      <c r="C72" s="58">
        <v>11</v>
      </c>
      <c r="D72" s="58">
        <v>21</v>
      </c>
      <c r="E72" s="51">
        <v>0.5</v>
      </c>
      <c r="F72" s="51"/>
      <c r="G72" s="51"/>
      <c r="H72" s="51">
        <v>0.5</v>
      </c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8">
        <v>252</v>
      </c>
      <c r="C73" s="58">
        <v>12</v>
      </c>
      <c r="D73" s="58">
        <v>21</v>
      </c>
      <c r="E73" s="51">
        <v>0.5</v>
      </c>
      <c r="F73" s="51"/>
      <c r="G73" s="51"/>
      <c r="H73" s="51">
        <v>0.5</v>
      </c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8">
        <v>261</v>
      </c>
      <c r="C74" s="58">
        <v>13</v>
      </c>
      <c r="D74" s="58">
        <v>21</v>
      </c>
      <c r="E74" s="51">
        <v>0.6</v>
      </c>
      <c r="F74" s="51"/>
      <c r="G74" s="51"/>
      <c r="H74" s="51">
        <v>0.4</v>
      </c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85</v>
      </c>
      <c r="B75" s="58">
        <v>269</v>
      </c>
      <c r="C75" s="58">
        <v>14</v>
      </c>
      <c r="D75" s="58">
        <v>21</v>
      </c>
      <c r="E75" s="51">
        <v>0.6</v>
      </c>
      <c r="F75" s="51"/>
      <c r="G75" s="51"/>
      <c r="H75" s="51">
        <v>0.4</v>
      </c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90</v>
      </c>
      <c r="B76" s="50">
        <v>275</v>
      </c>
      <c r="C76" s="50">
        <v>15</v>
      </c>
      <c r="D76" s="50">
        <v>21</v>
      </c>
      <c r="E76" s="51">
        <v>0.7</v>
      </c>
      <c r="F76" s="51"/>
      <c r="G76" s="51"/>
      <c r="H76" s="51">
        <v>0.3</v>
      </c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95</v>
      </c>
      <c r="B77" s="50">
        <v>289</v>
      </c>
      <c r="C77" s="50">
        <v>16</v>
      </c>
      <c r="D77" s="50">
        <v>21</v>
      </c>
      <c r="E77" s="51">
        <v>0.7</v>
      </c>
      <c r="F77" s="51"/>
      <c r="G77" s="51"/>
      <c r="H77" s="51">
        <v>0.3</v>
      </c>
      <c r="I77" s="49">
        <f t="shared" si="2"/>
        <v>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100</v>
      </c>
      <c r="B78" s="50">
        <v>282</v>
      </c>
      <c r="C78" s="50">
        <v>17</v>
      </c>
      <c r="D78" s="50">
        <v>21</v>
      </c>
      <c r="E78" s="51">
        <v>0.7</v>
      </c>
      <c r="F78" s="51"/>
      <c r="G78" s="51"/>
      <c r="H78" s="51">
        <v>0.3</v>
      </c>
      <c r="I78" s="49">
        <f t="shared" si="2"/>
        <v>2.8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110</v>
      </c>
      <c r="B79" s="50">
        <v>285</v>
      </c>
      <c r="C79" s="50">
        <v>19</v>
      </c>
      <c r="D79" s="50">
        <v>39</v>
      </c>
      <c r="E79" s="51">
        <v>0.8</v>
      </c>
      <c r="F79" s="51"/>
      <c r="G79" s="51"/>
      <c r="H79" s="51">
        <v>0.2</v>
      </c>
      <c r="I79" s="49">
        <f t="shared" si="2"/>
        <v>2.4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>
        <v>115</v>
      </c>
      <c r="B80" s="50">
        <v>285</v>
      </c>
      <c r="C80" s="50">
        <v>20</v>
      </c>
      <c r="D80" s="50">
        <v>18</v>
      </c>
      <c r="E80" s="51">
        <v>0.8</v>
      </c>
      <c r="F80" s="51"/>
      <c r="G80" s="51"/>
      <c r="H80" s="51">
        <v>0.2</v>
      </c>
      <c r="I80" s="49">
        <f t="shared" si="2"/>
        <v>7.8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>
        <v>120</v>
      </c>
      <c r="B81" s="50">
        <v>285</v>
      </c>
      <c r="C81" s="50">
        <v>21</v>
      </c>
      <c r="D81" s="50">
        <v>285</v>
      </c>
      <c r="E81" s="51">
        <v>0.8</v>
      </c>
      <c r="F81" s="51"/>
      <c r="G81" s="51"/>
      <c r="H81" s="51">
        <v>0.2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Alisier torminal</v>
      </c>
      <c r="D84" s="226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3" t="s">
        <v>185</v>
      </c>
      <c r="C86" s="256" t="s">
        <v>186</v>
      </c>
      <c r="D86" s="256"/>
      <c r="E86" s="257" t="s">
        <v>187</v>
      </c>
      <c r="F86" s="258"/>
      <c r="G86" s="258"/>
      <c r="H86" s="259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58">
        <v>42</v>
      </c>
      <c r="C88" s="58">
        <v>1</v>
      </c>
      <c r="D88" s="58">
        <v>0</v>
      </c>
      <c r="E88" s="51">
        <v>0</v>
      </c>
      <c r="F88" s="51"/>
      <c r="G88" s="51"/>
      <c r="H88" s="51">
        <v>1</v>
      </c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25</v>
      </c>
      <c r="B89" s="58">
        <v>70</v>
      </c>
      <c r="C89" s="58">
        <v>2</v>
      </c>
      <c r="D89" s="58">
        <v>0</v>
      </c>
      <c r="E89" s="51">
        <v>0</v>
      </c>
      <c r="F89" s="51"/>
      <c r="G89" s="51"/>
      <c r="H89" s="51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58">
        <v>97</v>
      </c>
      <c r="C90" s="58">
        <v>3</v>
      </c>
      <c r="D90" s="58">
        <v>21</v>
      </c>
      <c r="E90" s="51">
        <v>0</v>
      </c>
      <c r="F90" s="51"/>
      <c r="G90" s="51"/>
      <c r="H90" s="51">
        <v>1</v>
      </c>
      <c r="I90" s="53">
        <f t="shared" si="3"/>
        <v>5.4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35</v>
      </c>
      <c r="B91" s="58">
        <v>116</v>
      </c>
      <c r="C91" s="58">
        <v>4</v>
      </c>
      <c r="D91" s="58">
        <v>21</v>
      </c>
      <c r="E91" s="51">
        <v>0</v>
      </c>
      <c r="F91" s="51"/>
      <c r="G91" s="51"/>
      <c r="H91" s="51">
        <v>1</v>
      </c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40</v>
      </c>
      <c r="B92" s="58">
        <v>137</v>
      </c>
      <c r="C92" s="58">
        <v>5</v>
      </c>
      <c r="D92" s="58">
        <v>21</v>
      </c>
      <c r="E92" s="51">
        <v>0.2</v>
      </c>
      <c r="F92" s="51"/>
      <c r="G92" s="51"/>
      <c r="H92" s="51">
        <v>0.8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45</v>
      </c>
      <c r="B93" s="58">
        <v>158</v>
      </c>
      <c r="C93" s="58">
        <v>6</v>
      </c>
      <c r="D93" s="58">
        <v>21</v>
      </c>
      <c r="E93" s="51">
        <v>0.2</v>
      </c>
      <c r="F93" s="51"/>
      <c r="G93" s="51"/>
      <c r="H93" s="51">
        <v>0.8</v>
      </c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50</v>
      </c>
      <c r="B94" s="58">
        <v>178</v>
      </c>
      <c r="C94" s="58">
        <v>7</v>
      </c>
      <c r="D94" s="58">
        <v>21</v>
      </c>
      <c r="E94" s="51">
        <v>0.3</v>
      </c>
      <c r="F94" s="51"/>
      <c r="G94" s="51"/>
      <c r="H94" s="51">
        <v>0.7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50">
        <v>55</v>
      </c>
      <c r="B95" s="58">
        <v>197</v>
      </c>
      <c r="C95" s="58">
        <v>8</v>
      </c>
      <c r="D95" s="58">
        <v>21</v>
      </c>
      <c r="E95" s="51">
        <v>0.3</v>
      </c>
      <c r="F95" s="51"/>
      <c r="G95" s="51"/>
      <c r="H95" s="51">
        <v>0.7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50">
        <v>60</v>
      </c>
      <c r="B96" s="58">
        <v>214</v>
      </c>
      <c r="C96" s="58">
        <v>9</v>
      </c>
      <c r="D96" s="58">
        <v>21</v>
      </c>
      <c r="E96" s="51">
        <v>0.4</v>
      </c>
      <c r="F96" s="51"/>
      <c r="G96" s="51"/>
      <c r="H96" s="51">
        <v>0.6</v>
      </c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50">
        <v>65</v>
      </c>
      <c r="B97" s="58">
        <v>229</v>
      </c>
      <c r="C97" s="58">
        <v>10</v>
      </c>
      <c r="D97" s="58">
        <v>21</v>
      </c>
      <c r="E97" s="51">
        <v>0.4</v>
      </c>
      <c r="F97" s="51"/>
      <c r="G97" s="51"/>
      <c r="H97" s="51">
        <v>0.6</v>
      </c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50">
        <v>70</v>
      </c>
      <c r="B98" s="58">
        <v>242</v>
      </c>
      <c r="C98" s="58">
        <v>11</v>
      </c>
      <c r="D98" s="58">
        <v>21</v>
      </c>
      <c r="E98" s="51">
        <v>0.5</v>
      </c>
      <c r="F98" s="51"/>
      <c r="G98" s="51"/>
      <c r="H98" s="51">
        <v>0.5</v>
      </c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50">
        <v>75</v>
      </c>
      <c r="B99" s="58">
        <v>252</v>
      </c>
      <c r="C99" s="58">
        <v>12</v>
      </c>
      <c r="D99" s="58">
        <v>21</v>
      </c>
      <c r="E99" s="51">
        <v>0.5</v>
      </c>
      <c r="F99" s="51"/>
      <c r="G99" s="51"/>
      <c r="H99" s="51">
        <v>0.5</v>
      </c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50">
        <v>80</v>
      </c>
      <c r="B100" s="58">
        <v>261</v>
      </c>
      <c r="C100" s="58">
        <v>13</v>
      </c>
      <c r="D100" s="58">
        <v>21</v>
      </c>
      <c r="E100" s="51">
        <v>0.6</v>
      </c>
      <c r="F100" s="51"/>
      <c r="G100" s="51"/>
      <c r="H100" s="51">
        <v>0.4</v>
      </c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50">
        <v>85</v>
      </c>
      <c r="B101" s="58">
        <v>269</v>
      </c>
      <c r="C101" s="58">
        <v>14</v>
      </c>
      <c r="D101" s="58">
        <v>21</v>
      </c>
      <c r="E101" s="51">
        <v>0.6</v>
      </c>
      <c r="F101" s="51"/>
      <c r="G101" s="51"/>
      <c r="H101" s="51">
        <v>0.4</v>
      </c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50">
        <v>90</v>
      </c>
      <c r="B102" s="50">
        <v>275</v>
      </c>
      <c r="C102" s="50">
        <v>15</v>
      </c>
      <c r="D102" s="50">
        <v>21</v>
      </c>
      <c r="E102" s="51">
        <v>0.7</v>
      </c>
      <c r="F102" s="51"/>
      <c r="G102" s="51"/>
      <c r="H102" s="51">
        <v>0.3</v>
      </c>
      <c r="I102" s="53">
        <f t="shared" si="3"/>
        <v>5.4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50">
        <v>95</v>
      </c>
      <c r="B103" s="50">
        <v>289</v>
      </c>
      <c r="C103" s="50">
        <v>16</v>
      </c>
      <c r="D103" s="50">
        <v>21</v>
      </c>
      <c r="E103" s="51">
        <v>0.7</v>
      </c>
      <c r="F103" s="51"/>
      <c r="G103" s="51"/>
      <c r="H103" s="51">
        <v>0.3</v>
      </c>
      <c r="I103" s="53">
        <f t="shared" si="3"/>
        <v>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50">
        <v>100</v>
      </c>
      <c r="B104" s="50">
        <v>282</v>
      </c>
      <c r="C104" s="50">
        <v>17</v>
      </c>
      <c r="D104" s="50">
        <v>21</v>
      </c>
      <c r="E104" s="51">
        <v>0.7</v>
      </c>
      <c r="F104" s="51"/>
      <c r="G104" s="51"/>
      <c r="H104" s="51">
        <v>0.3</v>
      </c>
      <c r="I104" s="53">
        <f t="shared" si="3"/>
        <v>2.8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>
        <v>110</v>
      </c>
      <c r="B105" s="50">
        <v>285</v>
      </c>
      <c r="C105" s="50">
        <v>19</v>
      </c>
      <c r="D105" s="50">
        <v>39</v>
      </c>
      <c r="E105" s="51">
        <v>0.8</v>
      </c>
      <c r="F105" s="51"/>
      <c r="G105" s="51"/>
      <c r="H105" s="51">
        <v>0.2</v>
      </c>
      <c r="I105" s="53">
        <f t="shared" si="3"/>
        <v>2.4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>
        <v>115</v>
      </c>
      <c r="B106" s="50">
        <v>285</v>
      </c>
      <c r="C106" s="50">
        <v>20</v>
      </c>
      <c r="D106" s="50">
        <v>18</v>
      </c>
      <c r="E106" s="51">
        <v>0.8</v>
      </c>
      <c r="F106" s="51"/>
      <c r="G106" s="51"/>
      <c r="H106" s="51">
        <v>0.2</v>
      </c>
      <c r="I106" s="53">
        <f t="shared" si="3"/>
        <v>7.8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>
        <v>120</v>
      </c>
      <c r="B107" s="50">
        <v>285</v>
      </c>
      <c r="C107" s="50">
        <v>21</v>
      </c>
      <c r="D107" s="50">
        <v>285</v>
      </c>
      <c r="E107" s="51">
        <v>0.8</v>
      </c>
      <c r="F107" s="51"/>
      <c r="G107" s="51"/>
      <c r="H107" s="51">
        <v>0.2</v>
      </c>
      <c r="I107" s="53">
        <f t="shared" si="3"/>
        <v>3.6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Pin laricio</v>
      </c>
      <c r="D110" s="226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3" t="s">
        <v>185</v>
      </c>
      <c r="C112" s="256" t="s">
        <v>186</v>
      </c>
      <c r="D112" s="256"/>
      <c r="E112" s="257" t="s">
        <v>187</v>
      </c>
      <c r="F112" s="258"/>
      <c r="G112" s="258"/>
      <c r="H112" s="259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15</v>
      </c>
      <c r="B114" s="58">
        <v>22.31</v>
      </c>
      <c r="C114" s="50">
        <v>1</v>
      </c>
      <c r="D114" s="58">
        <v>0</v>
      </c>
      <c r="E114" s="51">
        <v>0</v>
      </c>
      <c r="F114" s="51">
        <v>0.56000000000000005</v>
      </c>
      <c r="G114" s="51">
        <v>0.44</v>
      </c>
      <c r="H114" s="51"/>
      <c r="I114" s="53">
        <f>IFERROR(B114/A114,"")</f>
        <v>1.4873333333333332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21</v>
      </c>
      <c r="B115" s="58">
        <v>109.91</v>
      </c>
      <c r="C115" s="50">
        <v>2</v>
      </c>
      <c r="D115" s="58">
        <v>0</v>
      </c>
      <c r="E115" s="51">
        <v>0</v>
      </c>
      <c r="F115" s="51">
        <v>0.56000000000000005</v>
      </c>
      <c r="G115" s="51">
        <v>0.44</v>
      </c>
      <c r="H115" s="51"/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22</v>
      </c>
      <c r="B116" s="58">
        <v>129.07</v>
      </c>
      <c r="C116" s="50">
        <v>3</v>
      </c>
      <c r="D116" s="58">
        <v>52</v>
      </c>
      <c r="E116" s="51">
        <v>0</v>
      </c>
      <c r="F116" s="51">
        <v>0.56000000000000005</v>
      </c>
      <c r="G116" s="51">
        <v>0.44</v>
      </c>
      <c r="H116" s="51"/>
      <c r="I116" s="53">
        <f t="shared" si="4"/>
        <v>19.159999999999997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24</v>
      </c>
      <c r="B117" s="58">
        <v>104.41</v>
      </c>
      <c r="C117" s="50">
        <v>4</v>
      </c>
      <c r="D117" s="58">
        <v>0</v>
      </c>
      <c r="E117" s="51">
        <v>0.2</v>
      </c>
      <c r="F117" s="51">
        <v>0.45</v>
      </c>
      <c r="G117" s="51">
        <v>0.35</v>
      </c>
      <c r="H117" s="51"/>
      <c r="I117" s="53">
        <f t="shared" si="4"/>
        <v>13.670000000000002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27</v>
      </c>
      <c r="B118" s="58">
        <v>155.49</v>
      </c>
      <c r="C118" s="50">
        <v>5</v>
      </c>
      <c r="D118" s="58">
        <v>37.840000000000003</v>
      </c>
      <c r="E118" s="51">
        <v>0.2</v>
      </c>
      <c r="F118" s="51">
        <v>0.45</v>
      </c>
      <c r="G118" s="51">
        <v>0.35</v>
      </c>
      <c r="H118" s="51"/>
      <c r="I118" s="53">
        <f t="shared" si="4"/>
        <v>17.026666666666671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33</v>
      </c>
      <c r="B119" s="58">
        <v>217.34</v>
      </c>
      <c r="C119" s="50">
        <v>6</v>
      </c>
      <c r="D119" s="58">
        <v>50</v>
      </c>
      <c r="E119" s="51">
        <v>0.4</v>
      </c>
      <c r="F119" s="51">
        <v>0.34</v>
      </c>
      <c r="G119" s="51">
        <v>0.26</v>
      </c>
      <c r="H119" s="51"/>
      <c r="I119" s="53">
        <f t="shared" si="4"/>
        <v>16.614999999999998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58">
        <v>41</v>
      </c>
      <c r="B120" s="58">
        <v>300.54000000000002</v>
      </c>
      <c r="C120" s="58">
        <v>8</v>
      </c>
      <c r="D120" s="58">
        <v>72.13</v>
      </c>
      <c r="E120" s="85">
        <v>0.4</v>
      </c>
      <c r="F120" s="85">
        <v>0.34</v>
      </c>
      <c r="G120" s="85">
        <v>0.26</v>
      </c>
      <c r="H120" s="85"/>
      <c r="I120" s="53">
        <f t="shared" si="4"/>
        <v>16.650000000000002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58">
        <v>50</v>
      </c>
      <c r="B121" s="58">
        <v>369.94</v>
      </c>
      <c r="C121" s="58">
        <v>9</v>
      </c>
      <c r="D121" s="58">
        <v>70</v>
      </c>
      <c r="E121" s="85">
        <v>0.6</v>
      </c>
      <c r="F121" s="85">
        <v>0.22</v>
      </c>
      <c r="G121" s="85">
        <v>0.18</v>
      </c>
      <c r="H121" s="85"/>
      <c r="I121" s="53">
        <f t="shared" si="4"/>
        <v>15.725555555555552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58">
        <v>60</v>
      </c>
      <c r="B122" s="58">
        <v>440.94</v>
      </c>
      <c r="C122" s="58">
        <v>10</v>
      </c>
      <c r="D122" s="58">
        <v>440.94</v>
      </c>
      <c r="E122" s="85">
        <v>0.8</v>
      </c>
      <c r="F122" s="85">
        <v>0.11</v>
      </c>
      <c r="G122" s="85">
        <v>0.09</v>
      </c>
      <c r="H122" s="85"/>
      <c r="I122" s="53">
        <f t="shared" si="4"/>
        <v>14.1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58"/>
      <c r="B123" s="58"/>
      <c r="C123" s="58"/>
      <c r="D123" s="58"/>
      <c r="E123" s="85"/>
      <c r="F123" s="85"/>
      <c r="G123" s="85"/>
      <c r="H123" s="85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58"/>
      <c r="B124" s="58"/>
      <c r="C124" s="58"/>
      <c r="D124" s="58"/>
      <c r="E124" s="85"/>
      <c r="F124" s="85"/>
      <c r="G124" s="85"/>
      <c r="H124" s="85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58"/>
      <c r="B125" s="58"/>
      <c r="C125" s="58"/>
      <c r="D125" s="58"/>
      <c r="E125" s="85"/>
      <c r="F125" s="85"/>
      <c r="G125" s="85"/>
      <c r="H125" s="85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58"/>
      <c r="B126" s="58"/>
      <c r="C126" s="58"/>
      <c r="D126" s="58"/>
      <c r="E126" s="63"/>
      <c r="F126" s="63"/>
      <c r="G126" s="63"/>
      <c r="H126" s="63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58"/>
      <c r="B127" s="58"/>
      <c r="C127" s="58"/>
      <c r="D127" s="58"/>
      <c r="E127" s="63"/>
      <c r="F127" s="63"/>
      <c r="G127" s="63"/>
      <c r="H127" s="63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Cormier</v>
      </c>
      <c r="D136" s="226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3" t="s">
        <v>185</v>
      </c>
      <c r="C138" s="256" t="s">
        <v>186</v>
      </c>
      <c r="D138" s="256"/>
      <c r="E138" s="257" t="s">
        <v>187</v>
      </c>
      <c r="F138" s="258"/>
      <c r="G138" s="258"/>
      <c r="H138" s="259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20</v>
      </c>
      <c r="B140" s="58">
        <v>42</v>
      </c>
      <c r="C140" s="58">
        <v>1</v>
      </c>
      <c r="D140" s="58">
        <v>0</v>
      </c>
      <c r="E140" s="51">
        <v>0</v>
      </c>
      <c r="F140" s="51"/>
      <c r="G140" s="51"/>
      <c r="H140" s="51">
        <v>1</v>
      </c>
      <c r="I140" s="56">
        <f>IFERROR(B140/A140,"")</f>
        <v>2.1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25</v>
      </c>
      <c r="B141" s="58">
        <v>70</v>
      </c>
      <c r="C141" s="58">
        <v>2</v>
      </c>
      <c r="D141" s="58">
        <v>0</v>
      </c>
      <c r="E141" s="51">
        <v>0</v>
      </c>
      <c r="F141" s="51"/>
      <c r="G141" s="51"/>
      <c r="H141" s="51">
        <v>1</v>
      </c>
      <c r="I141" s="56">
        <f t="shared" ref="I141:I159" si="5">IF(A141&lt;&gt;0,(B141-(B140-D140))/(A141-A140),"")</f>
        <v>5.6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30</v>
      </c>
      <c r="B142" s="58">
        <v>97</v>
      </c>
      <c r="C142" s="58">
        <v>3</v>
      </c>
      <c r="D142" s="58">
        <v>21</v>
      </c>
      <c r="E142" s="51">
        <v>0</v>
      </c>
      <c r="F142" s="51"/>
      <c r="G142" s="51"/>
      <c r="H142" s="51">
        <v>1</v>
      </c>
      <c r="I142" s="56">
        <f t="shared" si="5"/>
        <v>5.4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35</v>
      </c>
      <c r="B143" s="58">
        <v>116</v>
      </c>
      <c r="C143" s="58">
        <v>4</v>
      </c>
      <c r="D143" s="58">
        <v>21</v>
      </c>
      <c r="E143" s="51">
        <v>0</v>
      </c>
      <c r="F143" s="51"/>
      <c r="G143" s="51"/>
      <c r="H143" s="51">
        <v>1</v>
      </c>
      <c r="I143" s="56">
        <f t="shared" si="5"/>
        <v>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40</v>
      </c>
      <c r="B144" s="58">
        <v>137</v>
      </c>
      <c r="C144" s="58">
        <v>5</v>
      </c>
      <c r="D144" s="58">
        <v>21</v>
      </c>
      <c r="E144" s="51">
        <v>0.2</v>
      </c>
      <c r="F144" s="51"/>
      <c r="G144" s="51"/>
      <c r="H144" s="51">
        <v>0.8</v>
      </c>
      <c r="I144" s="56">
        <f t="shared" si="5"/>
        <v>8.4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45</v>
      </c>
      <c r="B145" s="58">
        <v>158</v>
      </c>
      <c r="C145" s="58">
        <v>6</v>
      </c>
      <c r="D145" s="58">
        <v>21</v>
      </c>
      <c r="E145" s="51">
        <v>0.2</v>
      </c>
      <c r="F145" s="51"/>
      <c r="G145" s="51"/>
      <c r="H145" s="51">
        <v>0.8</v>
      </c>
      <c r="I145" s="56">
        <f t="shared" si="5"/>
        <v>8.4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50</v>
      </c>
      <c r="B146" s="58">
        <v>178</v>
      </c>
      <c r="C146" s="58">
        <v>7</v>
      </c>
      <c r="D146" s="58">
        <v>21</v>
      </c>
      <c r="E146" s="51">
        <v>0.3</v>
      </c>
      <c r="F146" s="51"/>
      <c r="G146" s="51"/>
      <c r="H146" s="51">
        <v>0.7</v>
      </c>
      <c r="I146" s="56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55</v>
      </c>
      <c r="B147" s="58">
        <v>197</v>
      </c>
      <c r="C147" s="58">
        <v>8</v>
      </c>
      <c r="D147" s="58">
        <v>21</v>
      </c>
      <c r="E147" s="51">
        <v>0.3</v>
      </c>
      <c r="F147" s="51"/>
      <c r="G147" s="51"/>
      <c r="H147" s="51">
        <v>0.7</v>
      </c>
      <c r="I147" s="56">
        <f>IF(A147&lt;&gt;0,(B147-(B146-D146))/(A147-A146),"")</f>
        <v>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60</v>
      </c>
      <c r="B148" s="58">
        <v>214</v>
      </c>
      <c r="C148" s="58">
        <v>9</v>
      </c>
      <c r="D148" s="58">
        <v>21</v>
      </c>
      <c r="E148" s="51">
        <v>0.4</v>
      </c>
      <c r="F148" s="51"/>
      <c r="G148" s="51"/>
      <c r="H148" s="51">
        <v>0.6</v>
      </c>
      <c r="I148" s="56">
        <f t="shared" si="5"/>
        <v>7.6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65</v>
      </c>
      <c r="B149" s="58">
        <v>229</v>
      </c>
      <c r="C149" s="58">
        <v>10</v>
      </c>
      <c r="D149" s="58">
        <v>21</v>
      </c>
      <c r="E149" s="51">
        <v>0.4</v>
      </c>
      <c r="F149" s="51"/>
      <c r="G149" s="51"/>
      <c r="H149" s="51">
        <v>0.6</v>
      </c>
      <c r="I149" s="56">
        <f t="shared" si="5"/>
        <v>7.2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70</v>
      </c>
      <c r="B150" s="58">
        <v>242</v>
      </c>
      <c r="C150" s="58">
        <v>11</v>
      </c>
      <c r="D150" s="58">
        <v>21</v>
      </c>
      <c r="E150" s="51">
        <v>0.5</v>
      </c>
      <c r="F150" s="51"/>
      <c r="G150" s="51"/>
      <c r="H150" s="51">
        <v>0.5</v>
      </c>
      <c r="I150" s="56">
        <f t="shared" si="5"/>
        <v>6.8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75</v>
      </c>
      <c r="B151" s="58">
        <v>252</v>
      </c>
      <c r="C151" s="58">
        <v>12</v>
      </c>
      <c r="D151" s="58">
        <v>21</v>
      </c>
      <c r="E151" s="51">
        <v>0.5</v>
      </c>
      <c r="F151" s="51"/>
      <c r="G151" s="51"/>
      <c r="H151" s="51">
        <v>0.5</v>
      </c>
      <c r="I151" s="56">
        <f t="shared" si="5"/>
        <v>6.2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80</v>
      </c>
      <c r="B152" s="58">
        <v>261</v>
      </c>
      <c r="C152" s="58">
        <v>13</v>
      </c>
      <c r="D152" s="58">
        <v>21</v>
      </c>
      <c r="E152" s="51">
        <v>0.6</v>
      </c>
      <c r="F152" s="51"/>
      <c r="G152" s="51"/>
      <c r="H152" s="51">
        <v>0.4</v>
      </c>
      <c r="I152" s="56">
        <f t="shared" si="5"/>
        <v>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85</v>
      </c>
      <c r="B153" s="58">
        <v>269</v>
      </c>
      <c r="C153" s="58">
        <v>14</v>
      </c>
      <c r="D153" s="58">
        <v>21</v>
      </c>
      <c r="E153" s="51">
        <v>0.6</v>
      </c>
      <c r="F153" s="51"/>
      <c r="G153" s="51"/>
      <c r="H153" s="51">
        <v>0.4</v>
      </c>
      <c r="I153" s="56">
        <f t="shared" si="5"/>
        <v>5.8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0">
        <v>90</v>
      </c>
      <c r="B154" s="50">
        <v>275</v>
      </c>
      <c r="C154" s="50">
        <v>15</v>
      </c>
      <c r="D154" s="50">
        <v>21</v>
      </c>
      <c r="E154" s="51">
        <v>0.7</v>
      </c>
      <c r="F154" s="51"/>
      <c r="G154" s="51"/>
      <c r="H154" s="51">
        <v>0.3</v>
      </c>
      <c r="I154" s="56">
        <f t="shared" si="5"/>
        <v>5.4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0">
        <v>95</v>
      </c>
      <c r="B155" s="50">
        <v>289</v>
      </c>
      <c r="C155" s="50">
        <v>16</v>
      </c>
      <c r="D155" s="50">
        <v>21</v>
      </c>
      <c r="E155" s="51">
        <v>0.7</v>
      </c>
      <c r="F155" s="51"/>
      <c r="G155" s="51"/>
      <c r="H155" s="51">
        <v>0.3</v>
      </c>
      <c r="I155" s="56">
        <f t="shared" si="5"/>
        <v>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0">
        <v>100</v>
      </c>
      <c r="B156" s="50">
        <v>282</v>
      </c>
      <c r="C156" s="50">
        <v>17</v>
      </c>
      <c r="D156" s="50">
        <v>21</v>
      </c>
      <c r="E156" s="51">
        <v>0.7</v>
      </c>
      <c r="F156" s="51"/>
      <c r="G156" s="51"/>
      <c r="H156" s="51">
        <v>0.3</v>
      </c>
      <c r="I156" s="56">
        <f t="shared" si="5"/>
        <v>2.8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0">
        <v>110</v>
      </c>
      <c r="B157" s="50">
        <v>285</v>
      </c>
      <c r="C157" s="50">
        <v>19</v>
      </c>
      <c r="D157" s="50">
        <v>39</v>
      </c>
      <c r="E157" s="51">
        <v>0.8</v>
      </c>
      <c r="F157" s="51"/>
      <c r="G157" s="51"/>
      <c r="H157" s="51">
        <v>0.2</v>
      </c>
      <c r="I157" s="56">
        <f t="shared" si="5"/>
        <v>2.4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0">
        <v>115</v>
      </c>
      <c r="B158" s="50">
        <v>285</v>
      </c>
      <c r="C158" s="50">
        <v>20</v>
      </c>
      <c r="D158" s="50">
        <v>18</v>
      </c>
      <c r="E158" s="51">
        <v>0.8</v>
      </c>
      <c r="F158" s="51"/>
      <c r="G158" s="51"/>
      <c r="H158" s="51">
        <v>0.2</v>
      </c>
      <c r="I158" s="56">
        <f t="shared" si="5"/>
        <v>7.8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0">
        <v>120</v>
      </c>
      <c r="B159" s="50">
        <v>285</v>
      </c>
      <c r="C159" s="50">
        <v>21</v>
      </c>
      <c r="D159" s="50">
        <v>285</v>
      </c>
      <c r="E159" s="51">
        <v>0.8</v>
      </c>
      <c r="F159" s="51"/>
      <c r="G159" s="51"/>
      <c r="H159" s="51">
        <v>0.2</v>
      </c>
      <c r="I159" s="56">
        <f t="shared" si="5"/>
        <v>3.6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Charme</v>
      </c>
      <c r="C162" s="254" t="s">
        <v>324</v>
      </c>
      <c r="D162" s="226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3" t="s">
        <v>185</v>
      </c>
      <c r="C164" s="256" t="s">
        <v>186</v>
      </c>
      <c r="D164" s="256"/>
      <c r="E164" s="257" t="s">
        <v>187</v>
      </c>
      <c r="F164" s="258"/>
      <c r="G164" s="258"/>
      <c r="H164" s="259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25</v>
      </c>
      <c r="B166" s="58">
        <v>30</v>
      </c>
      <c r="C166" s="58">
        <v>1</v>
      </c>
      <c r="D166" s="58">
        <v>0</v>
      </c>
      <c r="E166" s="51">
        <v>0</v>
      </c>
      <c r="F166" s="51"/>
      <c r="G166" s="51"/>
      <c r="H166" s="51">
        <v>1</v>
      </c>
      <c r="I166" s="49">
        <f>IFERROR(B166/A166,"")</f>
        <v>1.2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30</v>
      </c>
      <c r="B167" s="58">
        <v>54</v>
      </c>
      <c r="C167" s="58">
        <v>2</v>
      </c>
      <c r="D167" s="58">
        <v>0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4.8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35</v>
      </c>
      <c r="B168" s="58">
        <v>79</v>
      </c>
      <c r="C168" s="58">
        <v>3</v>
      </c>
      <c r="D168" s="58">
        <v>13</v>
      </c>
      <c r="E168" s="51">
        <v>0</v>
      </c>
      <c r="F168" s="51"/>
      <c r="G168" s="51"/>
      <c r="H168" s="51">
        <v>1</v>
      </c>
      <c r="I168" s="49">
        <f t="shared" si="6"/>
        <v>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40</v>
      </c>
      <c r="B169" s="58">
        <v>93</v>
      </c>
      <c r="C169" s="58">
        <v>4</v>
      </c>
      <c r="D169" s="58">
        <v>14</v>
      </c>
      <c r="E169" s="51">
        <v>0.2</v>
      </c>
      <c r="F169" s="51"/>
      <c r="G169" s="51"/>
      <c r="H169" s="51">
        <v>0.8</v>
      </c>
      <c r="I169" s="49">
        <f t="shared" si="6"/>
        <v>5.4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45</v>
      </c>
      <c r="B170" s="58">
        <v>107</v>
      </c>
      <c r="C170" s="58">
        <v>5</v>
      </c>
      <c r="D170" s="58">
        <v>14</v>
      </c>
      <c r="E170" s="51">
        <v>0.2</v>
      </c>
      <c r="F170" s="51"/>
      <c r="G170" s="51"/>
      <c r="H170" s="51">
        <v>0.8</v>
      </c>
      <c r="I170" s="49">
        <f t="shared" si="6"/>
        <v>5.6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50</v>
      </c>
      <c r="B171" s="58">
        <v>121</v>
      </c>
      <c r="C171" s="58">
        <v>6</v>
      </c>
      <c r="D171" s="58">
        <v>14</v>
      </c>
      <c r="E171" s="51">
        <v>0.2</v>
      </c>
      <c r="F171" s="51"/>
      <c r="G171" s="51"/>
      <c r="H171" s="51">
        <v>0.8</v>
      </c>
      <c r="I171" s="49">
        <f t="shared" si="6"/>
        <v>5.6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55</v>
      </c>
      <c r="B172" s="58">
        <v>135</v>
      </c>
      <c r="C172" s="58">
        <v>7</v>
      </c>
      <c r="D172" s="58">
        <v>14</v>
      </c>
      <c r="E172" s="51">
        <v>0.3</v>
      </c>
      <c r="F172" s="51"/>
      <c r="G172" s="51"/>
      <c r="H172" s="51">
        <v>0.7</v>
      </c>
      <c r="I172" s="49">
        <f t="shared" si="6"/>
        <v>5.6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60</v>
      </c>
      <c r="B173" s="50">
        <v>148</v>
      </c>
      <c r="C173" s="50">
        <v>8</v>
      </c>
      <c r="D173" s="50">
        <v>14</v>
      </c>
      <c r="E173" s="51">
        <v>0.3</v>
      </c>
      <c r="F173" s="51"/>
      <c r="G173" s="51"/>
      <c r="H173" s="51">
        <v>0.7</v>
      </c>
      <c r="I173" s="49">
        <f t="shared" si="6"/>
        <v>5.4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65</v>
      </c>
      <c r="B174" s="50">
        <v>161</v>
      </c>
      <c r="C174" s="50">
        <v>9</v>
      </c>
      <c r="D174" s="50">
        <v>14</v>
      </c>
      <c r="E174" s="51">
        <v>0.4</v>
      </c>
      <c r="F174" s="51"/>
      <c r="G174" s="51"/>
      <c r="H174" s="51">
        <v>0.6</v>
      </c>
      <c r="I174" s="49">
        <f t="shared" si="6"/>
        <v>5.4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70</v>
      </c>
      <c r="B175" s="50">
        <v>172</v>
      </c>
      <c r="C175" s="50">
        <v>10</v>
      </c>
      <c r="D175" s="50">
        <v>14</v>
      </c>
      <c r="E175" s="51">
        <v>0.4</v>
      </c>
      <c r="F175" s="51"/>
      <c r="G175" s="51"/>
      <c r="H175" s="51">
        <v>0.6</v>
      </c>
      <c r="I175" s="49">
        <f t="shared" si="6"/>
        <v>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75</v>
      </c>
      <c r="B176" s="50">
        <v>183</v>
      </c>
      <c r="C176" s="50">
        <v>11</v>
      </c>
      <c r="D176" s="50">
        <v>14</v>
      </c>
      <c r="E176" s="51">
        <v>0.5</v>
      </c>
      <c r="F176" s="51"/>
      <c r="G176" s="51"/>
      <c r="H176" s="51">
        <v>0.5</v>
      </c>
      <c r="I176" s="49">
        <f t="shared" si="6"/>
        <v>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80</v>
      </c>
      <c r="B177" s="50">
        <v>192</v>
      </c>
      <c r="C177" s="50">
        <v>12</v>
      </c>
      <c r="D177" s="50">
        <v>14</v>
      </c>
      <c r="E177" s="51">
        <v>0.5</v>
      </c>
      <c r="F177" s="51"/>
      <c r="G177" s="51"/>
      <c r="H177" s="51">
        <v>0.5</v>
      </c>
      <c r="I177" s="49">
        <f t="shared" si="6"/>
        <v>4.5999999999999996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85</v>
      </c>
      <c r="B178" s="50">
        <v>200</v>
      </c>
      <c r="C178" s="50">
        <v>13</v>
      </c>
      <c r="D178" s="50">
        <v>14</v>
      </c>
      <c r="E178" s="51">
        <v>0.6</v>
      </c>
      <c r="F178" s="51"/>
      <c r="G178" s="51"/>
      <c r="H178" s="51">
        <v>0.4</v>
      </c>
      <c r="I178" s="49">
        <f t="shared" si="6"/>
        <v>4.4000000000000004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90</v>
      </c>
      <c r="B179" s="50">
        <v>207</v>
      </c>
      <c r="C179" s="50">
        <v>14</v>
      </c>
      <c r="D179" s="50">
        <v>14</v>
      </c>
      <c r="E179" s="51">
        <v>0.6</v>
      </c>
      <c r="F179" s="51"/>
      <c r="G179" s="51"/>
      <c r="H179" s="51">
        <v>0.4</v>
      </c>
      <c r="I179" s="49">
        <f t="shared" si="6"/>
        <v>4.2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95</v>
      </c>
      <c r="B180" s="50">
        <v>212</v>
      </c>
      <c r="C180" s="50">
        <v>15</v>
      </c>
      <c r="D180" s="50">
        <v>14</v>
      </c>
      <c r="E180" s="51">
        <v>0.7</v>
      </c>
      <c r="F180" s="51"/>
      <c r="G180" s="51"/>
      <c r="H180" s="51">
        <v>0.3</v>
      </c>
      <c r="I180" s="49">
        <f t="shared" si="6"/>
        <v>3.8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100</v>
      </c>
      <c r="B181" s="50">
        <v>216</v>
      </c>
      <c r="C181" s="50">
        <v>16</v>
      </c>
      <c r="D181" s="50">
        <v>14</v>
      </c>
      <c r="E181" s="51">
        <v>0.7</v>
      </c>
      <c r="F181" s="51"/>
      <c r="G181" s="51"/>
      <c r="H181" s="51">
        <v>0.3</v>
      </c>
      <c r="I181" s="49">
        <f t="shared" si="6"/>
        <v>3.6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105</v>
      </c>
      <c r="B182" s="50">
        <v>218</v>
      </c>
      <c r="C182" s="50">
        <v>17</v>
      </c>
      <c r="D182" s="50">
        <v>14</v>
      </c>
      <c r="E182" s="51">
        <v>0.7</v>
      </c>
      <c r="F182" s="51"/>
      <c r="G182" s="51"/>
      <c r="H182" s="51">
        <v>0.3</v>
      </c>
      <c r="I182" s="49">
        <f t="shared" si="6"/>
        <v>3.2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>
        <v>110</v>
      </c>
      <c r="B183" s="50">
        <v>219</v>
      </c>
      <c r="C183" s="50">
        <v>18</v>
      </c>
      <c r="D183" s="50">
        <v>13</v>
      </c>
      <c r="E183" s="51">
        <v>0.7</v>
      </c>
      <c r="F183" s="51"/>
      <c r="G183" s="51"/>
      <c r="H183" s="51">
        <v>0.3</v>
      </c>
      <c r="I183" s="49">
        <f t="shared" si="6"/>
        <v>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>
        <v>115</v>
      </c>
      <c r="B184" s="50">
        <v>219</v>
      </c>
      <c r="C184" s="50">
        <v>19</v>
      </c>
      <c r="D184" s="50">
        <v>13</v>
      </c>
      <c r="E184" s="51">
        <v>0.7</v>
      </c>
      <c r="F184" s="51"/>
      <c r="G184" s="51"/>
      <c r="H184" s="51">
        <v>0.3</v>
      </c>
      <c r="I184" s="49">
        <f t="shared" si="6"/>
        <v>2.6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>
        <v>120</v>
      </c>
      <c r="B185" s="50">
        <v>221</v>
      </c>
      <c r="C185" s="50">
        <v>20</v>
      </c>
      <c r="D185" s="50">
        <v>221</v>
      </c>
      <c r="E185" s="51">
        <v>0.8</v>
      </c>
      <c r="F185" s="51"/>
      <c r="G185" s="51"/>
      <c r="H185" s="51">
        <v>0.2</v>
      </c>
      <c r="I185" s="49">
        <f t="shared" si="6"/>
        <v>3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6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3" t="s">
        <v>185</v>
      </c>
      <c r="C190" s="256" t="s">
        <v>186</v>
      </c>
      <c r="D190" s="256"/>
      <c r="E190" s="257" t="s">
        <v>187</v>
      </c>
      <c r="F190" s="258"/>
      <c r="G190" s="258"/>
      <c r="H190" s="259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58"/>
      <c r="C192" s="58"/>
      <c r="D192" s="58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58"/>
      <c r="C193" s="58"/>
      <c r="D193" s="58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58"/>
      <c r="C194" s="58"/>
      <c r="D194" s="58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58"/>
      <c r="C195" s="58"/>
      <c r="D195" s="58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58"/>
      <c r="C196" s="58"/>
      <c r="D196" s="58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58"/>
      <c r="C197" s="58"/>
      <c r="D197" s="58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58"/>
      <c r="C198" s="58"/>
      <c r="D198" s="58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6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3" t="s">
        <v>185</v>
      </c>
      <c r="C216" s="256" t="s">
        <v>186</v>
      </c>
      <c r="D216" s="256"/>
      <c r="E216" s="257" t="s">
        <v>187</v>
      </c>
      <c r="F216" s="258"/>
      <c r="G216" s="258"/>
      <c r="H216" s="259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58"/>
      <c r="C218" s="50"/>
      <c r="D218" s="58"/>
      <c r="E218" s="61"/>
      <c r="F218" s="61"/>
      <c r="G218" s="61"/>
      <c r="H218" s="61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58"/>
      <c r="C219" s="50"/>
      <c r="D219" s="58"/>
      <c r="E219" s="61"/>
      <c r="F219" s="61"/>
      <c r="G219" s="61"/>
      <c r="H219" s="61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58"/>
      <c r="C220" s="50"/>
      <c r="D220" s="58"/>
      <c r="E220" s="61"/>
      <c r="F220" s="61"/>
      <c r="G220" s="61"/>
      <c r="H220" s="61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1"/>
      <c r="F221" s="61"/>
      <c r="G221" s="61"/>
      <c r="H221" s="61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1"/>
      <c r="F222" s="61"/>
      <c r="G222" s="61"/>
      <c r="H222" s="61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1"/>
      <c r="F223" s="61"/>
      <c r="G223" s="61"/>
      <c r="H223" s="61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1"/>
      <c r="F224" s="61"/>
      <c r="G224" s="61"/>
      <c r="H224" s="61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1"/>
      <c r="F225" s="61"/>
      <c r="G225" s="61"/>
      <c r="H225" s="61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1"/>
      <c r="F226" s="61"/>
      <c r="G226" s="61"/>
      <c r="H226" s="61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1"/>
      <c r="F227" s="61"/>
      <c r="G227" s="61"/>
      <c r="H227" s="61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1"/>
      <c r="F228" s="61"/>
      <c r="G228" s="61"/>
      <c r="H228" s="61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1"/>
      <c r="F229" s="61"/>
      <c r="G229" s="61"/>
      <c r="H229" s="61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2"/>
      <c r="F230" s="62"/>
      <c r="G230" s="62"/>
      <c r="H230" s="62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6"/>
      <c r="B231" s="58"/>
      <c r="C231" s="86"/>
      <c r="D231" s="58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6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3" t="s">
        <v>185</v>
      </c>
      <c r="C242" s="256" t="s">
        <v>186</v>
      </c>
      <c r="D242" s="256"/>
      <c r="E242" s="257" t="s">
        <v>187</v>
      </c>
      <c r="F242" s="258"/>
      <c r="G242" s="258"/>
      <c r="H242" s="259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58"/>
      <c r="C244" s="58"/>
      <c r="D244" s="58"/>
      <c r="E244" s="51"/>
      <c r="F244" s="51"/>
      <c r="G244" s="51"/>
      <c r="H244" s="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58"/>
      <c r="C245" s="58"/>
      <c r="D245" s="58"/>
      <c r="E245" s="61"/>
      <c r="F245" s="61"/>
      <c r="G245" s="61"/>
      <c r="H245" s="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58"/>
      <c r="C246" s="58"/>
      <c r="D246" s="58"/>
      <c r="E246" s="61"/>
      <c r="F246" s="61"/>
      <c r="G246" s="61"/>
      <c r="H246" s="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58"/>
      <c r="C247" s="58"/>
      <c r="D247" s="58"/>
      <c r="E247" s="61"/>
      <c r="F247" s="61"/>
      <c r="G247" s="61"/>
      <c r="H247" s="61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58"/>
      <c r="C248" s="58"/>
      <c r="D248" s="58"/>
      <c r="E248" s="61"/>
      <c r="F248" s="61"/>
      <c r="G248" s="61"/>
      <c r="H248" s="61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58"/>
      <c r="C249" s="58"/>
      <c r="D249" s="58"/>
      <c r="E249" s="61"/>
      <c r="F249" s="61"/>
      <c r="G249" s="61"/>
      <c r="H249" s="61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58"/>
      <c r="C250" s="58"/>
      <c r="D250" s="58"/>
      <c r="E250" s="61"/>
      <c r="F250" s="61"/>
      <c r="G250" s="61"/>
      <c r="H250" s="61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1"/>
      <c r="F251" s="61"/>
      <c r="G251" s="61"/>
      <c r="H251" s="61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1"/>
      <c r="F252" s="61"/>
      <c r="G252" s="61"/>
      <c r="H252" s="61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1"/>
      <c r="F253" s="61"/>
      <c r="G253" s="61"/>
      <c r="H253" s="61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1"/>
      <c r="F254" s="61"/>
      <c r="G254" s="61"/>
      <c r="H254" s="6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1"/>
      <c r="F255" s="61"/>
      <c r="G255" s="61"/>
      <c r="H255" s="6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2"/>
      <c r="F256" s="62"/>
      <c r="G256" s="62"/>
      <c r="H256" s="62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6"/>
      <c r="B257" s="58"/>
      <c r="C257" s="86"/>
      <c r="D257" s="58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6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3" t="s">
        <v>185</v>
      </c>
      <c r="C268" s="256" t="s">
        <v>186</v>
      </c>
      <c r="D268" s="256"/>
      <c r="E268" s="257" t="s">
        <v>187</v>
      </c>
      <c r="F268" s="258"/>
      <c r="G268" s="258"/>
      <c r="H268" s="259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58"/>
      <c r="C270" s="50"/>
      <c r="D270" s="58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58"/>
      <c r="C271" s="50"/>
      <c r="D271" s="58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58"/>
      <c r="C272" s="50"/>
      <c r="D272" s="58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58"/>
      <c r="C273" s="50"/>
      <c r="D273" s="58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58"/>
      <c r="C274" s="50"/>
      <c r="D274" s="58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58"/>
      <c r="C275" s="50"/>
      <c r="D275" s="58"/>
      <c r="E275" s="61"/>
      <c r="F275" s="61"/>
      <c r="G275" s="61"/>
      <c r="H275" s="6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58"/>
      <c r="C276" s="50"/>
      <c r="D276" s="58"/>
      <c r="E276" s="61"/>
      <c r="F276" s="61"/>
      <c r="G276" s="61"/>
      <c r="H276" s="6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1"/>
      <c r="F277" s="61"/>
      <c r="G277" s="61"/>
      <c r="H277" s="6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1"/>
      <c r="F278" s="61"/>
      <c r="G278" s="61"/>
      <c r="H278" s="61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1"/>
      <c r="F279" s="61"/>
      <c r="G279" s="61"/>
      <c r="H279" s="61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1"/>
      <c r="F280" s="61"/>
      <c r="G280" s="61"/>
      <c r="H280" s="61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1"/>
      <c r="F281" s="61"/>
      <c r="G281" s="61"/>
      <c r="H281" s="61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2"/>
      <c r="F282" s="62"/>
      <c r="G282" s="62"/>
      <c r="H282" s="62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6"/>
      <c r="B283" s="58"/>
      <c r="C283" s="86"/>
      <c r="D283" s="58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1" sqref="C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4"/>
      <c r="C6" s="214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7"/>
      <c r="B7" s="26" t="s">
        <v>295</v>
      </c>
      <c r="C7" s="98" t="s">
        <v>214</v>
      </c>
      <c r="D7" s="212"/>
      <c r="E7" s="99"/>
      <c r="F7" s="26" t="s">
        <v>295</v>
      </c>
      <c r="G7" s="98" t="s">
        <v>215</v>
      </c>
      <c r="H7" s="213"/>
      <c r="I7" s="213"/>
      <c r="J7" s="213"/>
      <c r="K7" s="213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2">
      <c r="A8" s="103">
        <v>1</v>
      </c>
      <c r="B8" s="59">
        <v>1</v>
      </c>
      <c r="C8" s="49" t="s">
        <v>177</v>
      </c>
      <c r="D8" s="23"/>
      <c r="E8" s="103">
        <v>4</v>
      </c>
      <c r="F8" s="59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3">
        <v>2</v>
      </c>
      <c r="B9" s="59">
        <v>0</v>
      </c>
      <c r="C9" s="106" t="s">
        <v>216</v>
      </c>
      <c r="D9" s="23"/>
      <c r="E9" s="103">
        <v>5</v>
      </c>
      <c r="F9" s="59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3">
        <v>3</v>
      </c>
      <c r="B10" s="59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3"/>
      <c r="B13" s="105"/>
      <c r="C13" s="96" t="s">
        <v>273</v>
      </c>
      <c r="D13" s="213"/>
      <c r="E13" s="97"/>
      <c r="F13" s="105"/>
      <c r="G13" s="96" t="s">
        <v>301</v>
      </c>
      <c r="H13" s="213"/>
      <c r="I13" s="213"/>
      <c r="J13" s="213"/>
      <c r="K13" s="213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2">
      <c r="A14" s="213"/>
      <c r="B14" s="105"/>
      <c r="C14" s="96" t="s">
        <v>309</v>
      </c>
      <c r="D14" s="213"/>
      <c r="E14" s="97"/>
      <c r="F14" s="105"/>
      <c r="G14" s="96" t="s">
        <v>294</v>
      </c>
      <c r="H14" s="213"/>
      <c r="I14" s="213"/>
      <c r="J14" s="213"/>
      <c r="K14" s="213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59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59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59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Chêne sessile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Charme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Alisier torminal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>Pin laricio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>Cormier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>Charme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/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/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/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/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65" thickBot="1" x14ac:dyDescent="0.25">
      <c r="A2" s="69" t="s">
        <v>178</v>
      </c>
      <c r="B2" s="70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4" t="s">
        <v>299</v>
      </c>
      <c r="I2" s="66" t="s">
        <v>298</v>
      </c>
      <c r="J2" s="67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7" t="s">
        <v>298</v>
      </c>
      <c r="AE2" s="67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6" t="s">
        <v>298</v>
      </c>
      <c r="AZ2" s="67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6" t="s">
        <v>298</v>
      </c>
      <c r="BU2" s="67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6" t="s">
        <v>298</v>
      </c>
      <c r="CP2" s="67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6" t="s">
        <v>298</v>
      </c>
      <c r="DK2" s="67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6" t="s">
        <v>298</v>
      </c>
      <c r="EF2" s="67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6" t="s">
        <v>298</v>
      </c>
      <c r="FA2" s="67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6" t="s">
        <v>298</v>
      </c>
      <c r="FV2" s="67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6" t="s">
        <v>298</v>
      </c>
      <c r="GQ2" s="67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1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5">
        <f>(B3+E3+F3)*44/12+(C3+D3)*0.475*44/12</f>
        <v>256.66666666666669</v>
      </c>
      <c r="I3" s="6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256.66666666666669</v>
      </c>
      <c r="S3" s="57">
        <f ca="1">AVERAGE(OFFSET($R$3,0,0,'Données projet'!$E$9+1,1))-AVERAGE(OFFSET($H$3,0,0,'Données projet'!$E$9+1,1))</f>
        <v>373.45926089889866</v>
      </c>
      <c r="T3" s="57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256.66666666666669</v>
      </c>
      <c r="AN3" s="57">
        <f ca="1">AVERAGE(OFFSET($AM$3,0,0,'Données projet'!$E$10+1,1))-AVERAGE(OFFSET($H$3,0,0,'Données projet'!$E$10+1,1))</f>
        <v>390.70240761116355</v>
      </c>
      <c r="AO3" s="57">
        <f>IF('Données projet'!E10&gt;30,$AM$33-$H$33,LOOKUP('Données projet'!$E$10,$A$3:$A$203,AM3:AM203)-LOOKUP('Données projet'!$E$10,$A$3:$A$203,$H$3:$H$203))</f>
        <v>241.18285512887638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256.66666666666669</v>
      </c>
      <c r="BI3" s="57">
        <f ca="1">AVERAGE(OFFSET($BH$3,0,0,'Données projet'!$E$11+1,1))-AVERAGE(OFFSET($H$3,0,0,'Données projet'!$E$11+1,1))</f>
        <v>396.44612884768748</v>
      </c>
      <c r="BJ3" s="57">
        <f>IF('Données projet'!E11&gt;30,$BH$33-$H$33,LOOKUP('Données projet'!$E$11,$A$3:$A$203,BH3:BH203)-LOOKUP('Données projet'!$E$11,$A$3:$A$203,$H$3:$H$203))</f>
        <v>244.451492444461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256.66666666666669</v>
      </c>
      <c r="CD3" s="57">
        <f ca="1">AVERAGE(OFFSET($CC$3,0,0,'Données projet'!$E$12+1,1))-AVERAGE(OFFSET($H$3,0,0,'Données projet'!$E$12+1,1))</f>
        <v>259.64096626089821</v>
      </c>
      <c r="CE3" s="57">
        <f>IF('Données projet'!E12&gt;30,$CC$33-$H$33,LOOKUP('Données projet'!$E$12,$A$3:$A$203,CC3:CC203)-LOOKUP('Données projet'!$E$12,$A$3:$A$203,$H$3:$H$203))</f>
        <v>258.1415293081597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256.66666666666669</v>
      </c>
      <c r="CY3" s="57">
        <f ca="1">AVERAGE(OFFSET($CX$3,0,0,'Données projet'!$E$13+1,1))-AVERAGE(OFFSET($H$3,0,0,'Données projet'!$E$13+1,1))</f>
        <v>436.59978658837537</v>
      </c>
      <c r="CZ3" s="57">
        <f>IF('Données projet'!E13&gt;30,$CX$33-$H$33,LOOKUP('Données projet'!$E$13,$A$3:$A$203,CX3:CX203)-LOOKUP('Données projet'!$E$13,$A$3:$A$203,$H$3:$H$203))</f>
        <v>267.2998309535638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7">
        <f>DR3+(DJ3+DK3)*44/12</f>
        <v>256.66666666666669</v>
      </c>
      <c r="DT3" s="57">
        <f ca="1">AVERAGE(OFFSET($DS$3,0,0,'Données projet'!$E$14+1,1))-AVERAGE(OFFSET($H$3,0,0,'Données projet'!$E$14+1,1))</f>
        <v>292.95981568144879</v>
      </c>
      <c r="DU3" s="57">
        <f>IF('Données projet'!E14&gt;30,$DS$33-$H$33,LOOKUP('Données projet'!$E$14,$A$3:$A$203,DS3:DS203)-LOOKUP('Données projet'!$E$14,$A$3:$A$203,$H$3:$H$203))</f>
        <v>152.23954167722536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7" t="e">
        <f>EM3+(EE3+EF3)*44/12</f>
        <v>#N/A</v>
      </c>
      <c r="EO3" s="57" t="e">
        <f ca="1">AVERAGE(OFFSET($EN$3,0,0,'Données projet'!$E$15+1,1))-AVERAGE(OFFSET($H$3,0,0,'Données projet'!$E$15+1,1))</f>
        <v>#N/A</v>
      </c>
      <c r="EP3" s="57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7" t="e">
        <f>FH3+(EZ3+FA3)*44/12</f>
        <v>#N/A</v>
      </c>
      <c r="FJ3" s="57" t="e">
        <f ca="1">AVERAGE(OFFSET($FI$3,0,0,'Données projet'!$E$16+1,1))-AVERAGE(OFFSET($H$3,0,0,'Données projet'!$E$16+1,1))</f>
        <v>#N/A</v>
      </c>
      <c r="FK3" s="57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7" t="e">
        <f>GC3+(FU3+FV3)*44/12</f>
        <v>#N/A</v>
      </c>
      <c r="GE3" s="57" t="e">
        <f ca="1">AVERAGE(OFFSET($GD$3,0,0,'Données projet'!$E$17+1,1))-AVERAGE(OFFSET($H$3,0,0,'Données projet'!$E$17+1,1))</f>
        <v>#N/A</v>
      </c>
      <c r="GF3" s="57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7" t="e">
        <f>GX3+(GP3+GQ3)*44/12</f>
        <v>#N/A</v>
      </c>
      <c r="GZ3" s="57" t="e">
        <f ca="1">AVERAGE(OFFSET($GY$3,0,0,'Données projet'!$E$18+1,1))-AVERAGE(OFFSET($H$3,0,0,'Données projet'!$E$18+1,1))</f>
        <v>#N/A</v>
      </c>
      <c r="HA3" s="57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1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5">
        <f t="shared" ref="H4:H67" si="1">(B4+E4+F4)*44/12+(C4+D4)*0.475*44/12</f>
        <v>256.66666666666669</v>
      </c>
      <c r="I4" s="6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7">
        <f t="shared" si="0"/>
        <v>260.65521412271448</v>
      </c>
      <c r="S4" s="57">
        <f ca="1">AVERAGE(OFFSET($R$3,0,0,'Données projet'!$E$9+1,1))-AVERAGE(OFFSET($H$3,0,0,'Données projet'!$E$9+1,1))</f>
        <v>373.45926089889866</v>
      </c>
      <c r="T4" s="57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1.1471412528159133</v>
      </c>
      <c r="AK4" s="13">
        <f>EXP(-1.0587+0.8836*LN(AJ4)+0.284)</f>
        <v>0.52027092443628509</v>
      </c>
      <c r="AL4" s="20">
        <f t="shared" ref="AL4:AL67" si="4">(AJ4+AK4)*0.475*44/12</f>
        <v>2.9040762087142453</v>
      </c>
      <c r="AM4" s="57">
        <f t="shared" ref="AM4:AM67" si="5">AL4+(AD4+AE4)*44/12</f>
        <v>260.79296509760309</v>
      </c>
      <c r="AN4" s="57">
        <f ca="1">AVERAGE(OFFSET($AM$3,0,0,'Données projet'!$E$10+1,1))-AVERAGE(OFFSET($H$3,0,0,'Données projet'!$E$10+1,1))</f>
        <v>390.70240761116355</v>
      </c>
      <c r="AO4" s="57">
        <f>$AO$3</f>
        <v>241.18285512887638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1.165946847124371</v>
      </c>
      <c r="BF4" s="13">
        <f>EXP(-1.0587+0.8836*LN(BE4)+0.284)</f>
        <v>0.52780002987456354</v>
      </c>
      <c r="BG4" s="20">
        <f t="shared" ref="BG4:BG67" si="7">(BE4+BF4)*0.475*44/12</f>
        <v>2.9499424774398109</v>
      </c>
      <c r="BH4" s="57">
        <f t="shared" ref="BH4:BH67" si="8">BG4+(AY4+AZ4)*44/12</f>
        <v>260.83883136632869</v>
      </c>
      <c r="BI4" s="57">
        <f ca="1">AVERAGE(OFFSET($BH$3,0,0,'Données projet'!$E$11+1,1))-AVERAGE(OFFSET($H$3,0,0,'Données projet'!$E$11+1,1))</f>
        <v>396.44612884768748</v>
      </c>
      <c r="BJ4" s="57">
        <f>$BJ$3</f>
        <v>244.451492444461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1.4873333333333332</v>
      </c>
      <c r="BY4" s="12">
        <f>IF('Données projet'!$A$114&gt;35,BY3+BX4-CG3,IF(A4&lt;'Données projet'!$A$114,$BV$205^A4,IF(A4='Données projet'!$A$114,'Données projet'!$B$114,BY3+BX4-CG3)))</f>
        <v>1.2299854424358712</v>
      </c>
      <c r="BZ4" s="13">
        <f>BY4*VLOOKUP('Données projet'!$B$12,Paramètres!$A$1:$I$89,3,0)*VLOOKUP('Données projet'!$B$12,Paramètres!$A$1:$I$89,5,0)</f>
        <v>0.73553129457665101</v>
      </c>
      <c r="CA4" s="13">
        <f>EXP(-1.0587+0.8836*LN(BZ4)+0.284)</f>
        <v>0.35130218074482861</v>
      </c>
      <c r="CB4" s="20">
        <f t="shared" ref="CB4:CB67" si="10">(BZ4+CA4)*0.475*44/12</f>
        <v>1.8929016361849103</v>
      </c>
      <c r="CC4" s="57">
        <f t="shared" ref="CC4:CC67" si="11">CB4+(BT4+BU4)*44/12</f>
        <v>259.78179052507375</v>
      </c>
      <c r="CD4" s="57">
        <f ca="1">AVERAGE(OFFSET($CC$3,0,0,'Données projet'!$E$12+1,1))-AVERAGE(OFFSET($H$3,0,0,'Données projet'!$E$12+1,1))</f>
        <v>259.64096626089821</v>
      </c>
      <c r="CE4" s="57">
        <f>$CE$3</f>
        <v>258.1415293081597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2.1</v>
      </c>
      <c r="CT4" s="12">
        <f>IF('Données projet'!$A$140&gt;35,CT3+CS4-DB3,IF(A4&lt;'Données projet'!$A$140,$CQ$205^A4,IF(A4='Données projet'!$A$140,'Données projet'!$B$140,CT3+CS4-DB3)))</f>
        <v>1.2054868146447177</v>
      </c>
      <c r="CU4" s="17">
        <f>CT4*VLOOKUP('Données projet'!$B$13,Paramètres!$A$1:$I$89,3,0)*VLOOKUP('Données projet'!$B$13,Paramètres!$A$1:$I$89,5,0)</f>
        <v>1.2975860072835741</v>
      </c>
      <c r="CV4" s="13">
        <f>EXP(-1.0587+0.8836*LN(CU4)+0.284)</f>
        <v>0.58012177912374829</v>
      </c>
      <c r="CW4" s="20">
        <f t="shared" ref="CW4:CW67" si="13">(CU4+CV4)*0.475*44/12</f>
        <v>3.2703410613260862</v>
      </c>
      <c r="CX4" s="57">
        <f t="shared" ref="CX4:CX67" si="14">CW4+(CO4+CP4)*44/12</f>
        <v>261.15922995021492</v>
      </c>
      <c r="CY4" s="57">
        <f ca="1">AVERAGE(OFFSET($CX$3,0,0,'Données projet'!$E$13+1,1))-AVERAGE(OFFSET($H$3,0,0,'Données projet'!$E$13+1,1))</f>
        <v>436.59978658837537</v>
      </c>
      <c r="CZ4" s="57">
        <f>$CZ$3</f>
        <v>267.2998309535638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1.2</v>
      </c>
      <c r="DO4" s="12">
        <f>IF('Données projet'!$A$166&gt;35,DO3+DN4-DW3,IF(A4&lt;'Données projet'!$A$166,$DL$205^A4,IF(A4='Données projet'!$A$166,'Données projet'!$B$166,DO3+DN4-DW3)))</f>
        <v>1.1457367676485573</v>
      </c>
      <c r="DP4" s="17">
        <f>DO4*VLOOKUP('Données projet'!$B$14,Paramètres!$A$1:$I$89,3,0)*VLOOKUP('Données projet'!$B$14,Paramètres!$A$1:$I$89,5,0)</f>
        <v>1.0902831080943671</v>
      </c>
      <c r="DQ4" s="13">
        <f>EXP(-1.0587+0.8836*LN(DP4)+0.284)</f>
        <v>0.49741831937112058</v>
      </c>
      <c r="DR4" s="20">
        <f t="shared" ref="DR4:DR67" si="16">(DP4+DQ4)*0.475*44/12</f>
        <v>2.7652466528357245</v>
      </c>
      <c r="DS4" s="57">
        <f t="shared" ref="DS4:DS67" si="17">DR4+(DJ4+DK4)*44/12</f>
        <v>260.6541355417246</v>
      </c>
      <c r="DT4" s="57">
        <f ca="1">AVERAGE(OFFSET($DS$3,0,0,'Données projet'!$E$14+1,1))-AVERAGE(OFFSET($H$3,0,0,'Données projet'!$E$14+1,1))</f>
        <v>292.95981568144879</v>
      </c>
      <c r="DU4" s="57">
        <f>$DU$3</f>
        <v>152.23954167722536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7" t="e">
        <f t="shared" ref="EN4:EN67" si="20">EM4+(EE4+EF4)*44/12</f>
        <v>#N/A</v>
      </c>
      <c r="EO4" s="57" t="e">
        <f ca="1">AVERAGE(OFFSET($EN$3,0,0,'Données projet'!$E$15+1,1))-AVERAGE(OFFSET($H$3,0,0,'Données projet'!$E$15+1,1))</f>
        <v>#N/A</v>
      </c>
      <c r="EP4" s="57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7" t="e">
        <f t="shared" ref="FI4:FI67" si="23">FH4+(EZ4+FA4)*44/12</f>
        <v>#N/A</v>
      </c>
      <c r="FJ4" s="57" t="e">
        <f ca="1">AVERAGE(OFFSET($FI$3,0,0,'Données projet'!$E$16+1,1))-AVERAGE(OFFSET($H$3,0,0,'Données projet'!$E$16+1,1))</f>
        <v>#N/A</v>
      </c>
      <c r="FK4" s="57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7" t="e">
        <f t="shared" ref="GD4:GD67" si="26">GC4+(FU4+FV4)*44/12</f>
        <v>#N/A</v>
      </c>
      <c r="GE4" s="57" t="e">
        <f ca="1">AVERAGE(OFFSET($GD$3,0,0,'Données projet'!$E$17+1,1))-AVERAGE(OFFSET($H$3,0,0,'Données projet'!$E$17+1,1))</f>
        <v>#N/A</v>
      </c>
      <c r="GF4" s="57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7" t="e">
        <f t="shared" ref="GY4:GY67" si="29">GX4+(GP4+GQ4)*44/12</f>
        <v>#N/A</v>
      </c>
      <c r="GZ4" s="57" t="e">
        <f ca="1">AVERAGE(OFFSET($GY$3,0,0,'Données projet'!$E$18+1,1))-AVERAGE(OFFSET($H$3,0,0,'Données projet'!$E$18+1,1))</f>
        <v>#N/A</v>
      </c>
      <c r="HA4" s="57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1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5">
        <f t="shared" si="1"/>
        <v>256.66666666666669</v>
      </c>
      <c r="I5" s="6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7">
        <f t="shared" si="0"/>
        <v>262.42339882093205</v>
      </c>
      <c r="S5" s="57">
        <f ca="1">AVERAGE(OFFSET($R$3,0,0,'Données projet'!$E$9+1,1))-AVERAGE(OFFSET($H$3,0,0,'Données projet'!$E$9+1,1))</f>
        <v>373.45926089889866</v>
      </c>
      <c r="T5" s="57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1.3828636548046063</v>
      </c>
      <c r="AK5" s="13">
        <f t="shared" ref="AK5:AK68" si="35">EXP(-1.0587+0.8836*LN(AJ5)+0.284)</f>
        <v>0.61368387142089176</v>
      </c>
      <c r="AL5" s="20">
        <f t="shared" si="4"/>
        <v>3.4773202748427425</v>
      </c>
      <c r="AM5" s="57">
        <f t="shared" si="5"/>
        <v>262.58843138595387</v>
      </c>
      <c r="AN5" s="57">
        <f ca="1">AVERAGE(OFFSET($AM$3,0,0,'Données projet'!$E$10+1,1))-AVERAGE(OFFSET($H$3,0,0,'Données projet'!$E$10+1,1))</f>
        <v>390.70240761116355</v>
      </c>
      <c r="AO5" s="57">
        <f t="shared" ref="AO5:AO68" si="36">$AO$3</f>
        <v>241.18285512887638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1.4055335507850097</v>
      </c>
      <c r="BF5" s="13">
        <f t="shared" ref="BF5:BF68" si="37">EXP(-1.0587+0.8836*LN(BE5)+0.284)</f>
        <v>0.62256480317525631</v>
      </c>
      <c r="BG5" s="20">
        <f t="shared" si="7"/>
        <v>3.5322712998141292</v>
      </c>
      <c r="BH5" s="57">
        <f t="shared" si="8"/>
        <v>262.64338241092526</v>
      </c>
      <c r="BI5" s="57">
        <f ca="1">AVERAGE(OFFSET($BH$3,0,0,'Données projet'!$E$11+1,1))-AVERAGE(OFFSET($H$3,0,0,'Données projet'!$E$11+1,1))</f>
        <v>396.44612884768748</v>
      </c>
      <c r="BJ5" s="57">
        <f t="shared" ref="BJ5:BJ68" si="38">$BJ$3</f>
        <v>244.451492444461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1.4873333333333332</v>
      </c>
      <c r="BY5" s="12">
        <f>IF('Données projet'!$A$114&gt;35,BY4+BX5-CG4,IF(A5&lt;'Données projet'!$A$114,$BV$205^A5,IF(A5='Données projet'!$A$114,'Données projet'!$B$114,BY4+BX5-CG4)))</f>
        <v>1.5128641886041658</v>
      </c>
      <c r="BZ5" s="13">
        <f>BY5*VLOOKUP('Données projet'!$B$12,Paramètres!$A$1:$I$89,3,0)*VLOOKUP('Données projet'!$B$12,Paramètres!$A$1:$I$89,5,0)</f>
        <v>0.90469278478529125</v>
      </c>
      <c r="CA5" s="13">
        <f t="shared" ref="CA5:CA68" si="39">EXP(-1.0587+0.8836*LN(BZ5)+0.284)</f>
        <v>0.4218096007332941</v>
      </c>
      <c r="CB5" s="20">
        <f t="shared" si="10"/>
        <v>2.3103249881115357</v>
      </c>
      <c r="CC5" s="57">
        <f t="shared" si="11"/>
        <v>261.42143609922266</v>
      </c>
      <c r="CD5" s="57">
        <f ca="1">AVERAGE(OFFSET($CC$3,0,0,'Données projet'!$E$12+1,1))-AVERAGE(OFFSET($H$3,0,0,'Données projet'!$E$12+1,1))</f>
        <v>259.64096626089821</v>
      </c>
      <c r="CE5" s="57">
        <f t="shared" ref="CE5:CE68" si="40">$CE$3</f>
        <v>258.1415293081597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2.1</v>
      </c>
      <c r="CT5" s="12">
        <f>IF('Données projet'!$A$140&gt;35,CT4+CS5-DB4,IF(A5&lt;'Données projet'!$A$140,$CQ$205^A5,IF(A5='Données projet'!$A$140,'Données projet'!$B$140,CT4+CS5-DB4)))</f>
        <v>1.4531984602822681</v>
      </c>
      <c r="CU5" s="17">
        <f>CT5*VLOOKUP('Données projet'!$B$13,Paramètres!$A$1:$I$89,3,0)*VLOOKUP('Données projet'!$B$13,Paramètres!$A$1:$I$89,5,0)</f>
        <v>1.5642228226478332</v>
      </c>
      <c r="CV5" s="13">
        <f t="shared" ref="CV5:CV68" si="41">EXP(-1.0587+0.8836*LN(CU5)+0.284)</f>
        <v>0.68428075179095682</v>
      </c>
      <c r="CW5" s="20">
        <f t="shared" si="13"/>
        <v>3.9161437254808931</v>
      </c>
      <c r="CX5" s="57">
        <f t="shared" si="14"/>
        <v>263.02725483659202</v>
      </c>
      <c r="CY5" s="57">
        <f ca="1">AVERAGE(OFFSET($CX$3,0,0,'Données projet'!$E$13+1,1))-AVERAGE(OFFSET($H$3,0,0,'Données projet'!$E$13+1,1))</f>
        <v>436.59978658837537</v>
      </c>
      <c r="CZ5" s="57">
        <f t="shared" ref="CZ5:CZ68" si="42">$CZ$3</f>
        <v>267.2998309535638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1.2</v>
      </c>
      <c r="DO5" s="12">
        <f>IF('Données projet'!$A$166&gt;35,DO4+DN5-DW4,IF(A5&lt;'Données projet'!$A$166,$DL$205^A5,IF(A5='Données projet'!$A$166,'Données projet'!$B$166,DO4+DN5-DW4)))</f>
        <v>1.312712740741764</v>
      </c>
      <c r="DP5" s="17">
        <f>DO5*VLOOKUP('Données projet'!$B$14,Paramètres!$A$1:$I$89,3,0)*VLOOKUP('Données projet'!$B$14,Paramètres!$A$1:$I$89,5,0)</f>
        <v>1.2491774440898626</v>
      </c>
      <c r="DQ5" s="13">
        <f t="shared" ref="DQ5:DQ68" si="43">EXP(-1.0587+0.8836*LN(DP5)+0.284)</f>
        <v>0.56095645444965547</v>
      </c>
      <c r="DR5" s="20">
        <f t="shared" si="16"/>
        <v>3.1526498732896608</v>
      </c>
      <c r="DS5" s="57">
        <f t="shared" si="17"/>
        <v>262.26376098440079</v>
      </c>
      <c r="DT5" s="57">
        <f ca="1">AVERAGE(OFFSET($DS$3,0,0,'Données projet'!$E$14+1,1))-AVERAGE(OFFSET($H$3,0,0,'Données projet'!$E$14+1,1))</f>
        <v>292.95981568144879</v>
      </c>
      <c r="DU5" s="57">
        <f t="shared" ref="DU5:DU68" si="44">$DU$3</f>
        <v>152.23954167722536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7" t="e">
        <f t="shared" si="20"/>
        <v>#N/A</v>
      </c>
      <c r="EO5" s="57" t="e">
        <f ca="1">AVERAGE(OFFSET($EN$3,0,0,'Données projet'!$E$15+1,1))-AVERAGE(OFFSET($H$3,0,0,'Données projet'!$E$15+1,1))</f>
        <v>#N/A</v>
      </c>
      <c r="EP5" s="57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7" t="e">
        <f t="shared" si="23"/>
        <v>#N/A</v>
      </c>
      <c r="FJ5" s="57" t="e">
        <f ca="1">AVERAGE(OFFSET($FI$3,0,0,'Données projet'!$E$16+1,1))-AVERAGE(OFFSET($H$3,0,0,'Données projet'!$E$16+1,1))</f>
        <v>#N/A</v>
      </c>
      <c r="FK5" s="57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7" t="e">
        <f t="shared" si="26"/>
        <v>#N/A</v>
      </c>
      <c r="GE5" s="57" t="e">
        <f ca="1">AVERAGE(OFFSET($GD$3,0,0,'Données projet'!$E$17+1,1))-AVERAGE(OFFSET($H$3,0,0,'Données projet'!$E$17+1,1))</f>
        <v>#N/A</v>
      </c>
      <c r="GF5" s="57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7" t="e">
        <f t="shared" si="29"/>
        <v>#N/A</v>
      </c>
      <c r="GZ5" s="57" t="e">
        <f ca="1">AVERAGE(OFFSET($GY$3,0,0,'Données projet'!$E$18+1,1))-AVERAGE(OFFSET($H$3,0,0,'Données projet'!$E$18+1,1))</f>
        <v>#N/A</v>
      </c>
      <c r="HA5" s="57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1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5">
        <f t="shared" si="1"/>
        <v>256.66666666666669</v>
      </c>
      <c r="I6" s="6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7">
        <f t="shared" si="0"/>
        <v>264.29973523978072</v>
      </c>
      <c r="S6" s="57">
        <f ca="1">AVERAGE(OFFSET($R$3,0,0,'Données projet'!$E$9+1,1))-AVERAGE(OFFSET($H$3,0,0,'Données projet'!$E$9+1,1))</f>
        <v>373.45926089889866</v>
      </c>
      <c r="T6" s="57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1.6670239023183575</v>
      </c>
      <c r="AK6" s="13">
        <f t="shared" si="35"/>
        <v>0.72386880825637001</v>
      </c>
      <c r="AL6" s="20">
        <f t="shared" si="4"/>
        <v>4.1641381375843167</v>
      </c>
      <c r="AM6" s="57">
        <f t="shared" si="5"/>
        <v>264.49747147091762</v>
      </c>
      <c r="AN6" s="57">
        <f ca="1">AVERAGE(OFFSET($AM$3,0,0,'Données projet'!$E$10+1,1))-AVERAGE(OFFSET($H$3,0,0,'Données projet'!$E$10+1,1))</f>
        <v>390.70240761116355</v>
      </c>
      <c r="AO6" s="57">
        <f t="shared" si="36"/>
        <v>241.18285512887638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1.694352163012101</v>
      </c>
      <c r="BF6" s="13">
        <f t="shared" si="37"/>
        <v>0.73434428233124405</v>
      </c>
      <c r="BG6" s="20">
        <f t="shared" si="7"/>
        <v>4.2299796423063247</v>
      </c>
      <c r="BH6" s="57">
        <f t="shared" si="8"/>
        <v>264.56331297563963</v>
      </c>
      <c r="BI6" s="57">
        <f ca="1">AVERAGE(OFFSET($BH$3,0,0,'Données projet'!$E$11+1,1))-AVERAGE(OFFSET($H$3,0,0,'Données projet'!$E$11+1,1))</f>
        <v>396.44612884768748</v>
      </c>
      <c r="BJ6" s="57">
        <f t="shared" si="38"/>
        <v>244.451492444461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1.4873333333333332</v>
      </c>
      <c r="BY6" s="12">
        <f>IF('Données projet'!$A$114&gt;35,BY5+BX6-CG5,IF(A6&lt;'Données projet'!$A$114,$BV$205^A6,IF(A6='Données projet'!$A$114,'Données projet'!$B$114,BY5+BX6-CG5)))</f>
        <v>1.8608009283656801</v>
      </c>
      <c r="BZ6" s="13">
        <f>BY6*VLOOKUP('Données projet'!$B$12,Paramètres!$A$1:$I$89,3,0)*VLOOKUP('Données projet'!$B$12,Paramètres!$A$1:$I$89,5,0)</f>
        <v>1.1127589551626766</v>
      </c>
      <c r="CA6" s="13">
        <f t="shared" si="39"/>
        <v>0.50646807512993242</v>
      </c>
      <c r="CB6" s="20">
        <f t="shared" si="10"/>
        <v>2.8201537444262939</v>
      </c>
      <c r="CC6" s="57">
        <f t="shared" si="11"/>
        <v>263.15348707775962</v>
      </c>
      <c r="CD6" s="57">
        <f ca="1">AVERAGE(OFFSET($CC$3,0,0,'Données projet'!$E$12+1,1))-AVERAGE(OFFSET($H$3,0,0,'Données projet'!$E$12+1,1))</f>
        <v>259.64096626089821</v>
      </c>
      <c r="CE6" s="57">
        <f t="shared" si="40"/>
        <v>258.1415293081597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2.1</v>
      </c>
      <c r="CT6" s="12">
        <f>IF('Données projet'!$A$140&gt;35,CT5+CS6-DB5,IF(A6&lt;'Données projet'!$A$140,$CQ$205^A6,IF(A6='Données projet'!$A$140,'Données projet'!$B$140,CT5+CS6-DB5)))</f>
        <v>1.7518115829322798</v>
      </c>
      <c r="CU6" s="17">
        <f>CT6*VLOOKUP('Données projet'!$B$13,Paramètres!$A$1:$I$89,3,0)*VLOOKUP('Données projet'!$B$13,Paramètres!$A$1:$I$89,5,0)</f>
        <v>1.885649987868306</v>
      </c>
      <c r="CV6" s="13">
        <f t="shared" si="41"/>
        <v>0.8071411281590839</v>
      </c>
      <c r="CW6" s="20">
        <f t="shared" si="13"/>
        <v>4.6899445270810372</v>
      </c>
      <c r="CX6" s="57">
        <f t="shared" si="14"/>
        <v>265.02327786041434</v>
      </c>
      <c r="CY6" s="57">
        <f ca="1">AVERAGE(OFFSET($CX$3,0,0,'Données projet'!$E$13+1,1))-AVERAGE(OFFSET($H$3,0,0,'Données projet'!$E$13+1,1))</f>
        <v>436.59978658837537</v>
      </c>
      <c r="CZ6" s="57">
        <f t="shared" si="42"/>
        <v>267.2998309535638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1.2</v>
      </c>
      <c r="DO6" s="12">
        <f>IF('Données projet'!$A$166&gt;35,DO5+DN6-DW5,IF(A6&lt;'Données projet'!$A$166,$DL$205^A6,IF(A6='Données projet'!$A$166,'Données projet'!$B$166,DO5+DN6-DW5)))</f>
        <v>1.5040232524285473</v>
      </c>
      <c r="DP6" s="17">
        <f>DO6*VLOOKUP('Données projet'!$B$14,Paramètres!$A$1:$I$89,3,0)*VLOOKUP('Données projet'!$B$14,Paramètres!$A$1:$I$89,5,0)</f>
        <v>1.4312285270110057</v>
      </c>
      <c r="DQ6" s="13">
        <f t="shared" si="43"/>
        <v>0.63261068508004337</v>
      </c>
      <c r="DR6" s="20">
        <f t="shared" si="16"/>
        <v>3.5945199610585767</v>
      </c>
      <c r="DS6" s="57">
        <f t="shared" si="17"/>
        <v>263.92785329439187</v>
      </c>
      <c r="DT6" s="57">
        <f ca="1">AVERAGE(OFFSET($DS$3,0,0,'Données projet'!$E$14+1,1))-AVERAGE(OFFSET($H$3,0,0,'Données projet'!$E$14+1,1))</f>
        <v>292.95981568144879</v>
      </c>
      <c r="DU6" s="57">
        <f t="shared" si="44"/>
        <v>152.23954167722536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7" t="e">
        <f t="shared" si="20"/>
        <v>#N/A</v>
      </c>
      <c r="EO6" s="57" t="e">
        <f ca="1">AVERAGE(OFFSET($EN$3,0,0,'Données projet'!$E$15+1,1))-AVERAGE(OFFSET($H$3,0,0,'Données projet'!$E$15+1,1))</f>
        <v>#N/A</v>
      </c>
      <c r="EP6" s="57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7" t="e">
        <f t="shared" si="23"/>
        <v>#N/A</v>
      </c>
      <c r="FJ6" s="57" t="e">
        <f ca="1">AVERAGE(OFFSET($FI$3,0,0,'Données projet'!$E$16+1,1))-AVERAGE(OFFSET($H$3,0,0,'Données projet'!$E$16+1,1))</f>
        <v>#N/A</v>
      </c>
      <c r="FK6" s="57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7" t="e">
        <f t="shared" si="26"/>
        <v>#N/A</v>
      </c>
      <c r="GE6" s="57" t="e">
        <f ca="1">AVERAGE(OFFSET($GD$3,0,0,'Données projet'!$E$17+1,1))-AVERAGE(OFFSET($H$3,0,0,'Données projet'!$E$17+1,1))</f>
        <v>#N/A</v>
      </c>
      <c r="GF6" s="57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7" t="e">
        <f t="shared" si="29"/>
        <v>#N/A</v>
      </c>
      <c r="GZ6" s="57" t="e">
        <f ca="1">AVERAGE(OFFSET($GY$3,0,0,'Données projet'!$E$18+1,1))-AVERAGE(OFFSET($H$3,0,0,'Données projet'!$E$18+1,1))</f>
        <v>#N/A</v>
      </c>
      <c r="HA6" s="57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1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5">
        <f t="shared" si="1"/>
        <v>256.66666666666669</v>
      </c>
      <c r="I7" s="6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7">
        <f t="shared" si="0"/>
        <v>266.30572241486152</v>
      </c>
      <c r="S7" s="57">
        <f ca="1">AVERAGE(OFFSET($R$3,0,0,'Données projet'!$E$9+1,1))-AVERAGE(OFFSET($H$3,0,0,'Données projet'!$E$9+1,1))</f>
        <v>373.45926089889866</v>
      </c>
      <c r="T7" s="57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2.0095753339423639</v>
      </c>
      <c r="AK7" s="13">
        <f t="shared" si="35"/>
        <v>0.85383709099815042</v>
      </c>
      <c r="AL7" s="20">
        <f t="shared" si="4"/>
        <v>4.9871099734380619</v>
      </c>
      <c r="AM7" s="57">
        <f t="shared" si="5"/>
        <v>266.54266552899361</v>
      </c>
      <c r="AN7" s="57">
        <f ca="1">AVERAGE(OFFSET($AM$3,0,0,'Données projet'!$E$10+1,1))-AVERAGE(OFFSET($H$3,0,0,'Données projet'!$E$10+1,1))</f>
        <v>390.70240761116355</v>
      </c>
      <c r="AO7" s="57">
        <f t="shared" si="36"/>
        <v>241.18285512887638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2.042519191875845</v>
      </c>
      <c r="BF7" s="13">
        <f t="shared" si="37"/>
        <v>0.86619340226463792</v>
      </c>
      <c r="BG7" s="20">
        <f t="shared" si="7"/>
        <v>5.0660077681280073</v>
      </c>
      <c r="BH7" s="57">
        <f t="shared" si="8"/>
        <v>266.62156332368357</v>
      </c>
      <c r="BI7" s="57">
        <f ca="1">AVERAGE(OFFSET($BH$3,0,0,'Données projet'!$E$11+1,1))-AVERAGE(OFFSET($H$3,0,0,'Données projet'!$E$11+1,1))</f>
        <v>396.44612884768748</v>
      </c>
      <c r="BJ7" s="57">
        <f t="shared" si="38"/>
        <v>244.451492444461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1.4873333333333332</v>
      </c>
      <c r="BY7" s="12">
        <f>IF('Données projet'!$A$114&gt;35,BY6+BX7-CG6,IF(A7&lt;'Données projet'!$A$114,$BV$205^A7,IF(A7='Données projet'!$A$114,'Données projet'!$B$114,BY6+BX7-CG6)))</f>
        <v>2.2887580531609411</v>
      </c>
      <c r="BZ7" s="13">
        <f>BY7*VLOOKUP('Données projet'!$B$12,Paramètres!$A$1:$I$89,3,0)*VLOOKUP('Données projet'!$B$12,Paramètres!$A$1:$I$89,5,0)</f>
        <v>1.368677315790243</v>
      </c>
      <c r="CA7" s="13">
        <f t="shared" si="39"/>
        <v>0.60811776374907034</v>
      </c>
      <c r="CB7" s="20">
        <f t="shared" si="10"/>
        <v>3.4429180968643043</v>
      </c>
      <c r="CC7" s="57">
        <f t="shared" si="11"/>
        <v>264.99847365241988</v>
      </c>
      <c r="CD7" s="57">
        <f ca="1">AVERAGE(OFFSET($CC$3,0,0,'Données projet'!$E$12+1,1))-AVERAGE(OFFSET($H$3,0,0,'Données projet'!$E$12+1,1))</f>
        <v>259.64096626089821</v>
      </c>
      <c r="CE7" s="57">
        <f t="shared" si="40"/>
        <v>258.1415293081597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2.1</v>
      </c>
      <c r="CT7" s="12">
        <f>IF('Données projet'!$A$140&gt;35,CT6+CS7-DB6,IF(A7&lt;'Données projet'!$A$140,$CQ$205^A7,IF(A7='Données projet'!$A$140,'Données projet'!$B$140,CT6+CS7-DB6)))</f>
        <v>2.1117857649667546</v>
      </c>
      <c r="CU7" s="17">
        <f>CT7*VLOOKUP('Données projet'!$B$13,Paramètres!$A$1:$I$89,3,0)*VLOOKUP('Données projet'!$B$13,Paramètres!$A$1:$I$89,5,0)</f>
        <v>2.2731261974102144</v>
      </c>
      <c r="CV7" s="13">
        <f t="shared" si="41"/>
        <v>0.95206068424520052</v>
      </c>
      <c r="CW7" s="20">
        <f t="shared" si="13"/>
        <v>5.617200485549847</v>
      </c>
      <c r="CX7" s="57">
        <f t="shared" si="14"/>
        <v>267.1727560411054</v>
      </c>
      <c r="CY7" s="57">
        <f ca="1">AVERAGE(OFFSET($CX$3,0,0,'Données projet'!$E$13+1,1))-AVERAGE(OFFSET($H$3,0,0,'Données projet'!$E$13+1,1))</f>
        <v>436.59978658837537</v>
      </c>
      <c r="CZ7" s="57">
        <f t="shared" si="42"/>
        <v>267.2998309535638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1.2</v>
      </c>
      <c r="DO7" s="12">
        <f>IF('Données projet'!$A$166&gt;35,DO6+DN7-DW6,IF(A7&lt;'Données projet'!$A$166,$DL$205^A7,IF(A7='Données projet'!$A$166,'Données projet'!$B$166,DO6+DN7-DW6)))</f>
        <v>1.7232147397057538</v>
      </c>
      <c r="DP7" s="17">
        <f>DO7*VLOOKUP('Données projet'!$B$14,Paramètres!$A$1:$I$89,3,0)*VLOOKUP('Données projet'!$B$14,Paramètres!$A$1:$I$89,5,0)</f>
        <v>1.6398111463039953</v>
      </c>
      <c r="DQ7" s="13">
        <f t="shared" si="43"/>
        <v>0.71341772735294995</v>
      </c>
      <c r="DR7" s="20">
        <f t="shared" si="16"/>
        <v>4.0985402882858457</v>
      </c>
      <c r="DS7" s="57">
        <f t="shared" si="17"/>
        <v>265.65409584384139</v>
      </c>
      <c r="DT7" s="57">
        <f ca="1">AVERAGE(OFFSET($DS$3,0,0,'Données projet'!$E$14+1,1))-AVERAGE(OFFSET($H$3,0,0,'Données projet'!$E$14+1,1))</f>
        <v>292.95981568144879</v>
      </c>
      <c r="DU7" s="57">
        <f t="shared" si="44"/>
        <v>152.23954167722536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7" t="e">
        <f t="shared" si="20"/>
        <v>#N/A</v>
      </c>
      <c r="EO7" s="57" t="e">
        <f ca="1">AVERAGE(OFFSET($EN$3,0,0,'Données projet'!$E$15+1,1))-AVERAGE(OFFSET($H$3,0,0,'Données projet'!$E$15+1,1))</f>
        <v>#N/A</v>
      </c>
      <c r="EP7" s="57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7" t="e">
        <f t="shared" si="23"/>
        <v>#N/A</v>
      </c>
      <c r="FJ7" s="57" t="e">
        <f ca="1">AVERAGE(OFFSET($FI$3,0,0,'Données projet'!$E$16+1,1))-AVERAGE(OFFSET($H$3,0,0,'Données projet'!$E$16+1,1))</f>
        <v>#N/A</v>
      </c>
      <c r="FK7" s="57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7" t="e">
        <f t="shared" si="26"/>
        <v>#N/A</v>
      </c>
      <c r="GE7" s="57" t="e">
        <f ca="1">AVERAGE(OFFSET($GD$3,0,0,'Données projet'!$E$17+1,1))-AVERAGE(OFFSET($H$3,0,0,'Données projet'!$E$17+1,1))</f>
        <v>#N/A</v>
      </c>
      <c r="GF7" s="57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7" t="e">
        <f t="shared" si="29"/>
        <v>#N/A</v>
      </c>
      <c r="GZ7" s="57" t="e">
        <f ca="1">AVERAGE(OFFSET($GY$3,0,0,'Données projet'!$E$18+1,1))-AVERAGE(OFFSET($H$3,0,0,'Données projet'!$E$18+1,1))</f>
        <v>#N/A</v>
      </c>
      <c r="HA7" s="57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1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5">
        <f t="shared" si="1"/>
        <v>256.66666666666669</v>
      </c>
      <c r="I8" s="6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7">
        <f t="shared" si="0"/>
        <v>268.46714702955143</v>
      </c>
      <c r="S8" s="57">
        <f ca="1">AVERAGE(OFFSET($R$3,0,0,'Données projet'!$E$9+1,1))-AVERAGE(OFFSET($H$3,0,0,'Données projet'!$E$9+1,1))</f>
        <v>373.45926089889866</v>
      </c>
      <c r="T8" s="57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2.4225165681027749</v>
      </c>
      <c r="AK8" s="13">
        <f t="shared" si="35"/>
        <v>1.0071407548562075</v>
      </c>
      <c r="AL8" s="20">
        <f t="shared" si="4"/>
        <v>5.9733198374868941</v>
      </c>
      <c r="AM8" s="57">
        <f t="shared" si="5"/>
        <v>268.75109761526465</v>
      </c>
      <c r="AN8" s="57">
        <f ca="1">AVERAGE(OFFSET($AM$3,0,0,'Données projet'!$E$10+1,1))-AVERAGE(OFFSET($H$3,0,0,'Données projet'!$E$10+1,1))</f>
        <v>390.70240761116355</v>
      </c>
      <c r="AO8" s="57">
        <f t="shared" si="36"/>
        <v>241.18285512887638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2.4622299544651152</v>
      </c>
      <c r="BF8" s="13">
        <f t="shared" si="37"/>
        <v>1.021715601495419</v>
      </c>
      <c r="BG8" s="20">
        <f t="shared" si="7"/>
        <v>6.0678718432979295</v>
      </c>
      <c r="BH8" s="57">
        <f t="shared" si="8"/>
        <v>268.84564962107572</v>
      </c>
      <c r="BI8" s="57">
        <f ca="1">AVERAGE(OFFSET($BH$3,0,0,'Données projet'!$E$11+1,1))-AVERAGE(OFFSET($H$3,0,0,'Données projet'!$E$11+1,1))</f>
        <v>396.44612884768748</v>
      </c>
      <c r="BJ8" s="57">
        <f t="shared" si="38"/>
        <v>244.451492444461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1.4873333333333332</v>
      </c>
      <c r="BY8" s="12">
        <f>IF('Données projet'!$A$114&gt;35,BY7+BX8-CG7,IF(A8&lt;'Données projet'!$A$114,$BV$205^A8,IF(A8='Données projet'!$A$114,'Données projet'!$B$114,BY7+BX8-CG7)))</f>
        <v>2.8151390866458232</v>
      </c>
      <c r="BZ8" s="13">
        <f>BY8*VLOOKUP('Données projet'!$B$12,Paramètres!$A$1:$I$89,3,0)*VLOOKUP('Données projet'!$B$12,Paramètres!$A$1:$I$89,5,0)</f>
        <v>1.6834531738142022</v>
      </c>
      <c r="CA8" s="13">
        <f t="shared" si="39"/>
        <v>0.73016885514905805</v>
      </c>
      <c r="CB8" s="20">
        <f t="shared" si="10"/>
        <v>4.2037250337776788</v>
      </c>
      <c r="CC8" s="57">
        <f t="shared" si="11"/>
        <v>266.98150281155546</v>
      </c>
      <c r="CD8" s="57">
        <f ca="1">AVERAGE(OFFSET($CC$3,0,0,'Données projet'!$E$12+1,1))-AVERAGE(OFFSET($H$3,0,0,'Données projet'!$E$12+1,1))</f>
        <v>259.64096626089821</v>
      </c>
      <c r="CE8" s="57">
        <f t="shared" si="40"/>
        <v>258.1415293081597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2.1</v>
      </c>
      <c r="CT8" s="12">
        <f>IF('Données projet'!$A$140&gt;35,CT7+CS8-DB7,IF(A8&lt;'Données projet'!$A$140,$CQ$205^A8,IF(A8='Données projet'!$A$140,'Données projet'!$B$140,CT7+CS8-DB7)))</f>
        <v>2.5457298950218314</v>
      </c>
      <c r="CU8" s="17">
        <f>CT8*VLOOKUP('Données projet'!$B$13,Paramètres!$A$1:$I$89,3,0)*VLOOKUP('Données projet'!$B$13,Paramètres!$A$1:$I$89,5,0)</f>
        <v>2.740223659001499</v>
      </c>
      <c r="CV8" s="13">
        <f t="shared" si="41"/>
        <v>1.1230000737947632</v>
      </c>
      <c r="CW8" s="20">
        <f t="shared" si="13"/>
        <v>6.7284480012868242</v>
      </c>
      <c r="CX8" s="57">
        <f t="shared" si="14"/>
        <v>269.50622577906461</v>
      </c>
      <c r="CY8" s="57">
        <f ca="1">AVERAGE(OFFSET($CX$3,0,0,'Données projet'!$E$13+1,1))-AVERAGE(OFFSET($H$3,0,0,'Données projet'!$E$13+1,1))</f>
        <v>436.59978658837537</v>
      </c>
      <c r="CZ8" s="57">
        <f t="shared" si="42"/>
        <v>267.2998309535638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1.2</v>
      </c>
      <c r="DO8" s="12">
        <f>IF('Données projet'!$A$166&gt;35,DO7+DN8-DW7,IF(A8&lt;'Données projet'!$A$166,$DL$205^A8,IF(A8='Données projet'!$A$166,'Données projet'!$B$166,DO7+DN8-DW7)))</f>
        <v>1.9743504858348202</v>
      </c>
      <c r="DP8" s="17">
        <f>DO8*VLOOKUP('Données projet'!$B$14,Paramètres!$A$1:$I$89,3,0)*VLOOKUP('Données projet'!$B$14,Paramètres!$A$1:$I$89,5,0)</f>
        <v>1.878791922320415</v>
      </c>
      <c r="DQ8" s="13">
        <f t="shared" si="43"/>
        <v>0.8045467231351765</v>
      </c>
      <c r="DR8" s="20">
        <f t="shared" si="16"/>
        <v>4.6734814741684882</v>
      </c>
      <c r="DS8" s="57">
        <f t="shared" si="17"/>
        <v>267.45125925194628</v>
      </c>
      <c r="DT8" s="57">
        <f ca="1">AVERAGE(OFFSET($DS$3,0,0,'Données projet'!$E$14+1,1))-AVERAGE(OFFSET($H$3,0,0,'Données projet'!$E$14+1,1))</f>
        <v>292.95981568144879</v>
      </c>
      <c r="DU8" s="57">
        <f t="shared" si="44"/>
        <v>152.23954167722536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7" t="e">
        <f t="shared" si="20"/>
        <v>#N/A</v>
      </c>
      <c r="EO8" s="57" t="e">
        <f ca="1">AVERAGE(OFFSET($EN$3,0,0,'Données projet'!$E$15+1,1))-AVERAGE(OFFSET($H$3,0,0,'Données projet'!$E$15+1,1))</f>
        <v>#N/A</v>
      </c>
      <c r="EP8" s="57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7" t="e">
        <f t="shared" si="23"/>
        <v>#N/A</v>
      </c>
      <c r="FJ8" s="57" t="e">
        <f ca="1">AVERAGE(OFFSET($FI$3,0,0,'Données projet'!$E$16+1,1))-AVERAGE(OFFSET($H$3,0,0,'Données projet'!$E$16+1,1))</f>
        <v>#N/A</v>
      </c>
      <c r="FK8" s="57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7" t="e">
        <f t="shared" si="26"/>
        <v>#N/A</v>
      </c>
      <c r="GE8" s="57" t="e">
        <f ca="1">AVERAGE(OFFSET($GD$3,0,0,'Données projet'!$E$17+1,1))-AVERAGE(OFFSET($H$3,0,0,'Données projet'!$E$17+1,1))</f>
        <v>#N/A</v>
      </c>
      <c r="GF8" s="57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7" t="e">
        <f t="shared" si="29"/>
        <v>#N/A</v>
      </c>
      <c r="GZ8" s="57" t="e">
        <f ca="1">AVERAGE(OFFSET($GY$3,0,0,'Données projet'!$E$18+1,1))-AVERAGE(OFFSET($H$3,0,0,'Données projet'!$E$18+1,1))</f>
        <v>#N/A</v>
      </c>
      <c r="HA8" s="57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1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5">
        <f t="shared" si="1"/>
        <v>256.66666666666669</v>
      </c>
      <c r="I9" s="6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7">
        <f t="shared" si="0"/>
        <v>270.81494110736412</v>
      </c>
      <c r="S9" s="57">
        <f ca="1">AVERAGE(OFFSET($R$3,0,0,'Données projet'!$E$9+1,1))-AVERAGE(OFFSET($H$3,0,0,'Données projet'!$E$9+1,1))</f>
        <v>373.45926089889866</v>
      </c>
      <c r="T9" s="57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2.9203117811062675</v>
      </c>
      <c r="AK9" s="13">
        <f t="shared" si="35"/>
        <v>1.1879695913731732</v>
      </c>
      <c r="AL9" s="20">
        <f t="shared" si="4"/>
        <v>7.1552567237350262</v>
      </c>
      <c r="AM9" s="57">
        <f t="shared" si="5"/>
        <v>271.15525672373502</v>
      </c>
      <c r="AN9" s="57">
        <f ca="1">AVERAGE(OFFSET($AM$3,0,0,'Données projet'!$E$10+1,1))-AVERAGE(OFFSET($H$3,0,0,'Données projet'!$E$10+1,1))</f>
        <v>390.70240761116355</v>
      </c>
      <c r="AO9" s="57">
        <f t="shared" si="36"/>
        <v>241.18285512887638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2.9681857447309605</v>
      </c>
      <c r="BF9" s="13">
        <f t="shared" si="37"/>
        <v>1.2051613041728233</v>
      </c>
      <c r="BG9" s="20">
        <f t="shared" si="7"/>
        <v>7.2685794435074236</v>
      </c>
      <c r="BH9" s="57">
        <f t="shared" si="8"/>
        <v>271.26857944350741</v>
      </c>
      <c r="BI9" s="57">
        <f ca="1">AVERAGE(OFFSET($BH$3,0,0,'Données projet'!$E$11+1,1))-AVERAGE(OFFSET($H$3,0,0,'Données projet'!$E$11+1,1))</f>
        <v>396.44612884768748</v>
      </c>
      <c r="BJ9" s="57">
        <f t="shared" si="38"/>
        <v>244.451492444461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1.4873333333333332</v>
      </c>
      <c r="BY9" s="12">
        <f>IF('Données projet'!$A$114&gt;35,BY8+BX9-CG8,IF(A9&lt;'Données projet'!$A$114,$BV$205^A9,IF(A9='Données projet'!$A$114,'Données projet'!$B$114,BY8+BX9-CG8)))</f>
        <v>3.4625800950065773</v>
      </c>
      <c r="BZ9" s="13">
        <f>BY9*VLOOKUP('Données projet'!$B$12,Paramètres!$A$1:$I$89,3,0)*VLOOKUP('Données projet'!$B$12,Paramètres!$A$1:$I$89,5,0)</f>
        <v>2.0706228968139335</v>
      </c>
      <c r="CA9" s="13">
        <f t="shared" si="39"/>
        <v>0.87671597314115024</v>
      </c>
      <c r="CB9" s="20">
        <f t="shared" si="10"/>
        <v>5.13328186517177</v>
      </c>
      <c r="CC9" s="57">
        <f t="shared" si="11"/>
        <v>269.1332818651718</v>
      </c>
      <c r="CD9" s="57">
        <f ca="1">AVERAGE(OFFSET($CC$3,0,0,'Données projet'!$E$12+1,1))-AVERAGE(OFFSET($H$3,0,0,'Données projet'!$E$12+1,1))</f>
        <v>259.64096626089821</v>
      </c>
      <c r="CE9" s="57">
        <f t="shared" si="40"/>
        <v>258.1415293081597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2.1</v>
      </c>
      <c r="CT9" s="12">
        <f>IF('Données projet'!$A$140&gt;35,CT8+CS9-DB8,IF(A9&lt;'Données projet'!$A$140,$CQ$205^A9,IF(A9='Données projet'!$A$140,'Données projet'!$B$140,CT8+CS9-DB8)))</f>
        <v>3.0688438220956993</v>
      </c>
      <c r="CU9" s="17">
        <f>CT9*VLOOKUP('Données projet'!$B$13,Paramètres!$A$1:$I$89,3,0)*VLOOKUP('Données projet'!$B$13,Paramètres!$A$1:$I$89,5,0)</f>
        <v>3.3033034901038101</v>
      </c>
      <c r="CV9" s="13">
        <f t="shared" si="41"/>
        <v>1.3246310730107231</v>
      </c>
      <c r="CW9" s="20">
        <f t="shared" si="13"/>
        <v>8.0603193640911446</v>
      </c>
      <c r="CX9" s="57">
        <f t="shared" si="14"/>
        <v>272.06031936409113</v>
      </c>
      <c r="CY9" s="57">
        <f ca="1">AVERAGE(OFFSET($CX$3,0,0,'Données projet'!$E$13+1,1))-AVERAGE(OFFSET($H$3,0,0,'Données projet'!$E$13+1,1))</f>
        <v>436.59978658837537</v>
      </c>
      <c r="CZ9" s="57">
        <f t="shared" si="42"/>
        <v>267.2998309535638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1.2</v>
      </c>
      <c r="DO9" s="12">
        <f>IF('Données projet'!$A$166&gt;35,DO8+DN9-DW8,IF(A9&lt;'Données projet'!$A$166,$DL$205^A9,IF(A9='Données projet'!$A$166,'Données projet'!$B$166,DO8+DN9-DW8)))</f>
        <v>2.2620859438457455</v>
      </c>
      <c r="DP9" s="17">
        <f>DO9*VLOOKUP('Données projet'!$B$14,Paramètres!$A$1:$I$89,3,0)*VLOOKUP('Données projet'!$B$14,Paramètres!$A$1:$I$89,5,0)</f>
        <v>2.1526009841636116</v>
      </c>
      <c r="DQ9" s="13">
        <f t="shared" si="43"/>
        <v>0.90731615558427703</v>
      </c>
      <c r="DR9" s="20">
        <f t="shared" si="16"/>
        <v>5.3293556850609054</v>
      </c>
      <c r="DS9" s="57">
        <f t="shared" si="17"/>
        <v>269.32935568506093</v>
      </c>
      <c r="DT9" s="57">
        <f ca="1">AVERAGE(OFFSET($DS$3,0,0,'Données projet'!$E$14+1,1))-AVERAGE(OFFSET($H$3,0,0,'Données projet'!$E$14+1,1))</f>
        <v>292.95981568144879</v>
      </c>
      <c r="DU9" s="57">
        <f t="shared" si="44"/>
        <v>152.23954167722536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7" t="e">
        <f t="shared" si="20"/>
        <v>#N/A</v>
      </c>
      <c r="EO9" s="57" t="e">
        <f ca="1">AVERAGE(OFFSET($EN$3,0,0,'Données projet'!$E$15+1,1))-AVERAGE(OFFSET($H$3,0,0,'Données projet'!$E$15+1,1))</f>
        <v>#N/A</v>
      </c>
      <c r="EP9" s="57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7" t="e">
        <f t="shared" si="23"/>
        <v>#N/A</v>
      </c>
      <c r="FJ9" s="57" t="e">
        <f ca="1">AVERAGE(OFFSET($FI$3,0,0,'Données projet'!$E$16+1,1))-AVERAGE(OFFSET($H$3,0,0,'Données projet'!$E$16+1,1))</f>
        <v>#N/A</v>
      </c>
      <c r="FK9" s="57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7" t="e">
        <f t="shared" si="26"/>
        <v>#N/A</v>
      </c>
      <c r="GE9" s="57" t="e">
        <f ca="1">AVERAGE(OFFSET($GD$3,0,0,'Données projet'!$E$17+1,1))-AVERAGE(OFFSET($H$3,0,0,'Données projet'!$E$17+1,1))</f>
        <v>#N/A</v>
      </c>
      <c r="GF9" s="57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7" t="e">
        <f t="shared" si="29"/>
        <v>#N/A</v>
      </c>
      <c r="GZ9" s="57" t="e">
        <f ca="1">AVERAGE(OFFSET($GY$3,0,0,'Données projet'!$E$18+1,1))-AVERAGE(OFFSET($H$3,0,0,'Données projet'!$E$18+1,1))</f>
        <v>#N/A</v>
      </c>
      <c r="HA9" s="57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1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5">
        <f t="shared" si="1"/>
        <v>256.66666666666669</v>
      </c>
      <c r="I10" s="6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7">
        <f t="shared" si="0"/>
        <v>273.38621175408076</v>
      </c>
      <c r="S10" s="57">
        <f ca="1">AVERAGE(OFFSET($R$3,0,0,'Données projet'!$E$9+1,1))-AVERAGE(OFFSET($H$3,0,0,'Données projet'!$E$9+1,1))</f>
        <v>373.45926089889866</v>
      </c>
      <c r="T10" s="57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3.520397346775237</v>
      </c>
      <c r="AK10" s="13">
        <f t="shared" si="35"/>
        <v>1.4012656554930452</v>
      </c>
      <c r="AL10" s="20">
        <f t="shared" si="4"/>
        <v>8.5718963956172569</v>
      </c>
      <c r="AM10" s="57">
        <f t="shared" si="5"/>
        <v>273.7941186178395</v>
      </c>
      <c r="AN10" s="57">
        <f ca="1">AVERAGE(OFFSET($AM$3,0,0,'Données projet'!$E$10+1,1))-AVERAGE(OFFSET($H$3,0,0,'Données projet'!$E$10+1,1))</f>
        <v>390.70240761116355</v>
      </c>
      <c r="AO10" s="57">
        <f t="shared" si="36"/>
        <v>241.18285512887638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3.5781087786895851</v>
      </c>
      <c r="BF10" s="13">
        <f t="shared" si="37"/>
        <v>1.4215440842341414</v>
      </c>
      <c r="BG10" s="20">
        <f t="shared" si="7"/>
        <v>8.707728736258824</v>
      </c>
      <c r="BH10" s="57">
        <f t="shared" si="8"/>
        <v>273.92995095848107</v>
      </c>
      <c r="BI10" s="57">
        <f ca="1">AVERAGE(OFFSET($BH$3,0,0,'Données projet'!$E$11+1,1))-AVERAGE(OFFSET($H$3,0,0,'Données projet'!$E$11+1,1))</f>
        <v>396.44612884768748</v>
      </c>
      <c r="BJ10" s="57">
        <f t="shared" si="38"/>
        <v>244.451492444461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1.4873333333333332</v>
      </c>
      <c r="BY10" s="12">
        <f>IF('Données projet'!$A$114&gt;35,BY9+BX10-CG9,IF(A10&lt;'Données projet'!$A$114,$BV$205^A10,IF(A10='Données projet'!$A$114,'Données projet'!$B$114,BY9+BX10-CG9)))</f>
        <v>4.2589231101263056</v>
      </c>
      <c r="BZ10" s="13">
        <f>BY10*VLOOKUP('Données projet'!$B$12,Paramètres!$A$1:$I$89,3,0)*VLOOKUP('Données projet'!$B$12,Paramètres!$A$1:$I$89,5,0)</f>
        <v>2.5468360198555309</v>
      </c>
      <c r="CA10" s="13">
        <f t="shared" si="39"/>
        <v>1.052675545033928</v>
      </c>
      <c r="CB10" s="20">
        <f t="shared" si="10"/>
        <v>6.2691493088491406</v>
      </c>
      <c r="CC10" s="57">
        <f t="shared" si="11"/>
        <v>271.49137153107137</v>
      </c>
      <c r="CD10" s="57">
        <f ca="1">AVERAGE(OFFSET($CC$3,0,0,'Données projet'!$E$12+1,1))-AVERAGE(OFFSET($H$3,0,0,'Données projet'!$E$12+1,1))</f>
        <v>259.64096626089821</v>
      </c>
      <c r="CE10" s="57">
        <f t="shared" si="40"/>
        <v>258.1415293081597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2.1</v>
      </c>
      <c r="CT10" s="12">
        <f>IF('Données projet'!$A$140&gt;35,CT9+CS10-DB9,IF(A10&lt;'Données projet'!$A$140,$CQ$205^A10,IF(A10='Données projet'!$A$140,'Données projet'!$B$140,CT9+CS10-DB9)))</f>
        <v>3.6994507637402658</v>
      </c>
      <c r="CU10" s="17">
        <f>CT10*VLOOKUP('Données projet'!$B$13,Paramètres!$A$1:$I$89,3,0)*VLOOKUP('Données projet'!$B$13,Paramètres!$A$1:$I$89,5,0)</f>
        <v>3.982088802090022</v>
      </c>
      <c r="CV10" s="13">
        <f t="shared" si="41"/>
        <v>1.5624642602705792</v>
      </c>
      <c r="CW10" s="20">
        <f t="shared" si="13"/>
        <v>9.6567632502780452</v>
      </c>
      <c r="CX10" s="57">
        <f t="shared" si="14"/>
        <v>274.87898547250029</v>
      </c>
      <c r="CY10" s="57">
        <f ca="1">AVERAGE(OFFSET($CX$3,0,0,'Données projet'!$E$13+1,1))-AVERAGE(OFFSET($H$3,0,0,'Données projet'!$E$13+1,1))</f>
        <v>436.59978658837537</v>
      </c>
      <c r="CZ10" s="57">
        <f t="shared" si="42"/>
        <v>267.2998309535638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1.2</v>
      </c>
      <c r="DO10" s="12">
        <f>IF('Données projet'!$A$166&gt;35,DO9+DN10-DW9,IF(A10&lt;'Données projet'!$A$166,$DL$205^A10,IF(A10='Données projet'!$A$166,'Données projet'!$B$166,DO9+DN10-DW9)))</f>
        <v>2.5917550374450604</v>
      </c>
      <c r="DP10" s="17">
        <f>DO10*VLOOKUP('Données projet'!$B$14,Paramètres!$A$1:$I$89,3,0)*VLOOKUP('Données projet'!$B$14,Paramètres!$A$1:$I$89,5,0)</f>
        <v>2.4663140936327195</v>
      </c>
      <c r="DQ10" s="13">
        <f t="shared" si="43"/>
        <v>1.0232129253802424</v>
      </c>
      <c r="DR10" s="20">
        <f t="shared" si="16"/>
        <v>6.0775928914475736</v>
      </c>
      <c r="DS10" s="57">
        <f t="shared" si="17"/>
        <v>271.29981511366981</v>
      </c>
      <c r="DT10" s="57">
        <f ca="1">AVERAGE(OFFSET($DS$3,0,0,'Données projet'!$E$14+1,1))-AVERAGE(OFFSET($H$3,0,0,'Données projet'!$E$14+1,1))</f>
        <v>292.95981568144879</v>
      </c>
      <c r="DU10" s="57">
        <f t="shared" si="44"/>
        <v>152.23954167722536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7" t="e">
        <f t="shared" si="20"/>
        <v>#N/A</v>
      </c>
      <c r="EO10" s="57" t="e">
        <f ca="1">AVERAGE(OFFSET($EN$3,0,0,'Données projet'!$E$15+1,1))-AVERAGE(OFFSET($H$3,0,0,'Données projet'!$E$15+1,1))</f>
        <v>#N/A</v>
      </c>
      <c r="EP10" s="57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7" t="e">
        <f t="shared" si="23"/>
        <v>#N/A</v>
      </c>
      <c r="FJ10" s="57" t="e">
        <f ca="1">AVERAGE(OFFSET($FI$3,0,0,'Données projet'!$E$16+1,1))-AVERAGE(OFFSET($H$3,0,0,'Données projet'!$E$16+1,1))</f>
        <v>#N/A</v>
      </c>
      <c r="FK10" s="57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7" t="e">
        <f t="shared" si="26"/>
        <v>#N/A</v>
      </c>
      <c r="GE10" s="57" t="e">
        <f ca="1">AVERAGE(OFFSET($GD$3,0,0,'Données projet'!$E$17+1,1))-AVERAGE(OFFSET($H$3,0,0,'Données projet'!$E$17+1,1))</f>
        <v>#N/A</v>
      </c>
      <c r="GF10" s="57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7" t="e">
        <f t="shared" si="29"/>
        <v>#N/A</v>
      </c>
      <c r="GZ10" s="57" t="e">
        <f ca="1">AVERAGE(OFFSET($GY$3,0,0,'Données projet'!$E$18+1,1))-AVERAGE(OFFSET($H$3,0,0,'Données projet'!$E$18+1,1))</f>
        <v>#N/A</v>
      </c>
      <c r="HA10" s="57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1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5">
        <f t="shared" si="1"/>
        <v>256.66666666666669</v>
      </c>
      <c r="I11" s="6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7">
        <f t="shared" si="0"/>
        <v>276.22547755046565</v>
      </c>
      <c r="S11" s="57">
        <f ca="1">AVERAGE(OFFSET($R$3,0,0,'Données projet'!$E$9+1,1))-AVERAGE(OFFSET($H$3,0,0,'Données projet'!$E$9+1,1))</f>
        <v>373.45926089889866</v>
      </c>
      <c r="T11" s="57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4.2437925838477959</v>
      </c>
      <c r="AK11" s="13">
        <f t="shared" si="35"/>
        <v>1.6528583320004788</v>
      </c>
      <c r="AL11" s="20">
        <f t="shared" si="4"/>
        <v>10.27000034510241</v>
      </c>
      <c r="AM11" s="57">
        <f t="shared" si="5"/>
        <v>276.71444478954686</v>
      </c>
      <c r="AN11" s="57">
        <f ca="1">AVERAGE(OFFSET($AM$3,0,0,'Données projet'!$E$10+1,1))-AVERAGE(OFFSET($H$3,0,0,'Données projet'!$E$10+1,1))</f>
        <v>390.70240761116355</v>
      </c>
      <c r="AO11" s="57">
        <f t="shared" si="36"/>
        <v>241.18285512887638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4.3133629540748091</v>
      </c>
      <c r="BF11" s="13">
        <f t="shared" si="37"/>
        <v>1.6767776864592203</v>
      </c>
      <c r="BG11" s="20">
        <f t="shared" si="7"/>
        <v>10.432828282263435</v>
      </c>
      <c r="BH11" s="57">
        <f t="shared" si="8"/>
        <v>276.87727272670787</v>
      </c>
      <c r="BI11" s="57">
        <f ca="1">AVERAGE(OFFSET($BH$3,0,0,'Données projet'!$E$11+1,1))-AVERAGE(OFFSET($H$3,0,0,'Données projet'!$E$11+1,1))</f>
        <v>396.44612884768748</v>
      </c>
      <c r="BJ11" s="57">
        <f t="shared" si="38"/>
        <v>244.451492444461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1.4873333333333332</v>
      </c>
      <c r="BY11" s="12">
        <f>IF('Données projet'!$A$114&gt;35,BY10+BX11-CG10,IF(A11&lt;'Données projet'!$A$114,$BV$205^A11,IF(A11='Données projet'!$A$114,'Données projet'!$B$114,BY10+BX11-CG10)))</f>
        <v>5.2384134259090613</v>
      </c>
      <c r="BZ11" s="13">
        <f>BY11*VLOOKUP('Données projet'!$B$12,Paramètres!$A$1:$I$89,3,0)*VLOOKUP('Données projet'!$B$12,Paramètres!$A$1:$I$89,5,0)</f>
        <v>3.1325712286936187</v>
      </c>
      <c r="CA11" s="13">
        <f t="shared" si="39"/>
        <v>1.2639507401036834</v>
      </c>
      <c r="CB11" s="20">
        <f t="shared" si="10"/>
        <v>7.6572757623219667</v>
      </c>
      <c r="CC11" s="57">
        <f t="shared" si="11"/>
        <v>274.1017202067664</v>
      </c>
      <c r="CD11" s="57">
        <f ca="1">AVERAGE(OFFSET($CC$3,0,0,'Données projet'!$E$12+1,1))-AVERAGE(OFFSET($H$3,0,0,'Données projet'!$E$12+1,1))</f>
        <v>259.64096626089821</v>
      </c>
      <c r="CE11" s="57">
        <f t="shared" si="40"/>
        <v>258.1415293081597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2.1</v>
      </c>
      <c r="CT11" s="12">
        <f>IF('Données projet'!$A$140&gt;35,CT10+CS11-DB10,IF(A11&lt;'Données projet'!$A$140,$CQ$205^A11,IF(A11='Données projet'!$A$140,'Données projet'!$B$140,CT10+CS11-DB10)))</f>
        <v>4.4596391171162209</v>
      </c>
      <c r="CU11" s="17">
        <f>CT11*VLOOKUP('Données projet'!$B$13,Paramètres!$A$1:$I$89,3,0)*VLOOKUP('Données projet'!$B$13,Paramètres!$A$1:$I$89,5,0)</f>
        <v>4.8003555456638995</v>
      </c>
      <c r="CV11" s="13">
        <f t="shared" si="41"/>
        <v>1.8429996203200378</v>
      </c>
      <c r="CW11" s="20">
        <f t="shared" si="13"/>
        <v>11.570510247422023</v>
      </c>
      <c r="CX11" s="57">
        <f t="shared" si="14"/>
        <v>278.01495469186648</v>
      </c>
      <c r="CY11" s="57">
        <f ca="1">AVERAGE(OFFSET($CX$3,0,0,'Données projet'!$E$13+1,1))-AVERAGE(OFFSET($H$3,0,0,'Données projet'!$E$13+1,1))</f>
        <v>436.59978658837537</v>
      </c>
      <c r="CZ11" s="57">
        <f t="shared" si="42"/>
        <v>267.2998309535638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1.2</v>
      </c>
      <c r="DO11" s="12">
        <f>IF('Données projet'!$A$166&gt;35,DO10+DN11-DW10,IF(A11&lt;'Données projet'!$A$166,$DL$205^A11,IF(A11='Données projet'!$A$166,'Données projet'!$B$166,DO10+DN11-DW10)))</f>
        <v>2.9694690391391689</v>
      </c>
      <c r="DP11" s="17">
        <f>DO11*VLOOKUP('Données projet'!$B$14,Paramètres!$A$1:$I$89,3,0)*VLOOKUP('Données projet'!$B$14,Paramètres!$A$1:$I$89,5,0)</f>
        <v>2.8257467376448333</v>
      </c>
      <c r="DQ11" s="13">
        <f t="shared" si="43"/>
        <v>1.1539138636752129</v>
      </c>
      <c r="DR11" s="20">
        <f t="shared" si="16"/>
        <v>6.9312422139657466</v>
      </c>
      <c r="DS11" s="57">
        <f t="shared" si="17"/>
        <v>273.37568665841019</v>
      </c>
      <c r="DT11" s="57">
        <f ca="1">AVERAGE(OFFSET($DS$3,0,0,'Données projet'!$E$14+1,1))-AVERAGE(OFFSET($H$3,0,0,'Données projet'!$E$14+1,1))</f>
        <v>292.95981568144879</v>
      </c>
      <c r="DU11" s="57">
        <f t="shared" si="44"/>
        <v>152.23954167722536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7" t="e">
        <f t="shared" si="20"/>
        <v>#N/A</v>
      </c>
      <c r="EO11" s="57" t="e">
        <f ca="1">AVERAGE(OFFSET($EN$3,0,0,'Données projet'!$E$15+1,1))-AVERAGE(OFFSET($H$3,0,0,'Données projet'!$E$15+1,1))</f>
        <v>#N/A</v>
      </c>
      <c r="EP11" s="57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7" t="e">
        <f t="shared" si="23"/>
        <v>#N/A</v>
      </c>
      <c r="FJ11" s="57" t="e">
        <f ca="1">AVERAGE(OFFSET($FI$3,0,0,'Données projet'!$E$16+1,1))-AVERAGE(OFFSET($H$3,0,0,'Données projet'!$E$16+1,1))</f>
        <v>#N/A</v>
      </c>
      <c r="FK11" s="57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7" t="e">
        <f t="shared" si="26"/>
        <v>#N/A</v>
      </c>
      <c r="GE11" s="57" t="e">
        <f ca="1">AVERAGE(OFFSET($GD$3,0,0,'Données projet'!$E$17+1,1))-AVERAGE(OFFSET($H$3,0,0,'Données projet'!$E$17+1,1))</f>
        <v>#N/A</v>
      </c>
      <c r="GF11" s="57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7" t="e">
        <f t="shared" si="29"/>
        <v>#N/A</v>
      </c>
      <c r="GZ11" s="57" t="e">
        <f ca="1">AVERAGE(OFFSET($GY$3,0,0,'Données projet'!$E$18+1,1))-AVERAGE(OFFSET($H$3,0,0,'Données projet'!$E$18+1,1))</f>
        <v>#N/A</v>
      </c>
      <c r="HA11" s="57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1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5">
        <f t="shared" si="1"/>
        <v>256.66666666666669</v>
      </c>
      <c r="I12" s="6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7">
        <f t="shared" si="0"/>
        <v>279.38615317116773</v>
      </c>
      <c r="S12" s="57">
        <f ca="1">AVERAGE(OFFSET($R$3,0,0,'Données projet'!$E$9+1,1))-AVERAGE(OFFSET($H$3,0,0,'Données projet'!$E$9+1,1))</f>
        <v>373.45926089889866</v>
      </c>
      <c r="T12" s="57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5.1158360039155557</v>
      </c>
      <c r="AK12" s="13">
        <f t="shared" si="35"/>
        <v>1.9496236526985691</v>
      </c>
      <c r="AL12" s="20">
        <f t="shared" si="4"/>
        <v>12.305675568602934</v>
      </c>
      <c r="AM12" s="57">
        <f t="shared" si="5"/>
        <v>279.97234223526959</v>
      </c>
      <c r="AN12" s="57">
        <f ca="1">AVERAGE(OFFSET($AM$3,0,0,'Données projet'!$E$10+1,1))-AVERAGE(OFFSET($H$3,0,0,'Données projet'!$E$10+1,1))</f>
        <v>390.70240761116355</v>
      </c>
      <c r="AO12" s="57">
        <f t="shared" si="36"/>
        <v>241.18285512887638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5.1997021679141717</v>
      </c>
      <c r="BF12" s="13">
        <f t="shared" si="37"/>
        <v>1.977837649208241</v>
      </c>
      <c r="BG12" s="20">
        <f t="shared" si="7"/>
        <v>12.500881848154869</v>
      </c>
      <c r="BH12" s="57">
        <f t="shared" si="8"/>
        <v>280.16754851482153</v>
      </c>
      <c r="BI12" s="57">
        <f ca="1">AVERAGE(OFFSET($BH$3,0,0,'Données projet'!$E$11+1,1))-AVERAGE(OFFSET($H$3,0,0,'Données projet'!$E$11+1,1))</f>
        <v>396.44612884768748</v>
      </c>
      <c r="BJ12" s="57">
        <f t="shared" si="38"/>
        <v>244.451492444461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1.4873333333333332</v>
      </c>
      <c r="BY12" s="12">
        <f>IF('Données projet'!$A$114&gt;35,BY11+BX12-CG11,IF(A12&lt;'Données projet'!$A$114,$BV$205^A12,IF(A12='Données projet'!$A$114,'Données projet'!$B$114,BY11+BX12-CG11)))</f>
        <v>6.443172255328764</v>
      </c>
      <c r="BZ12" s="13">
        <f>BY12*VLOOKUP('Données projet'!$B$12,Paramètres!$A$1:$I$89,3,0)*VLOOKUP('Données projet'!$B$12,Paramètres!$A$1:$I$89,5,0)</f>
        <v>3.8530170086866007</v>
      </c>
      <c r="CA12" s="13">
        <f t="shared" si="39"/>
        <v>1.517629511719262</v>
      </c>
      <c r="CB12" s="20">
        <f t="shared" si="10"/>
        <v>9.3538760230402129</v>
      </c>
      <c r="CC12" s="57">
        <f t="shared" si="11"/>
        <v>277.02054268970687</v>
      </c>
      <c r="CD12" s="57">
        <f ca="1">AVERAGE(OFFSET($CC$3,0,0,'Données projet'!$E$12+1,1))-AVERAGE(OFFSET($H$3,0,0,'Données projet'!$E$12+1,1))</f>
        <v>259.64096626089821</v>
      </c>
      <c r="CE12" s="57">
        <f t="shared" si="40"/>
        <v>258.1415293081597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2.1</v>
      </c>
      <c r="CT12" s="12">
        <f>IF('Données projet'!$A$140&gt;35,CT11+CS12-DB11,IF(A12&lt;'Données projet'!$A$140,$CQ$205^A12,IF(A12='Données projet'!$A$140,'Données projet'!$B$140,CT11+CS12-DB11)))</f>
        <v>5.3760361537574148</v>
      </c>
      <c r="CU12" s="17">
        <f>CT12*VLOOKUP('Données projet'!$B$13,Paramètres!$A$1:$I$89,3,0)*VLOOKUP('Données projet'!$B$13,Paramètres!$A$1:$I$89,5,0)</f>
        <v>5.7867653159044812</v>
      </c>
      <c r="CV12" s="13">
        <f t="shared" si="41"/>
        <v>2.1739041889582755</v>
      </c>
      <c r="CW12" s="20">
        <f t="shared" si="13"/>
        <v>13.864832720969302</v>
      </c>
      <c r="CX12" s="57">
        <f t="shared" si="14"/>
        <v>281.53149938763596</v>
      </c>
      <c r="CY12" s="57">
        <f ca="1">AVERAGE(OFFSET($CX$3,0,0,'Données projet'!$E$13+1,1))-AVERAGE(OFFSET($H$3,0,0,'Données projet'!$E$13+1,1))</f>
        <v>436.59978658837537</v>
      </c>
      <c r="CZ12" s="57">
        <f t="shared" si="42"/>
        <v>267.2998309535638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1.2</v>
      </c>
      <c r="DO12" s="12">
        <f>IF('Données projet'!$A$166&gt;35,DO11+DN12-DW11,IF(A12&lt;'Données projet'!$A$166,$DL$205^A12,IF(A12='Données projet'!$A$166,'Données projet'!$B$166,DO11+DN12-DW11)))</f>
        <v>3.4022298585357786</v>
      </c>
      <c r="DP12" s="17">
        <f>DO12*VLOOKUP('Données projet'!$B$14,Paramètres!$A$1:$I$89,3,0)*VLOOKUP('Données projet'!$B$14,Paramètres!$A$1:$I$89,5,0)</f>
        <v>3.2375619333826471</v>
      </c>
      <c r="DQ12" s="13">
        <f t="shared" si="43"/>
        <v>1.3013099930173813</v>
      </c>
      <c r="DR12" s="20">
        <f t="shared" si="16"/>
        <v>7.9052019384800483</v>
      </c>
      <c r="DS12" s="57">
        <f t="shared" si="17"/>
        <v>275.57186860514673</v>
      </c>
      <c r="DT12" s="57">
        <f ca="1">AVERAGE(OFFSET($DS$3,0,0,'Données projet'!$E$14+1,1))-AVERAGE(OFFSET($H$3,0,0,'Données projet'!$E$14+1,1))</f>
        <v>292.95981568144879</v>
      </c>
      <c r="DU12" s="57">
        <f t="shared" si="44"/>
        <v>152.23954167722536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7" t="e">
        <f t="shared" si="20"/>
        <v>#N/A</v>
      </c>
      <c r="EO12" s="57" t="e">
        <f ca="1">AVERAGE(OFFSET($EN$3,0,0,'Données projet'!$E$15+1,1))-AVERAGE(OFFSET($H$3,0,0,'Données projet'!$E$15+1,1))</f>
        <v>#N/A</v>
      </c>
      <c r="EP12" s="57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7" t="e">
        <f t="shared" si="23"/>
        <v>#N/A</v>
      </c>
      <c r="FJ12" s="57" t="e">
        <f ca="1">AVERAGE(OFFSET($FI$3,0,0,'Données projet'!$E$16+1,1))-AVERAGE(OFFSET($H$3,0,0,'Données projet'!$E$16+1,1))</f>
        <v>#N/A</v>
      </c>
      <c r="FK12" s="57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7" t="e">
        <f t="shared" si="26"/>
        <v>#N/A</v>
      </c>
      <c r="GE12" s="57" t="e">
        <f ca="1">AVERAGE(OFFSET($GD$3,0,0,'Données projet'!$E$17+1,1))-AVERAGE(OFFSET($H$3,0,0,'Données projet'!$E$17+1,1))</f>
        <v>#N/A</v>
      </c>
      <c r="GF12" s="57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7" t="e">
        <f t="shared" si="29"/>
        <v>#N/A</v>
      </c>
      <c r="GZ12" s="57" t="e">
        <f ca="1">AVERAGE(OFFSET($GY$3,0,0,'Données projet'!$E$18+1,1))-AVERAGE(OFFSET($H$3,0,0,'Données projet'!$E$18+1,1))</f>
        <v>#N/A</v>
      </c>
      <c r="HA12" s="57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1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5">
        <f t="shared" si="1"/>
        <v>256.66666666666669</v>
      </c>
      <c r="I13" s="6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7">
        <f t="shared" si="0"/>
        <v>282.93233218914207</v>
      </c>
      <c r="S13" s="57">
        <f ca="1">AVERAGE(OFFSET($R$3,0,0,'Données projet'!$E$9+1,1))-AVERAGE(OFFSET($H$3,0,0,'Données projet'!$E$9+1,1))</f>
        <v>373.45926089889866</v>
      </c>
      <c r="T13" s="57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6.1670728486049251</v>
      </c>
      <c r="AK13" s="13">
        <f t="shared" si="35"/>
        <v>2.2996722184660952</v>
      </c>
      <c r="AL13" s="20">
        <f t="shared" si="4"/>
        <v>14.746247658482027</v>
      </c>
      <c r="AM13" s="57">
        <f t="shared" si="5"/>
        <v>283.63513654737091</v>
      </c>
      <c r="AN13" s="57">
        <f ca="1">AVERAGE(OFFSET($AM$3,0,0,'Données projet'!$E$10+1,1))-AVERAGE(OFFSET($H$3,0,0,'Données projet'!$E$10+1,1))</f>
        <v>390.70240761116355</v>
      </c>
      <c r="AO13" s="57">
        <f t="shared" si="36"/>
        <v>241.18285512887638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6.2681724035000874</v>
      </c>
      <c r="BF13" s="13">
        <f t="shared" si="37"/>
        <v>2.3329519459947301</v>
      </c>
      <c r="BG13" s="20">
        <f t="shared" si="7"/>
        <v>14.98029157537014</v>
      </c>
      <c r="BH13" s="57">
        <f t="shared" si="8"/>
        <v>283.86918046425899</v>
      </c>
      <c r="BI13" s="57">
        <f ca="1">AVERAGE(OFFSET($BH$3,0,0,'Données projet'!$E$11+1,1))-AVERAGE(OFFSET($H$3,0,0,'Données projet'!$E$11+1,1))</f>
        <v>396.44612884768748</v>
      </c>
      <c r="BJ13" s="57">
        <f t="shared" si="38"/>
        <v>244.451492444461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1.4873333333333332</v>
      </c>
      <c r="BY13" s="12">
        <f>IF('Données projet'!$A$114&gt;35,BY12+BX13-CG12,IF(A13&lt;'Données projet'!$A$114,$BV$205^A13,IF(A13='Données projet'!$A$114,'Données projet'!$B$114,BY12+BX13-CG12)))</f>
        <v>7.9250080771610802</v>
      </c>
      <c r="BZ13" s="13">
        <f>BY13*VLOOKUP('Données projet'!$B$12,Paramètres!$A$1:$I$89,3,0)*VLOOKUP('Données projet'!$B$12,Paramètres!$A$1:$I$89,5,0)</f>
        <v>4.7391548301423265</v>
      </c>
      <c r="CA13" s="13">
        <f t="shared" si="39"/>
        <v>1.8222223871258723</v>
      </c>
      <c r="CB13" s="20">
        <f t="shared" si="10"/>
        <v>11.427731986742112</v>
      </c>
      <c r="CC13" s="57">
        <f t="shared" si="11"/>
        <v>280.31662087563097</v>
      </c>
      <c r="CD13" s="57">
        <f ca="1">AVERAGE(OFFSET($CC$3,0,0,'Données projet'!$E$12+1,1))-AVERAGE(OFFSET($H$3,0,0,'Données projet'!$E$12+1,1))</f>
        <v>259.64096626089821</v>
      </c>
      <c r="CE13" s="57">
        <f t="shared" si="40"/>
        <v>258.1415293081597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2.1</v>
      </c>
      <c r="CT13" s="12">
        <f>IF('Données projet'!$A$140&gt;35,CT12+CS13-DB12,IF(A13&lt;'Données projet'!$A$140,$CQ$205^A13,IF(A13='Données projet'!$A$140,'Données projet'!$B$140,CT12+CS13-DB12)))</f>
        <v>6.4807406984078657</v>
      </c>
      <c r="CU13" s="17">
        <f>CT13*VLOOKUP('Données projet'!$B$13,Paramètres!$A$1:$I$89,3,0)*VLOOKUP('Données projet'!$B$13,Paramètres!$A$1:$I$89,5,0)</f>
        <v>6.9758692877662263</v>
      </c>
      <c r="CV13" s="13">
        <f t="shared" si="41"/>
        <v>2.5642215932468222</v>
      </c>
      <c r="CW13" s="20">
        <f t="shared" si="13"/>
        <v>16.61565828443106</v>
      </c>
      <c r="CX13" s="57">
        <f t="shared" si="14"/>
        <v>285.50454717331991</v>
      </c>
      <c r="CY13" s="57">
        <f ca="1">AVERAGE(OFFSET($CX$3,0,0,'Données projet'!$E$13+1,1))-AVERAGE(OFFSET($H$3,0,0,'Données projet'!$E$13+1,1))</f>
        <v>436.59978658837537</v>
      </c>
      <c r="CZ13" s="57">
        <f t="shared" si="42"/>
        <v>267.2998309535638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1.2</v>
      </c>
      <c r="DO13" s="12">
        <f>IF('Données projet'!$A$166&gt;35,DO12+DN13-DW12,IF(A13&lt;'Données projet'!$A$166,$DL$205^A13,IF(A13='Données projet'!$A$166,'Données projet'!$B$166,DO12+DN13-DW12)))</f>
        <v>3.8980598409161908</v>
      </c>
      <c r="DP13" s="17">
        <f>DO13*VLOOKUP('Données projet'!$B$14,Paramètres!$A$1:$I$89,3,0)*VLOOKUP('Données projet'!$B$14,Paramètres!$A$1:$I$89,5,0)</f>
        <v>3.7093937446158476</v>
      </c>
      <c r="DQ13" s="13">
        <f t="shared" si="43"/>
        <v>1.4675338872638184</v>
      </c>
      <c r="DR13" s="20">
        <f t="shared" si="16"/>
        <v>9.0164822921904193</v>
      </c>
      <c r="DS13" s="57">
        <f t="shared" si="17"/>
        <v>277.90537118107926</v>
      </c>
      <c r="DT13" s="57">
        <f ca="1">AVERAGE(OFFSET($DS$3,0,0,'Données projet'!$E$14+1,1))-AVERAGE(OFFSET($H$3,0,0,'Données projet'!$E$14+1,1))</f>
        <v>292.95981568144879</v>
      </c>
      <c r="DU13" s="57">
        <f t="shared" si="44"/>
        <v>152.23954167722536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7" t="e">
        <f t="shared" si="20"/>
        <v>#N/A</v>
      </c>
      <c r="EO13" s="57" t="e">
        <f ca="1">AVERAGE(OFFSET($EN$3,0,0,'Données projet'!$E$15+1,1))-AVERAGE(OFFSET($H$3,0,0,'Données projet'!$E$15+1,1))</f>
        <v>#N/A</v>
      </c>
      <c r="EP13" s="57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7" t="e">
        <f t="shared" si="23"/>
        <v>#N/A</v>
      </c>
      <c r="FJ13" s="57" t="e">
        <f ca="1">AVERAGE(OFFSET($FI$3,0,0,'Données projet'!$E$16+1,1))-AVERAGE(OFFSET($H$3,0,0,'Données projet'!$E$16+1,1))</f>
        <v>#N/A</v>
      </c>
      <c r="FK13" s="57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7" t="e">
        <f t="shared" si="26"/>
        <v>#N/A</v>
      </c>
      <c r="GE13" s="57" t="e">
        <f ca="1">AVERAGE(OFFSET($GD$3,0,0,'Données projet'!$E$17+1,1))-AVERAGE(OFFSET($H$3,0,0,'Données projet'!$E$17+1,1))</f>
        <v>#N/A</v>
      </c>
      <c r="GF13" s="57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7" t="e">
        <f t="shared" si="29"/>
        <v>#N/A</v>
      </c>
      <c r="GZ13" s="57" t="e">
        <f ca="1">AVERAGE(OFFSET($GY$3,0,0,'Données projet'!$E$18+1,1))-AVERAGE(OFFSET($H$3,0,0,'Données projet'!$E$18+1,1))</f>
        <v>#N/A</v>
      </c>
      <c r="HA13" s="57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1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5">
        <f t="shared" si="1"/>
        <v>256.66666666666669</v>
      </c>
      <c r="I14" s="6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7">
        <f t="shared" si="0"/>
        <v>286.94092810276993</v>
      </c>
      <c r="S14" s="57">
        <f ca="1">AVERAGE(OFFSET($R$3,0,0,'Données projet'!$E$9+1,1))-AVERAGE(OFFSET($H$3,0,0,'Données projet'!$E$9+1,1))</f>
        <v>373.45926089889866</v>
      </c>
      <c r="T14" s="57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7.4343250039466771</v>
      </c>
      <c r="AK14" s="13">
        <f t="shared" si="35"/>
        <v>2.712570862107007</v>
      </c>
      <c r="AL14" s="20">
        <f t="shared" si="4"/>
        <v>17.672510300043498</v>
      </c>
      <c r="AM14" s="57">
        <f t="shared" si="5"/>
        <v>287.78362141115463</v>
      </c>
      <c r="AN14" s="57">
        <f ca="1">AVERAGE(OFFSET($AM$3,0,0,'Données projet'!$E$10+1,1))-AVERAGE(OFFSET($H$3,0,0,'Données projet'!$E$10+1,1))</f>
        <v>390.70240761116355</v>
      </c>
      <c r="AO14" s="57">
        <f t="shared" si="36"/>
        <v>241.18285512887638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7.5561991843392455</v>
      </c>
      <c r="BF14" s="13">
        <f t="shared" si="37"/>
        <v>2.7518258561310041</v>
      </c>
      <c r="BG14" s="20">
        <f t="shared" si="7"/>
        <v>17.953143612152349</v>
      </c>
      <c r="BH14" s="57">
        <f t="shared" si="8"/>
        <v>288.0642547232635</v>
      </c>
      <c r="BI14" s="57">
        <f ca="1">AVERAGE(OFFSET($BH$3,0,0,'Données projet'!$E$11+1,1))-AVERAGE(OFFSET($H$3,0,0,'Données projet'!$E$11+1,1))</f>
        <v>396.44612884768748</v>
      </c>
      <c r="BJ14" s="57">
        <f t="shared" si="38"/>
        <v>244.451492444461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1.4873333333333332</v>
      </c>
      <c r="BY14" s="12">
        <f>IF('Données projet'!$A$114&gt;35,BY13+BX14-CG13,IF(A14&lt;'Données projet'!$A$114,$BV$205^A14,IF(A14='Données projet'!$A$114,'Données projet'!$B$114,BY13+BX14-CG13)))</f>
        <v>9.7476445660948237</v>
      </c>
      <c r="BZ14" s="13">
        <f>BY14*VLOOKUP('Données projet'!$B$12,Paramètres!$A$1:$I$89,3,0)*VLOOKUP('Données projet'!$B$12,Paramètres!$A$1:$I$89,5,0)</f>
        <v>5.8290914505247047</v>
      </c>
      <c r="CA14" s="13">
        <f t="shared" si="39"/>
        <v>2.1879479823643218</v>
      </c>
      <c r="CB14" s="20">
        <f t="shared" si="10"/>
        <v>13.963010345615054</v>
      </c>
      <c r="CC14" s="57">
        <f t="shared" si="11"/>
        <v>284.07412145672617</v>
      </c>
      <c r="CD14" s="57">
        <f ca="1">AVERAGE(OFFSET($CC$3,0,0,'Données projet'!$E$12+1,1))-AVERAGE(OFFSET($H$3,0,0,'Données projet'!$E$12+1,1))</f>
        <v>259.64096626089821</v>
      </c>
      <c r="CE14" s="57">
        <f t="shared" si="40"/>
        <v>258.1415293081597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2.1</v>
      </c>
      <c r="CT14" s="12">
        <f>IF('Données projet'!$A$140&gt;35,CT13+CS14-DB13,IF(A14&lt;'Données projet'!$A$140,$CQ$205^A14,IF(A14='Données projet'!$A$140,'Données projet'!$B$140,CT13+CS14-DB13)))</f>
        <v>7.8124474610620815</v>
      </c>
      <c r="CU14" s="17">
        <f>CT14*VLOOKUP('Données projet'!$B$13,Paramètres!$A$1:$I$89,3,0)*VLOOKUP('Données projet'!$B$13,Paramètres!$A$1:$I$89,5,0)</f>
        <v>8.4093184470872249</v>
      </c>
      <c r="CV14" s="13">
        <f t="shared" si="41"/>
        <v>3.0246192139792929</v>
      </c>
      <c r="CW14" s="20">
        <f t="shared" si="13"/>
        <v>19.914108093024186</v>
      </c>
      <c r="CX14" s="57">
        <f t="shared" si="14"/>
        <v>290.02521920413534</v>
      </c>
      <c r="CY14" s="57">
        <f ca="1">AVERAGE(OFFSET($CX$3,0,0,'Données projet'!$E$13+1,1))-AVERAGE(OFFSET($H$3,0,0,'Données projet'!$E$13+1,1))</f>
        <v>436.59978658837537</v>
      </c>
      <c r="CZ14" s="57">
        <f t="shared" si="42"/>
        <v>267.2998309535638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1.2</v>
      </c>
      <c r="DO14" s="12">
        <f>IF('Données projet'!$A$166&gt;35,DO13+DN14-DW13,IF(A14&lt;'Données projet'!$A$166,$DL$205^A14,IF(A14='Données projet'!$A$166,'Données projet'!$B$166,DO13+DN14-DW13)))</f>
        <v>4.4661504822319662</v>
      </c>
      <c r="DP14" s="17">
        <f>DO14*VLOOKUP('Données projet'!$B$14,Paramètres!$A$1:$I$89,3,0)*VLOOKUP('Données projet'!$B$14,Paramètres!$A$1:$I$89,5,0)</f>
        <v>4.2499887988919385</v>
      </c>
      <c r="DQ14" s="13">
        <f t="shared" si="43"/>
        <v>1.6549905263340952</v>
      </c>
      <c r="DR14" s="20">
        <f t="shared" si="16"/>
        <v>10.284505658102008</v>
      </c>
      <c r="DS14" s="57">
        <f t="shared" si="17"/>
        <v>280.39561676921318</v>
      </c>
      <c r="DT14" s="57">
        <f ca="1">AVERAGE(OFFSET($DS$3,0,0,'Données projet'!$E$14+1,1))-AVERAGE(OFFSET($H$3,0,0,'Données projet'!$E$14+1,1))</f>
        <v>292.95981568144879</v>
      </c>
      <c r="DU14" s="57">
        <f t="shared" si="44"/>
        <v>152.23954167722536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7" t="e">
        <f t="shared" si="20"/>
        <v>#N/A</v>
      </c>
      <c r="EO14" s="57" t="e">
        <f ca="1">AVERAGE(OFFSET($EN$3,0,0,'Données projet'!$E$15+1,1))-AVERAGE(OFFSET($H$3,0,0,'Données projet'!$E$15+1,1))</f>
        <v>#N/A</v>
      </c>
      <c r="EP14" s="57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7" t="e">
        <f t="shared" si="23"/>
        <v>#N/A</v>
      </c>
      <c r="FJ14" s="57" t="e">
        <f ca="1">AVERAGE(OFFSET($FI$3,0,0,'Données projet'!$E$16+1,1))-AVERAGE(OFFSET($H$3,0,0,'Données projet'!$E$16+1,1))</f>
        <v>#N/A</v>
      </c>
      <c r="FK14" s="57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7" t="e">
        <f t="shared" si="26"/>
        <v>#N/A</v>
      </c>
      <c r="GE14" s="57" t="e">
        <f ca="1">AVERAGE(OFFSET($GD$3,0,0,'Données projet'!$E$17+1,1))-AVERAGE(OFFSET($H$3,0,0,'Données projet'!$E$17+1,1))</f>
        <v>#N/A</v>
      </c>
      <c r="GF14" s="57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7" t="e">
        <f t="shared" si="29"/>
        <v>#N/A</v>
      </c>
      <c r="GZ14" s="57" t="e">
        <f ca="1">AVERAGE(OFFSET($GY$3,0,0,'Données projet'!$E$18+1,1))-AVERAGE(OFFSET($H$3,0,0,'Données projet'!$E$18+1,1))</f>
        <v>#N/A</v>
      </c>
      <c r="HA14" s="57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1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5">
        <f t="shared" si="1"/>
        <v>256.66666666666669</v>
      </c>
      <c r="I15" s="6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7">
        <f t="shared" si="0"/>
        <v>291.50424573777804</v>
      </c>
      <c r="S15" s="57">
        <f ca="1">AVERAGE(OFFSET($R$3,0,0,'Données projet'!$E$9+1,1))-AVERAGE(OFFSET($H$3,0,0,'Données projet'!$E$9+1,1))</f>
        <v>373.45926089889866</v>
      </c>
      <c r="T15" s="57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8.9619807680412578</v>
      </c>
      <c r="AK15" s="13">
        <f t="shared" si="35"/>
        <v>3.1996041100413177</v>
      </c>
      <c r="AL15" s="20">
        <f t="shared" si="4"/>
        <v>21.181426995993817</v>
      </c>
      <c r="AM15" s="57">
        <f t="shared" si="5"/>
        <v>292.51476032932715</v>
      </c>
      <c r="AN15" s="57">
        <f ca="1">AVERAGE(OFFSET($AM$3,0,0,'Données projet'!$E$10+1,1))-AVERAGE(OFFSET($H$3,0,0,'Données projet'!$E$10+1,1))</f>
        <v>390.70240761116355</v>
      </c>
      <c r="AO15" s="57">
        <f t="shared" si="36"/>
        <v>241.18285512887638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9.1088984855501316</v>
      </c>
      <c r="BF15" s="13">
        <f t="shared" si="37"/>
        <v>3.2459072101643005</v>
      </c>
      <c r="BG15" s="20">
        <f t="shared" si="7"/>
        <v>21.517953253369303</v>
      </c>
      <c r="BH15" s="57">
        <f t="shared" si="8"/>
        <v>292.8512865867026</v>
      </c>
      <c r="BI15" s="57">
        <f ca="1">AVERAGE(OFFSET($BH$3,0,0,'Données projet'!$E$11+1,1))-AVERAGE(OFFSET($H$3,0,0,'Données projet'!$E$11+1,1))</f>
        <v>396.44612884768748</v>
      </c>
      <c r="BJ15" s="57">
        <f t="shared" si="38"/>
        <v>244.451492444461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1.4873333333333332</v>
      </c>
      <c r="BY15" s="12">
        <f>IF('Données projet'!$A$114&gt;35,BY14+BX15-CG14,IF(A15&lt;'Données projet'!$A$114,$BV$205^A15,IF(A15='Données projet'!$A$114,'Données projet'!$B$114,BY14+BX15-CG14)))</f>
        <v>11.989460914335758</v>
      </c>
      <c r="BZ15" s="13">
        <f>BY15*VLOOKUP('Données projet'!$B$12,Paramètres!$A$1:$I$89,3,0)*VLOOKUP('Données projet'!$B$12,Paramètres!$A$1:$I$89,5,0)</f>
        <v>7.1696976267727841</v>
      </c>
      <c r="CA15" s="13">
        <f t="shared" si="39"/>
        <v>2.6270758209060645</v>
      </c>
      <c r="CB15" s="20">
        <f t="shared" si="10"/>
        <v>17.062713754707328</v>
      </c>
      <c r="CC15" s="57">
        <f t="shared" si="11"/>
        <v>288.39604708804063</v>
      </c>
      <c r="CD15" s="57">
        <f ca="1">AVERAGE(OFFSET($CC$3,0,0,'Données projet'!$E$12+1,1))-AVERAGE(OFFSET($H$3,0,0,'Données projet'!$E$12+1,1))</f>
        <v>259.64096626089821</v>
      </c>
      <c r="CE15" s="57">
        <f t="shared" si="40"/>
        <v>258.1415293081597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2.1</v>
      </c>
      <c r="CT15" s="12">
        <f>IF('Données projet'!$A$140&gt;35,CT14+CS15-DB14,IF(A15&lt;'Données projet'!$A$140,$CQ$205^A15,IF(A15='Données projet'!$A$140,'Données projet'!$B$140,CT14+CS15-DB14)))</f>
        <v>9.4178024044149407</v>
      </c>
      <c r="CU15" s="17">
        <f>CT15*VLOOKUP('Données projet'!$B$13,Paramètres!$A$1:$I$89,3,0)*VLOOKUP('Données projet'!$B$13,Paramètres!$A$1:$I$89,5,0)</f>
        <v>10.137322508112241</v>
      </c>
      <c r="CV15" s="13">
        <f t="shared" si="41"/>
        <v>3.5676797253661268</v>
      </c>
      <c r="CW15" s="20">
        <f t="shared" si="13"/>
        <v>23.869545556641487</v>
      </c>
      <c r="CX15" s="57">
        <f t="shared" si="14"/>
        <v>295.20287888997478</v>
      </c>
      <c r="CY15" s="57">
        <f ca="1">AVERAGE(OFFSET($CX$3,0,0,'Données projet'!$E$13+1,1))-AVERAGE(OFFSET($H$3,0,0,'Données projet'!$E$13+1,1))</f>
        <v>436.59978658837537</v>
      </c>
      <c r="CZ15" s="57">
        <f t="shared" si="42"/>
        <v>267.2998309535638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1.2</v>
      </c>
      <c r="DO15" s="12">
        <f>IF('Données projet'!$A$166&gt;35,DO14+DN15-DW14,IF(A15&lt;'Données projet'!$A$166,$DL$205^A15,IF(A15='Données projet'!$A$166,'Données projet'!$B$166,DO14+DN15-DW14)))</f>
        <v>5.1170328173444979</v>
      </c>
      <c r="DP15" s="17">
        <f>DO15*VLOOKUP('Données projet'!$B$14,Paramètres!$A$1:$I$89,3,0)*VLOOKUP('Données projet'!$B$14,Paramètres!$A$1:$I$89,5,0)</f>
        <v>4.8693684289850241</v>
      </c>
      <c r="DQ15" s="13">
        <f t="shared" si="43"/>
        <v>1.8663920922210482</v>
      </c>
      <c r="DR15" s="20">
        <f t="shared" si="16"/>
        <v>11.73144957443391</v>
      </c>
      <c r="DS15" s="57">
        <f t="shared" si="17"/>
        <v>283.06478290776721</v>
      </c>
      <c r="DT15" s="57">
        <f ca="1">AVERAGE(OFFSET($DS$3,0,0,'Données projet'!$E$14+1,1))-AVERAGE(OFFSET($H$3,0,0,'Données projet'!$E$14+1,1))</f>
        <v>292.95981568144879</v>
      </c>
      <c r="DU15" s="57">
        <f t="shared" si="44"/>
        <v>152.23954167722536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7" t="e">
        <f t="shared" si="20"/>
        <v>#N/A</v>
      </c>
      <c r="EO15" s="57" t="e">
        <f ca="1">AVERAGE(OFFSET($EN$3,0,0,'Données projet'!$E$15+1,1))-AVERAGE(OFFSET($H$3,0,0,'Données projet'!$E$15+1,1))</f>
        <v>#N/A</v>
      </c>
      <c r="EP15" s="57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7" t="e">
        <f t="shared" si="23"/>
        <v>#N/A</v>
      </c>
      <c r="FJ15" s="57" t="e">
        <f ca="1">AVERAGE(OFFSET($FI$3,0,0,'Données projet'!$E$16+1,1))-AVERAGE(OFFSET($H$3,0,0,'Données projet'!$E$16+1,1))</f>
        <v>#N/A</v>
      </c>
      <c r="FK15" s="57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7" t="e">
        <f t="shared" si="26"/>
        <v>#N/A</v>
      </c>
      <c r="GE15" s="57" t="e">
        <f ca="1">AVERAGE(OFFSET($GD$3,0,0,'Données projet'!$E$17+1,1))-AVERAGE(OFFSET($H$3,0,0,'Données projet'!$E$17+1,1))</f>
        <v>#N/A</v>
      </c>
      <c r="GF15" s="57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7" t="e">
        <f t="shared" si="29"/>
        <v>#N/A</v>
      </c>
      <c r="GZ15" s="57" t="e">
        <f ca="1">AVERAGE(OFFSET($GY$3,0,0,'Données projet'!$E$18+1,1))-AVERAGE(OFFSET($H$3,0,0,'Données projet'!$E$18+1,1))</f>
        <v>#N/A</v>
      </c>
      <c r="HA15" s="57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1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5">
        <f t="shared" si="1"/>
        <v>256.66666666666669</v>
      </c>
      <c r="I16" s="6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7">
        <f t="shared" si="0"/>
        <v>296.73306974060051</v>
      </c>
      <c r="S16" s="57">
        <f ca="1">AVERAGE(OFFSET($R$3,0,0,'Données projet'!$E$9+1,1))-AVERAGE(OFFSET($H$3,0,0,'Données projet'!$E$9+1,1))</f>
        <v>373.45926089889866</v>
      </c>
      <c r="T16" s="57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10.803549648973275</v>
      </c>
      <c r="AK16" s="13">
        <f t="shared" si="35"/>
        <v>3.77408258858951</v>
      </c>
      <c r="AL16" s="20">
        <f t="shared" si="4"/>
        <v>25.389376147088512</v>
      </c>
      <c r="AM16" s="57">
        <f t="shared" si="5"/>
        <v>297.94493170264406</v>
      </c>
      <c r="AN16" s="57">
        <f ca="1">AVERAGE(OFFSET($AM$3,0,0,'Données projet'!$E$10+1,1))-AVERAGE(OFFSET($H$3,0,0,'Données projet'!$E$10+1,1))</f>
        <v>390.70240761116355</v>
      </c>
      <c r="AO16" s="57">
        <f t="shared" si="36"/>
        <v>241.18285512887638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10.98065702026792</v>
      </c>
      <c r="BF16" s="13">
        <f t="shared" si="37"/>
        <v>3.8286992592655618</v>
      </c>
      <c r="BG16" s="20">
        <f t="shared" si="7"/>
        <v>25.792962186854144</v>
      </c>
      <c r="BH16" s="57">
        <f t="shared" si="8"/>
        <v>298.34851774240968</v>
      </c>
      <c r="BI16" s="57">
        <f ca="1">AVERAGE(OFFSET($BH$3,0,0,'Données projet'!$E$11+1,1))-AVERAGE(OFFSET($H$3,0,0,'Données projet'!$E$11+1,1))</f>
        <v>396.44612884768748</v>
      </c>
      <c r="BJ16" s="57">
        <f t="shared" si="38"/>
        <v>244.451492444461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1.4873333333333332</v>
      </c>
      <c r="BY16" s="12">
        <f>IF('Données projet'!$A$114&gt;35,BY15+BX16-CG15,IF(A16&lt;'Données projet'!$A$114,$BV$205^A16,IF(A16='Données projet'!$A$114,'Données projet'!$B$114,BY15+BX16-CG15)))</f>
        <v>14.746862387286853</v>
      </c>
      <c r="BZ16" s="13">
        <f>BY16*VLOOKUP('Données projet'!$B$12,Paramètres!$A$1:$I$89,3,0)*VLOOKUP('Données projet'!$B$12,Paramètres!$A$1:$I$89,5,0)</f>
        <v>8.8186237075975384</v>
      </c>
      <c r="CA16" s="13">
        <f t="shared" si="39"/>
        <v>3.1543379570347008</v>
      </c>
      <c r="CB16" s="20">
        <f t="shared" si="10"/>
        <v>20.852908232567817</v>
      </c>
      <c r="CC16" s="57">
        <f t="shared" si="11"/>
        <v>293.40846378812336</v>
      </c>
      <c r="CD16" s="57">
        <f ca="1">AVERAGE(OFFSET($CC$3,0,0,'Données projet'!$E$12+1,1))-AVERAGE(OFFSET($H$3,0,0,'Données projet'!$E$12+1,1))</f>
        <v>259.64096626089821</v>
      </c>
      <c r="CE16" s="57">
        <f t="shared" si="40"/>
        <v>258.1415293081597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2.1</v>
      </c>
      <c r="CT16" s="12">
        <f>IF('Données projet'!$A$140&gt;35,CT15+CS16-DB15,IF(A16&lt;'Données projet'!$A$140,$CQ$205^A16,IF(A16='Données projet'!$A$140,'Données projet'!$B$140,CT15+CS16-DB15)))</f>
        <v>11.35303662145153</v>
      </c>
      <c r="CU16" s="17">
        <f>CT16*VLOOKUP('Données projet'!$B$13,Paramètres!$A$1:$I$89,3,0)*VLOOKUP('Données projet'!$B$13,Paramètres!$A$1:$I$89,5,0)</f>
        <v>12.220408619330426</v>
      </c>
      <c r="CV16" s="13">
        <f t="shared" si="41"/>
        <v>4.2082449797185175</v>
      </c>
      <c r="CW16" s="20">
        <f t="shared" si="13"/>
        <v>28.613238351676909</v>
      </c>
      <c r="CX16" s="57">
        <f t="shared" si="14"/>
        <v>301.16879390723244</v>
      </c>
      <c r="CY16" s="57">
        <f ca="1">AVERAGE(OFFSET($CX$3,0,0,'Données projet'!$E$13+1,1))-AVERAGE(OFFSET($H$3,0,0,'Données projet'!$E$13+1,1))</f>
        <v>436.59978658837537</v>
      </c>
      <c r="CZ16" s="57">
        <f t="shared" si="42"/>
        <v>267.2998309535638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1.2</v>
      </c>
      <c r="DO16" s="12">
        <f>IF('Données projet'!$A$166&gt;35,DO15+DN16-DW15,IF(A16&lt;'Données projet'!$A$166,$DL$205^A16,IF(A16='Données projet'!$A$166,'Données projet'!$B$166,DO15+DN16-DW15)))</f>
        <v>5.8627726400958746</v>
      </c>
      <c r="DP16" s="17">
        <f>DO16*VLOOKUP('Données projet'!$B$14,Paramètres!$A$1:$I$89,3,0)*VLOOKUP('Données projet'!$B$14,Paramètres!$A$1:$I$89,5,0)</f>
        <v>5.5790144443152343</v>
      </c>
      <c r="DQ16" s="13">
        <f t="shared" si="43"/>
        <v>2.1047972096983822</v>
      </c>
      <c r="DR16" s="20">
        <f t="shared" si="16"/>
        <v>13.382638630740383</v>
      </c>
      <c r="DS16" s="57">
        <f t="shared" si="17"/>
        <v>285.9381941862959</v>
      </c>
      <c r="DT16" s="57">
        <f ca="1">AVERAGE(OFFSET($DS$3,0,0,'Données projet'!$E$14+1,1))-AVERAGE(OFFSET($H$3,0,0,'Données projet'!$E$14+1,1))</f>
        <v>292.95981568144879</v>
      </c>
      <c r="DU16" s="57">
        <f t="shared" si="44"/>
        <v>152.23954167722536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7" t="e">
        <f t="shared" si="20"/>
        <v>#N/A</v>
      </c>
      <c r="EO16" s="57" t="e">
        <f ca="1">AVERAGE(OFFSET($EN$3,0,0,'Données projet'!$E$15+1,1))-AVERAGE(OFFSET($H$3,0,0,'Données projet'!$E$15+1,1))</f>
        <v>#N/A</v>
      </c>
      <c r="EP16" s="57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7" t="e">
        <f t="shared" si="23"/>
        <v>#N/A</v>
      </c>
      <c r="FJ16" s="57" t="e">
        <f ca="1">AVERAGE(OFFSET($FI$3,0,0,'Données projet'!$E$16+1,1))-AVERAGE(OFFSET($H$3,0,0,'Données projet'!$E$16+1,1))</f>
        <v>#N/A</v>
      </c>
      <c r="FK16" s="57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7" t="e">
        <f t="shared" si="26"/>
        <v>#N/A</v>
      </c>
      <c r="GE16" s="57" t="e">
        <f ca="1">AVERAGE(OFFSET($GD$3,0,0,'Données projet'!$E$17+1,1))-AVERAGE(OFFSET($H$3,0,0,'Données projet'!$E$17+1,1))</f>
        <v>#N/A</v>
      </c>
      <c r="GF16" s="57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7" t="e">
        <f t="shared" si="29"/>
        <v>#N/A</v>
      </c>
      <c r="GZ16" s="57" t="e">
        <f ca="1">AVERAGE(OFFSET($GY$3,0,0,'Données projet'!$E$18+1,1))-AVERAGE(OFFSET($H$3,0,0,'Données projet'!$E$18+1,1))</f>
        <v>#N/A</v>
      </c>
      <c r="HA16" s="57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1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5">
        <f t="shared" si="1"/>
        <v>256.66666666666669</v>
      </c>
      <c r="I17" s="6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7">
        <f t="shared" si="0"/>
        <v>302.76037439017989</v>
      </c>
      <c r="S17" s="57">
        <f ca="1">AVERAGE(OFFSET($R$3,0,0,'Données projet'!$E$9+1,1))-AVERAGE(OFFSET($H$3,0,0,'Données projet'!$E$9+1,1))</f>
        <v>373.45926089889866</v>
      </c>
      <c r="T17" s="57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13.023536653196853</v>
      </c>
      <c r="AK17" s="13">
        <f t="shared" si="35"/>
        <v>4.4517068035990768</v>
      </c>
      <c r="AL17" s="20">
        <f t="shared" si="4"/>
        <v>30.436049020586243</v>
      </c>
      <c r="AM17" s="57">
        <f t="shared" si="5"/>
        <v>304.21382679836404</v>
      </c>
      <c r="AN17" s="57">
        <f ca="1">AVERAGE(OFFSET($AM$3,0,0,'Données projet'!$E$10+1,1))-AVERAGE(OFFSET($H$3,0,0,'Données projet'!$E$10+1,1))</f>
        <v>390.70240761116355</v>
      </c>
      <c r="AO17" s="57">
        <f t="shared" si="36"/>
        <v>241.18285512887638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13.237037254068934</v>
      </c>
      <c r="BF17" s="13">
        <f t="shared" si="37"/>
        <v>4.5161297192961545</v>
      </c>
      <c r="BG17" s="20">
        <f t="shared" si="7"/>
        <v>30.920099145277529</v>
      </c>
      <c r="BH17" s="57">
        <f t="shared" si="8"/>
        <v>304.69787692305528</v>
      </c>
      <c r="BI17" s="57">
        <f ca="1">AVERAGE(OFFSET($BH$3,0,0,'Données projet'!$E$11+1,1))-AVERAGE(OFFSET($H$3,0,0,'Données projet'!$E$11+1,1))</f>
        <v>396.44612884768748</v>
      </c>
      <c r="BJ17" s="57">
        <f t="shared" si="38"/>
        <v>244.451492444461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1.4873333333333332</v>
      </c>
      <c r="BY17" s="12">
        <f>IF('Données projet'!$A$114&gt;35,BY16+BX17-CG16,IF(A17&lt;'Données projet'!$A$114,$BV$205^A17,IF(A17='Données projet'!$A$114,'Données projet'!$B$114,BY16+BX17-CG16)))</f>
        <v>18.138426057967926</v>
      </c>
      <c r="BZ17" s="13">
        <f>BY17*VLOOKUP('Données projet'!$B$12,Paramètres!$A$1:$I$89,3,0)*VLOOKUP('Données projet'!$B$12,Paramètres!$A$1:$I$89,5,0)</f>
        <v>10.846778782664821</v>
      </c>
      <c r="CA17" s="13">
        <f t="shared" si="39"/>
        <v>3.7874232132965995</v>
      </c>
      <c r="CB17" s="20">
        <f t="shared" si="10"/>
        <v>25.487901809632802</v>
      </c>
      <c r="CC17" s="57">
        <f t="shared" si="11"/>
        <v>299.26567958741055</v>
      </c>
      <c r="CD17" s="57">
        <f ca="1">AVERAGE(OFFSET($CC$3,0,0,'Données projet'!$E$12+1,1))-AVERAGE(OFFSET($H$3,0,0,'Données projet'!$E$12+1,1))</f>
        <v>259.64096626089821</v>
      </c>
      <c r="CE17" s="57">
        <f t="shared" si="40"/>
        <v>258.1415293081597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2.1</v>
      </c>
      <c r="CT17" s="12">
        <f>IF('Données projet'!$A$140&gt;35,CT16+CS17-DB16,IF(A17&lt;'Données projet'!$A$140,$CQ$205^A17,IF(A17='Données projet'!$A$140,'Données projet'!$B$140,CT16+CS17-DB16)))</f>
        <v>13.685935953338433</v>
      </c>
      <c r="CU17" s="17">
        <f>CT17*VLOOKUP('Données projet'!$B$13,Paramètres!$A$1:$I$89,3,0)*VLOOKUP('Données projet'!$B$13,Paramètres!$A$1:$I$89,5,0)</f>
        <v>14.731541460173487</v>
      </c>
      <c r="CV17" s="13">
        <f t="shared" si="41"/>
        <v>4.9638216355053304</v>
      </c>
      <c r="CW17" s="20">
        <f t="shared" si="13"/>
        <v>34.302757391640604</v>
      </c>
      <c r="CX17" s="57">
        <f t="shared" si="14"/>
        <v>308.0805351694184</v>
      </c>
      <c r="CY17" s="57">
        <f ca="1">AVERAGE(OFFSET($CX$3,0,0,'Données projet'!$E$13+1,1))-AVERAGE(OFFSET($H$3,0,0,'Données projet'!$E$13+1,1))</f>
        <v>436.59978658837537</v>
      </c>
      <c r="CZ17" s="57">
        <f t="shared" si="42"/>
        <v>267.2998309535638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1.2</v>
      </c>
      <c r="DO17" s="12">
        <f>IF('Données projet'!$A$166&gt;35,DO16+DN17-DW16,IF(A17&lt;'Données projet'!$A$166,$DL$205^A17,IF(A17='Données projet'!$A$166,'Données projet'!$B$166,DO16+DN17-DW16)))</f>
        <v>6.7171941741218459</v>
      </c>
      <c r="DP17" s="17">
        <f>DO17*VLOOKUP('Données projet'!$B$14,Paramètres!$A$1:$I$89,3,0)*VLOOKUP('Données projet'!$B$14,Paramètres!$A$1:$I$89,5,0)</f>
        <v>6.3920819760943495</v>
      </c>
      <c r="DQ17" s="13">
        <f t="shared" si="43"/>
        <v>2.3736551994720978</v>
      </c>
      <c r="DR17" s="20">
        <f t="shared" si="16"/>
        <v>15.266992247444895</v>
      </c>
      <c r="DS17" s="57">
        <f t="shared" si="17"/>
        <v>289.04477002522265</v>
      </c>
      <c r="DT17" s="57">
        <f ca="1">AVERAGE(OFFSET($DS$3,0,0,'Données projet'!$E$14+1,1))-AVERAGE(OFFSET($H$3,0,0,'Données projet'!$E$14+1,1))</f>
        <v>292.95981568144879</v>
      </c>
      <c r="DU17" s="57">
        <f t="shared" si="44"/>
        <v>152.23954167722536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7" t="e">
        <f t="shared" si="20"/>
        <v>#N/A</v>
      </c>
      <c r="EO17" s="57" t="e">
        <f ca="1">AVERAGE(OFFSET($EN$3,0,0,'Données projet'!$E$15+1,1))-AVERAGE(OFFSET($H$3,0,0,'Données projet'!$E$15+1,1))</f>
        <v>#N/A</v>
      </c>
      <c r="EP17" s="57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7" t="e">
        <f t="shared" si="23"/>
        <v>#N/A</v>
      </c>
      <c r="FJ17" s="57" t="e">
        <f ca="1">AVERAGE(OFFSET($FI$3,0,0,'Données projet'!$E$16+1,1))-AVERAGE(OFFSET($H$3,0,0,'Données projet'!$E$16+1,1))</f>
        <v>#N/A</v>
      </c>
      <c r="FK17" s="57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7" t="e">
        <f t="shared" si="26"/>
        <v>#N/A</v>
      </c>
      <c r="GE17" s="57" t="e">
        <f ca="1">AVERAGE(OFFSET($GD$3,0,0,'Données projet'!$E$17+1,1))-AVERAGE(OFFSET($H$3,0,0,'Données projet'!$E$17+1,1))</f>
        <v>#N/A</v>
      </c>
      <c r="GF17" s="57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7" t="e">
        <f t="shared" si="29"/>
        <v>#N/A</v>
      </c>
      <c r="GZ17" s="57" t="e">
        <f ca="1">AVERAGE(OFFSET($GY$3,0,0,'Données projet'!$E$18+1,1))-AVERAGE(OFFSET($H$3,0,0,'Données projet'!$E$18+1,1))</f>
        <v>#N/A</v>
      </c>
      <c r="HA17" s="57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1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5">
        <f t="shared" si="1"/>
        <v>256.66666666666669</v>
      </c>
      <c r="I18" s="6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7">
        <f t="shared" si="0"/>
        <v>309.74578000827665</v>
      </c>
      <c r="S18" s="57">
        <f ca="1">AVERAGE(OFFSET($R$3,0,0,'Données projet'!$E$9+1,1))-AVERAGE(OFFSET($H$3,0,0,'Données projet'!$E$9+1,1))</f>
        <v>373.45926089889866</v>
      </c>
      <c r="T18" s="57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15.699701715471004</v>
      </c>
      <c r="AK18" s="13">
        <f t="shared" si="35"/>
        <v>5.250996235516082</v>
      </c>
      <c r="AL18" s="20">
        <f t="shared" si="4"/>
        <v>36.489132264635835</v>
      </c>
      <c r="AM18" s="57">
        <f t="shared" si="5"/>
        <v>311.48913226463583</v>
      </c>
      <c r="AN18" s="57">
        <f ca="1">AVERAGE(OFFSET($AM$3,0,0,'Données projet'!$E$10+1,1))-AVERAGE(OFFSET($H$3,0,0,'Données projet'!$E$10+1,1))</f>
        <v>390.70240761116355</v>
      </c>
      <c r="AO18" s="57">
        <f t="shared" si="36"/>
        <v>241.18285512887638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15.957073874741019</v>
      </c>
      <c r="BF18" s="13">
        <f t="shared" si="37"/>
        <v>5.3269860755326848</v>
      </c>
      <c r="BG18" s="20">
        <f t="shared" si="7"/>
        <v>37.069737746726702</v>
      </c>
      <c r="BH18" s="57">
        <f t="shared" si="8"/>
        <v>312.06973774672667</v>
      </c>
      <c r="BI18" s="57">
        <f ca="1">AVERAGE(OFFSET($BH$3,0,0,'Données projet'!$E$11+1,1))-AVERAGE(OFFSET($H$3,0,0,'Données projet'!$E$11+1,1))</f>
        <v>396.44612884768748</v>
      </c>
      <c r="BJ18" s="57">
        <f t="shared" si="38"/>
        <v>244.451492444461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22.31</v>
      </c>
      <c r="BW18" s="12">
        <f>VLOOKUP(A18,'Données projet'!$A$113:$I$133,9,0)</f>
        <v>1.4873333333333332</v>
      </c>
      <c r="BX18" s="12">
        <f t="array" ref="BX18">INDEX(BW:BW,MIN(IF(ISNUMBER(BW18:BW214),ROW(BW18:BW214),"")))</f>
        <v>1.4873333333333332</v>
      </c>
      <c r="BY18" s="12">
        <f>IF('Données projet'!$A$114&gt;35,BY17+BX18-CG17,IF(A18&lt;'Données projet'!$A$114,$BV$205^A18,IF(A18='Données projet'!$A$114,'Données projet'!$B$114,BY17+BX18-CG17)))</f>
        <v>22.31</v>
      </c>
      <c r="BZ18" s="13">
        <f>BY18*VLOOKUP('Données projet'!$B$12,Paramètres!$A$1:$I$89,3,0)*VLOOKUP('Données projet'!$B$12,Paramètres!$A$1:$I$89,5,0)</f>
        <v>13.341379999999999</v>
      </c>
      <c r="CA18" s="13">
        <f t="shared" si="39"/>
        <v>4.5475706129164548</v>
      </c>
      <c r="CB18" s="20">
        <f t="shared" si="10"/>
        <v>31.15658898416282</v>
      </c>
      <c r="CC18" s="57">
        <f t="shared" si="11"/>
        <v>306.15658898416279</v>
      </c>
      <c r="CD18" s="57">
        <f ca="1">AVERAGE(OFFSET($CC$3,0,0,'Données projet'!$E$12+1,1))-AVERAGE(OFFSET($H$3,0,0,'Données projet'!$E$12+1,1))</f>
        <v>259.64096626089821</v>
      </c>
      <c r="CE18" s="57">
        <f t="shared" si="40"/>
        <v>258.1415293081597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0.25200000000000006</v>
      </c>
      <c r="CJ18" s="16">
        <f>IF(ISNA(VLOOKUP(A18,'Données projet'!$A$113:$I$133,7,0)),0%,VLOOKUP(A18,'Données projet'!$A$113:$I$133,7,0))</f>
        <v>0.44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2.1</v>
      </c>
      <c r="CT18" s="12">
        <f>IF('Données projet'!$A$140&gt;35,CT17+CS18-DB17,IF(A18&lt;'Données projet'!$A$140,$CQ$205^A18,IF(A18='Données projet'!$A$140,'Données projet'!$B$140,CT17+CS18-DB17)))</f>
        <v>16.498215337821566</v>
      </c>
      <c r="CU18" s="17">
        <f>CT18*VLOOKUP('Données projet'!$B$13,Paramètres!$A$1:$I$89,3,0)*VLOOKUP('Données projet'!$B$13,Paramètres!$A$1:$I$89,5,0)</f>
        <v>17.758678989631132</v>
      </c>
      <c r="CV18" s="13">
        <f t="shared" si="41"/>
        <v>5.8550596146042126</v>
      </c>
      <c r="CW18" s="20">
        <f t="shared" si="13"/>
        <v>41.127261402376554</v>
      </c>
      <c r="CX18" s="57">
        <f t="shared" si="14"/>
        <v>316.12726140237658</v>
      </c>
      <c r="CY18" s="57">
        <f ca="1">AVERAGE(OFFSET($CX$3,0,0,'Données projet'!$E$13+1,1))-AVERAGE(OFFSET($H$3,0,0,'Données projet'!$E$13+1,1))</f>
        <v>436.59978658837537</v>
      </c>
      <c r="CZ18" s="57">
        <f t="shared" si="42"/>
        <v>267.2998309535638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1.2</v>
      </c>
      <c r="DO18" s="12">
        <f>IF('Données projet'!$A$166&gt;35,DO17+DN18-DW17,IF(A18&lt;'Données projet'!$A$166,$DL$205^A18,IF(A18='Données projet'!$A$166,'Données projet'!$B$166,DO17+DN18-DW17)))</f>
        <v>7.6961363407260848</v>
      </c>
      <c r="DP18" s="17">
        <f>DO18*VLOOKUP('Données projet'!$B$14,Paramètres!$A$1:$I$89,3,0)*VLOOKUP('Données projet'!$B$14,Paramètres!$A$1:$I$89,5,0)</f>
        <v>7.3236433418349414</v>
      </c>
      <c r="DQ18" s="13">
        <f t="shared" si="43"/>
        <v>2.6768559840443293</v>
      </c>
      <c r="DR18" s="20">
        <f t="shared" si="16"/>
        <v>17.417536325906397</v>
      </c>
      <c r="DS18" s="57">
        <f t="shared" si="17"/>
        <v>292.41753632590638</v>
      </c>
      <c r="DT18" s="57">
        <f ca="1">AVERAGE(OFFSET($DS$3,0,0,'Données projet'!$E$14+1,1))-AVERAGE(OFFSET($H$3,0,0,'Données projet'!$E$14+1,1))</f>
        <v>292.95981568144879</v>
      </c>
      <c r="DU18" s="57">
        <f t="shared" si="44"/>
        <v>152.23954167722536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7" t="e">
        <f t="shared" si="20"/>
        <v>#N/A</v>
      </c>
      <c r="EO18" s="57" t="e">
        <f ca="1">AVERAGE(OFFSET($EN$3,0,0,'Données projet'!$E$15+1,1))-AVERAGE(OFFSET($H$3,0,0,'Données projet'!$E$15+1,1))</f>
        <v>#N/A</v>
      </c>
      <c r="EP18" s="57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7" t="e">
        <f t="shared" si="23"/>
        <v>#N/A</v>
      </c>
      <c r="FJ18" s="57" t="e">
        <f ca="1">AVERAGE(OFFSET($FI$3,0,0,'Données projet'!$E$16+1,1))-AVERAGE(OFFSET($H$3,0,0,'Données projet'!$E$16+1,1))</f>
        <v>#N/A</v>
      </c>
      <c r="FK18" s="57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7" t="e">
        <f t="shared" si="26"/>
        <v>#N/A</v>
      </c>
      <c r="GE18" s="57" t="e">
        <f ca="1">AVERAGE(OFFSET($GD$3,0,0,'Données projet'!$E$17+1,1))-AVERAGE(OFFSET($H$3,0,0,'Données projet'!$E$17+1,1))</f>
        <v>#N/A</v>
      </c>
      <c r="GF18" s="57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7" t="e">
        <f t="shared" si="29"/>
        <v>#N/A</v>
      </c>
      <c r="GZ18" s="57" t="e">
        <f ca="1">AVERAGE(OFFSET($GY$3,0,0,'Données projet'!$E$18+1,1))-AVERAGE(OFFSET($H$3,0,0,'Données projet'!$E$18+1,1))</f>
        <v>#N/A</v>
      </c>
      <c r="HA18" s="57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1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5">
        <f t="shared" si="1"/>
        <v>256.66666666666669</v>
      </c>
      <c r="I19" s="6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7">
        <f t="shared" si="0"/>
        <v>317.88090656215792</v>
      </c>
      <c r="S19" s="57">
        <f ca="1">AVERAGE(OFFSET($R$3,0,0,'Données projet'!$E$9+1,1))-AVERAGE(OFFSET($H$3,0,0,'Données projet'!$E$9+1,1))</f>
        <v>373.45926089889866</v>
      </c>
      <c r="T19" s="57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18.925783411855349</v>
      </c>
      <c r="AK19" s="13">
        <f t="shared" si="35"/>
        <v>6.193795477076816</v>
      </c>
      <c r="AL19" s="20">
        <f t="shared" si="4"/>
        <v>43.749933231556845</v>
      </c>
      <c r="AM19" s="57">
        <f t="shared" si="5"/>
        <v>319.97215545377907</v>
      </c>
      <c r="AN19" s="57">
        <f ca="1">AVERAGE(OFFSET($AM$3,0,0,'Données projet'!$E$10+1,1))-AVERAGE(OFFSET($H$3,0,0,'Données projet'!$E$10+1,1))</f>
        <v>390.70240761116355</v>
      </c>
      <c r="AO19" s="57">
        <f t="shared" si="36"/>
        <v>241.18285512887638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19.236042156311996</v>
      </c>
      <c r="BF19" s="13">
        <f t="shared" si="37"/>
        <v>6.2834290449348904</v>
      </c>
      <c r="BG19" s="20">
        <f t="shared" si="7"/>
        <v>44.446412342171662</v>
      </c>
      <c r="BH19" s="57">
        <f t="shared" si="8"/>
        <v>320.66863456439387</v>
      </c>
      <c r="BI19" s="57">
        <f ca="1">AVERAGE(OFFSET($BH$3,0,0,'Données projet'!$E$11+1,1))-AVERAGE(OFFSET($H$3,0,0,'Données projet'!$E$11+1,1))</f>
        <v>396.44612884768748</v>
      </c>
      <c r="BJ19" s="57">
        <f t="shared" si="38"/>
        <v>244.451492444461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14.6</v>
      </c>
      <c r="BY19" s="12">
        <f>IF('Données projet'!$A$114&gt;35,BY18+BX19-CG18,IF(A19&lt;'Données projet'!$A$114,$BV$205^A19,IF(A19='Données projet'!$A$114,'Données projet'!$B$114,BY18+BX19-CG18)))</f>
        <v>36.909999999999997</v>
      </c>
      <c r="BZ19" s="13">
        <f>BY19*VLOOKUP('Données projet'!$B$12,Paramètres!$A$1:$I$89,3,0)*VLOOKUP('Données projet'!$B$12,Paramètres!$A$1:$I$89,5,0)</f>
        <v>22.072179999999999</v>
      </c>
      <c r="CA19" s="13">
        <f t="shared" si="39"/>
        <v>7.0953481398169345</v>
      </c>
      <c r="CB19" s="20">
        <f t="shared" si="10"/>
        <v>50.800111510181161</v>
      </c>
      <c r="CC19" s="57">
        <f t="shared" si="11"/>
        <v>327.02233373240341</v>
      </c>
      <c r="CD19" s="57">
        <f ca="1">AVERAGE(OFFSET($CC$3,0,0,'Données projet'!$E$12+1,1))-AVERAGE(OFFSET($H$3,0,0,'Données projet'!$E$12+1,1))</f>
        <v>259.64096626089821</v>
      </c>
      <c r="CE19" s="57">
        <f t="shared" si="40"/>
        <v>258.1415293081597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2.1</v>
      </c>
      <c r="CT19" s="12">
        <f>IF('Données projet'!$A$140&gt;35,CT18+CS19-DB18,IF(A19&lt;'Données projet'!$A$140,$CQ$205^A19,IF(A19='Données projet'!$A$140,'Données projet'!$B$140,CT18+CS19-DB18)))</f>
        <v>19.888381054913147</v>
      </c>
      <c r="CU19" s="17">
        <f>CT19*VLOOKUP('Données projet'!$B$13,Paramètres!$A$1:$I$89,3,0)*VLOOKUP('Données projet'!$B$13,Paramètres!$A$1:$I$89,5,0)</f>
        <v>21.407853367508512</v>
      </c>
      <c r="CV19" s="13">
        <f t="shared" si="41"/>
        <v>6.906316464991046</v>
      </c>
      <c r="CW19" s="20">
        <f t="shared" si="13"/>
        <v>49.313845791603399</v>
      </c>
      <c r="CX19" s="57">
        <f t="shared" si="14"/>
        <v>325.53606801382563</v>
      </c>
      <c r="CY19" s="57">
        <f ca="1">AVERAGE(OFFSET($CX$3,0,0,'Données projet'!$E$13+1,1))-AVERAGE(OFFSET($H$3,0,0,'Données projet'!$E$13+1,1))</f>
        <v>436.59978658837537</v>
      </c>
      <c r="CZ19" s="57">
        <f t="shared" si="42"/>
        <v>267.2998309535638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1.2</v>
      </c>
      <c r="DO19" s="12">
        <f>IF('Données projet'!$A$166&gt;35,DO18+DN19-DW18,IF(A19&lt;'Données projet'!$A$166,$DL$205^A19,IF(A19='Données projet'!$A$166,'Données projet'!$B$166,DO18+DN19-DW18)))</f>
        <v>8.8177463744060987</v>
      </c>
      <c r="DP19" s="17">
        <f>DO19*VLOOKUP('Données projet'!$B$14,Paramètres!$A$1:$I$89,3,0)*VLOOKUP('Données projet'!$B$14,Paramètres!$A$1:$I$89,5,0)</f>
        <v>8.3909674498848439</v>
      </c>
      <c r="DQ19" s="13">
        <f t="shared" si="43"/>
        <v>3.0187863683434557</v>
      </c>
      <c r="DR19" s="20">
        <f t="shared" si="16"/>
        <v>19.871987900080956</v>
      </c>
      <c r="DS19" s="57">
        <f t="shared" si="17"/>
        <v>296.0942101223032</v>
      </c>
      <c r="DT19" s="57">
        <f ca="1">AVERAGE(OFFSET($DS$3,0,0,'Données projet'!$E$14+1,1))-AVERAGE(OFFSET($H$3,0,0,'Données projet'!$E$14+1,1))</f>
        <v>292.95981568144879</v>
      </c>
      <c r="DU19" s="57">
        <f t="shared" si="44"/>
        <v>152.23954167722536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7" t="e">
        <f t="shared" si="20"/>
        <v>#N/A</v>
      </c>
      <c r="EO19" s="57" t="e">
        <f ca="1">AVERAGE(OFFSET($EN$3,0,0,'Données projet'!$E$15+1,1))-AVERAGE(OFFSET($H$3,0,0,'Données projet'!$E$15+1,1))</f>
        <v>#N/A</v>
      </c>
      <c r="EP19" s="57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7" t="e">
        <f t="shared" si="23"/>
        <v>#N/A</v>
      </c>
      <c r="FJ19" s="57" t="e">
        <f ca="1">AVERAGE(OFFSET($FI$3,0,0,'Données projet'!$E$16+1,1))-AVERAGE(OFFSET($H$3,0,0,'Données projet'!$E$16+1,1))</f>
        <v>#N/A</v>
      </c>
      <c r="FK19" s="57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7" t="e">
        <f t="shared" si="26"/>
        <v>#N/A</v>
      </c>
      <c r="GE19" s="57" t="e">
        <f ca="1">AVERAGE(OFFSET($GD$3,0,0,'Données projet'!$E$17+1,1))-AVERAGE(OFFSET($H$3,0,0,'Données projet'!$E$17+1,1))</f>
        <v>#N/A</v>
      </c>
      <c r="GF19" s="57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7" t="e">
        <f t="shared" si="29"/>
        <v>#N/A</v>
      </c>
      <c r="GZ19" s="57" t="e">
        <f ca="1">AVERAGE(OFFSET($GY$3,0,0,'Données projet'!$E$18+1,1))-AVERAGE(OFFSET($H$3,0,0,'Données projet'!$E$18+1,1))</f>
        <v>#N/A</v>
      </c>
      <c r="HA19" s="57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1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5">
        <f t="shared" si="1"/>
        <v>256.66666666666669</v>
      </c>
      <c r="I20" s="6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7">
        <f t="shared" si="0"/>
        <v>327.39580549186149</v>
      </c>
      <c r="S20" s="57">
        <f ca="1">AVERAGE(OFFSET($R$3,0,0,'Données projet'!$E$9+1,1))-AVERAGE(OFFSET($H$3,0,0,'Données projet'!$E$9+1,1))</f>
        <v>373.45926089889866</v>
      </c>
      <c r="T20" s="57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22.814782359813346</v>
      </c>
      <c r="AK20" s="13">
        <f t="shared" si="35"/>
        <v>7.3058712463706073</v>
      </c>
      <c r="AL20" s="20">
        <f t="shared" si="4"/>
        <v>52.46013836410372</v>
      </c>
      <c r="AM20" s="57">
        <f t="shared" si="5"/>
        <v>329.90458280854818</v>
      </c>
      <c r="AN20" s="57">
        <f ca="1">AVERAGE(OFFSET($AM$3,0,0,'Données projet'!$E$10+1,1))-AVERAGE(OFFSET($H$3,0,0,'Données projet'!$E$10+1,1))</f>
        <v>390.70240761116355</v>
      </c>
      <c r="AO20" s="57">
        <f t="shared" si="36"/>
        <v>241.18285512887638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23.188795185384055</v>
      </c>
      <c r="BF20" s="13">
        <f t="shared" si="37"/>
        <v>7.4115982288884323</v>
      </c>
      <c r="BG20" s="20">
        <f t="shared" si="7"/>
        <v>53.29568519652458</v>
      </c>
      <c r="BH20" s="57">
        <f t="shared" si="8"/>
        <v>330.74012964096903</v>
      </c>
      <c r="BI20" s="57">
        <f ca="1">AVERAGE(OFFSET($BH$3,0,0,'Données projet'!$E$11+1,1))-AVERAGE(OFFSET($H$3,0,0,'Données projet'!$E$11+1,1))</f>
        <v>396.44612884768748</v>
      </c>
      <c r="BJ20" s="57">
        <f t="shared" si="38"/>
        <v>244.451492444461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14.6</v>
      </c>
      <c r="BY20" s="12">
        <f>IF('Données projet'!$A$114&gt;35,BY19+BX20-CG19,IF(A20&lt;'Données projet'!$A$114,$BV$205^A20,IF(A20='Données projet'!$A$114,'Données projet'!$B$114,BY19+BX20-CG19)))</f>
        <v>51.51</v>
      </c>
      <c r="BZ20" s="13">
        <f>BY20*VLOOKUP('Données projet'!$B$12,Paramètres!$A$1:$I$89,3,0)*VLOOKUP('Données projet'!$B$12,Paramètres!$A$1:$I$89,5,0)</f>
        <v>30.802980000000002</v>
      </c>
      <c r="CA20" s="13">
        <f t="shared" si="39"/>
        <v>9.5251671279398504</v>
      </c>
      <c r="CB20" s="20">
        <f t="shared" si="10"/>
        <v>70.238189581161905</v>
      </c>
      <c r="CC20" s="57">
        <f t="shared" si="11"/>
        <v>347.68263402560638</v>
      </c>
      <c r="CD20" s="57">
        <f ca="1">AVERAGE(OFFSET($CC$3,0,0,'Données projet'!$E$12+1,1))-AVERAGE(OFFSET($H$3,0,0,'Données projet'!$E$12+1,1))</f>
        <v>259.64096626089821</v>
      </c>
      <c r="CE20" s="57">
        <f t="shared" si="40"/>
        <v>258.1415293081597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2.1</v>
      </c>
      <c r="CT20" s="12">
        <f>IF('Données projet'!$A$140&gt;35,CT19+CS20-DB19,IF(A20&lt;'Données projet'!$A$140,$CQ$205^A20,IF(A20='Données projet'!$A$140,'Données projet'!$B$140,CT19+CS20-DB19)))</f>
        <v>23.975181126327602</v>
      </c>
      <c r="CU20" s="17">
        <f>CT20*VLOOKUP('Données projet'!$B$13,Paramètres!$A$1:$I$89,3,0)*VLOOKUP('Données projet'!$B$13,Paramètres!$A$1:$I$89,5,0)</f>
        <v>25.80688496437903</v>
      </c>
      <c r="CV20" s="13">
        <f t="shared" si="41"/>
        <v>8.146323052908933</v>
      </c>
      <c r="CW20" s="20">
        <f t="shared" si="13"/>
        <v>59.135170630109862</v>
      </c>
      <c r="CX20" s="57">
        <f t="shared" si="14"/>
        <v>336.57961507455434</v>
      </c>
      <c r="CY20" s="57">
        <f ca="1">AVERAGE(OFFSET($CX$3,0,0,'Données projet'!$E$13+1,1))-AVERAGE(OFFSET($H$3,0,0,'Données projet'!$E$13+1,1))</f>
        <v>436.59978658837537</v>
      </c>
      <c r="CZ20" s="57">
        <f t="shared" si="42"/>
        <v>267.2998309535638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1.2</v>
      </c>
      <c r="DO20" s="12">
        <f>IF('Données projet'!$A$166&gt;35,DO19+DN20-DW19,IF(A20&lt;'Données projet'!$A$166,$DL$205^A20,IF(A20='Données projet'!$A$166,'Données projet'!$B$166,DO19+DN20-DW19)))</f>
        <v>10.102816228956828</v>
      </c>
      <c r="DP20" s="17">
        <f>DO20*VLOOKUP('Données projet'!$B$14,Paramètres!$A$1:$I$89,3,0)*VLOOKUP('Données projet'!$B$14,Paramètres!$A$1:$I$89,5,0)</f>
        <v>9.6138399234753162</v>
      </c>
      <c r="DQ20" s="13">
        <f t="shared" si="43"/>
        <v>3.404393509406427</v>
      </c>
      <c r="DR20" s="20">
        <f t="shared" si="16"/>
        <v>22.6734232289357</v>
      </c>
      <c r="DS20" s="57">
        <f t="shared" si="17"/>
        <v>300.11786767338015</v>
      </c>
      <c r="DT20" s="57">
        <f ca="1">AVERAGE(OFFSET($DS$3,0,0,'Données projet'!$E$14+1,1))-AVERAGE(OFFSET($H$3,0,0,'Données projet'!$E$14+1,1))</f>
        <v>292.95981568144879</v>
      </c>
      <c r="DU20" s="57">
        <f t="shared" si="44"/>
        <v>152.23954167722536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7" t="e">
        <f t="shared" si="20"/>
        <v>#N/A</v>
      </c>
      <c r="EO20" s="57" t="e">
        <f ca="1">AVERAGE(OFFSET($EN$3,0,0,'Données projet'!$E$15+1,1))-AVERAGE(OFFSET($H$3,0,0,'Données projet'!$E$15+1,1))</f>
        <v>#N/A</v>
      </c>
      <c r="EP20" s="57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7" t="e">
        <f t="shared" si="23"/>
        <v>#N/A</v>
      </c>
      <c r="FJ20" s="57" t="e">
        <f ca="1">AVERAGE(OFFSET($FI$3,0,0,'Données projet'!$E$16+1,1))-AVERAGE(OFFSET($H$3,0,0,'Données projet'!$E$16+1,1))</f>
        <v>#N/A</v>
      </c>
      <c r="FK20" s="57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7" t="e">
        <f t="shared" si="26"/>
        <v>#N/A</v>
      </c>
      <c r="GE20" s="57" t="e">
        <f ca="1">AVERAGE(OFFSET($GD$3,0,0,'Données projet'!$E$17+1,1))-AVERAGE(OFFSET($H$3,0,0,'Données projet'!$E$17+1,1))</f>
        <v>#N/A</v>
      </c>
      <c r="GF20" s="57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7" t="e">
        <f t="shared" si="29"/>
        <v>#N/A</v>
      </c>
      <c r="GZ20" s="57" t="e">
        <f ca="1">AVERAGE(OFFSET($GY$3,0,0,'Données projet'!$E$18+1,1))-AVERAGE(OFFSET($H$3,0,0,'Données projet'!$E$18+1,1))</f>
        <v>#N/A</v>
      </c>
      <c r="HA20" s="57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1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5">
        <f t="shared" si="1"/>
        <v>256.66666666666669</v>
      </c>
      <c r="I21" s="6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7">
        <f t="shared" si="0"/>
        <v>338.56668739624723</v>
      </c>
      <c r="S21" s="57">
        <f ca="1">AVERAGE(OFFSET($R$3,0,0,'Données projet'!$E$9+1,1))-AVERAGE(OFFSET($H$3,0,0,'Données projet'!$E$9+1,1))</f>
        <v>373.45926089889866</v>
      </c>
      <c r="T21" s="57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27.502919313743888</v>
      </c>
      <c r="AK21" s="13">
        <f t="shared" si="35"/>
        <v>8.6176165916501422</v>
      </c>
      <c r="AL21" s="20">
        <f t="shared" si="4"/>
        <v>62.909933368561269</v>
      </c>
      <c r="AM21" s="57">
        <f t="shared" si="5"/>
        <v>341.57660003522795</v>
      </c>
      <c r="AN21" s="57">
        <f ca="1">AVERAGE(OFFSET($AM$3,0,0,'Données projet'!$E$10+1,1))-AVERAGE(OFFSET($H$3,0,0,'Données projet'!$E$10+1,1))</f>
        <v>390.70240761116355</v>
      </c>
      <c r="AO21" s="57">
        <f t="shared" si="36"/>
        <v>241.18285512887638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27.953786843477392</v>
      </c>
      <c r="BF21" s="13">
        <f t="shared" si="37"/>
        <v>8.7423265089215931</v>
      </c>
      <c r="BG21" s="20">
        <f t="shared" si="7"/>
        <v>63.912397422094891</v>
      </c>
      <c r="BH21" s="57">
        <f t="shared" si="8"/>
        <v>342.57906408876158</v>
      </c>
      <c r="BI21" s="57">
        <f ca="1">AVERAGE(OFFSET($BH$3,0,0,'Données projet'!$E$11+1,1))-AVERAGE(OFFSET($H$3,0,0,'Données projet'!$E$11+1,1))</f>
        <v>396.44612884768748</v>
      </c>
      <c r="BJ21" s="57">
        <f t="shared" si="38"/>
        <v>244.451492444461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14.6</v>
      </c>
      <c r="BY21" s="12">
        <f>IF('Données projet'!$A$114&gt;35,BY20+BX21-CG20,IF(A21&lt;'Données projet'!$A$114,$BV$205^A21,IF(A21='Données projet'!$A$114,'Données projet'!$B$114,BY20+BX21-CG20)))</f>
        <v>66.11</v>
      </c>
      <c r="BZ21" s="13">
        <f>BY21*VLOOKUP('Données projet'!$B$12,Paramètres!$A$1:$I$89,3,0)*VLOOKUP('Données projet'!$B$12,Paramètres!$A$1:$I$89,5,0)</f>
        <v>39.533780000000007</v>
      </c>
      <c r="CA21" s="13">
        <f t="shared" si="39"/>
        <v>11.874991053643528</v>
      </c>
      <c r="CB21" s="20">
        <f t="shared" si="10"/>
        <v>89.536942918429148</v>
      </c>
      <c r="CC21" s="57">
        <f t="shared" si="11"/>
        <v>368.20360958509582</v>
      </c>
      <c r="CD21" s="57">
        <f ca="1">AVERAGE(OFFSET($CC$3,0,0,'Données projet'!$E$12+1,1))-AVERAGE(OFFSET($H$3,0,0,'Données projet'!$E$12+1,1))</f>
        <v>259.64096626089821</v>
      </c>
      <c r="CE21" s="57">
        <f t="shared" si="40"/>
        <v>258.1415293081597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2.1</v>
      </c>
      <c r="CT21" s="12">
        <f>IF('Données projet'!$A$140&gt;35,CT20+CS21-DB20,IF(A21&lt;'Données projet'!$A$140,$CQ$205^A21,IF(A21='Données projet'!$A$140,'Données projet'!$B$140,CT20+CS21-DB20)))</f>
        <v>28.901764726506816</v>
      </c>
      <c r="CU21" s="17">
        <f>CT21*VLOOKUP('Données projet'!$B$13,Paramètres!$A$1:$I$89,3,0)*VLOOKUP('Données projet'!$B$13,Paramètres!$A$1:$I$89,5,0)</f>
        <v>31.109859551611933</v>
      </c>
      <c r="CV21" s="13">
        <f t="shared" si="41"/>
        <v>9.6089687778941872</v>
      </c>
      <c r="CW21" s="20">
        <f t="shared" si="13"/>
        <v>70.918626007223153</v>
      </c>
      <c r="CX21" s="57">
        <f t="shared" si="14"/>
        <v>349.58529267388985</v>
      </c>
      <c r="CY21" s="57">
        <f ca="1">AVERAGE(OFFSET($CX$3,0,0,'Données projet'!$E$13+1,1))-AVERAGE(OFFSET($H$3,0,0,'Données projet'!$E$13+1,1))</f>
        <v>436.59978658837537</v>
      </c>
      <c r="CZ21" s="57">
        <f t="shared" si="42"/>
        <v>267.2998309535638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1.2</v>
      </c>
      <c r="DO21" s="12">
        <f>IF('Données projet'!$A$166&gt;35,DO20+DN21-DW20,IF(A21&lt;'Données projet'!$A$166,$DL$205^A21,IF(A21='Données projet'!$A$166,'Données projet'!$B$166,DO20+DN21-DW20)))</f>
        <v>11.575168010312384</v>
      </c>
      <c r="DP21" s="17">
        <f>DO21*VLOOKUP('Données projet'!$B$14,Paramètres!$A$1:$I$89,3,0)*VLOOKUP('Données projet'!$B$14,Paramètres!$A$1:$I$89,5,0)</f>
        <v>11.014929878613264</v>
      </c>
      <c r="DQ21" s="13">
        <f t="shared" si="43"/>
        <v>3.8392564934127869</v>
      </c>
      <c r="DR21" s="20">
        <f t="shared" si="16"/>
        <v>25.871041264612035</v>
      </c>
      <c r="DS21" s="57">
        <f t="shared" si="17"/>
        <v>304.5377079312787</v>
      </c>
      <c r="DT21" s="57">
        <f ca="1">AVERAGE(OFFSET($DS$3,0,0,'Données projet'!$E$14+1,1))-AVERAGE(OFFSET($H$3,0,0,'Données projet'!$E$14+1,1))</f>
        <v>292.95981568144879</v>
      </c>
      <c r="DU21" s="57">
        <f t="shared" si="44"/>
        <v>152.23954167722536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7" t="e">
        <f t="shared" si="20"/>
        <v>#N/A</v>
      </c>
      <c r="EO21" s="57" t="e">
        <f ca="1">AVERAGE(OFFSET($EN$3,0,0,'Données projet'!$E$15+1,1))-AVERAGE(OFFSET($H$3,0,0,'Données projet'!$E$15+1,1))</f>
        <v>#N/A</v>
      </c>
      <c r="EP21" s="57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7" t="e">
        <f t="shared" si="23"/>
        <v>#N/A</v>
      </c>
      <c r="FJ21" s="57" t="e">
        <f ca="1">AVERAGE(OFFSET($FI$3,0,0,'Données projet'!$E$16+1,1))-AVERAGE(OFFSET($H$3,0,0,'Données projet'!$E$16+1,1))</f>
        <v>#N/A</v>
      </c>
      <c r="FK21" s="57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7" t="e">
        <f t="shared" si="26"/>
        <v>#N/A</v>
      </c>
      <c r="GE21" s="57" t="e">
        <f ca="1">AVERAGE(OFFSET($GD$3,0,0,'Données projet'!$E$17+1,1))-AVERAGE(OFFSET($H$3,0,0,'Données projet'!$E$17+1,1))</f>
        <v>#N/A</v>
      </c>
      <c r="GF21" s="57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7" t="e">
        <f t="shared" si="29"/>
        <v>#N/A</v>
      </c>
      <c r="GZ21" s="57" t="e">
        <f ca="1">AVERAGE(OFFSET($GY$3,0,0,'Données projet'!$E$18+1,1))-AVERAGE(OFFSET($H$3,0,0,'Données projet'!$E$18+1,1))</f>
        <v>#N/A</v>
      </c>
      <c r="HA21" s="57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1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5">
        <f t="shared" si="1"/>
        <v>256.66666666666669</v>
      </c>
      <c r="I22" s="6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7">
        <f t="shared" si="0"/>
        <v>351.72520722798015</v>
      </c>
      <c r="S22" s="57">
        <f ca="1">AVERAGE(OFFSET($R$3,0,0,'Données projet'!$E$9+1,1))-AVERAGE(OFFSET($H$3,0,0,'Données projet'!$E$9+1,1))</f>
        <v>373.45926089889866</v>
      </c>
      <c r="T22" s="57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33.154406596955802</v>
      </c>
      <c r="AK22" s="13">
        <f t="shared" si="35"/>
        <v>10.16488153381791</v>
      </c>
      <c r="AL22" s="20">
        <f t="shared" si="4"/>
        <v>75.447760161097548</v>
      </c>
      <c r="AM22" s="57">
        <f t="shared" si="5"/>
        <v>355.33664904998642</v>
      </c>
      <c r="AN22" s="57">
        <f ca="1">AVERAGE(OFFSET($AM$3,0,0,'Données projet'!$E$10+1,1))-AVERAGE(OFFSET($H$3,0,0,'Données projet'!$E$10+1,1))</f>
        <v>390.70240761116355</v>
      </c>
      <c r="AO22" s="57">
        <f t="shared" si="36"/>
        <v>241.18285512887638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33.697921459200977</v>
      </c>
      <c r="BF22" s="13">
        <f t="shared" si="37"/>
        <v>10.31198270984201</v>
      </c>
      <c r="BG22" s="20">
        <f t="shared" si="7"/>
        <v>76.650583094416518</v>
      </c>
      <c r="BH22" s="57">
        <f t="shared" si="8"/>
        <v>356.53947198330536</v>
      </c>
      <c r="BI22" s="57">
        <f ca="1">AVERAGE(OFFSET($BH$3,0,0,'Données projet'!$E$11+1,1))-AVERAGE(OFFSET($H$3,0,0,'Données projet'!$E$11+1,1))</f>
        <v>396.44612884768748</v>
      </c>
      <c r="BJ22" s="57">
        <f t="shared" si="38"/>
        <v>244.451492444461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14.6</v>
      </c>
      <c r="BY22" s="12">
        <f>IF('Données projet'!$A$114&gt;35,BY21+BX22-CG21,IF(A22&lt;'Données projet'!$A$114,$BV$205^A22,IF(A22='Données projet'!$A$114,'Données projet'!$B$114,BY21+BX22-CG21)))</f>
        <v>80.709999999999994</v>
      </c>
      <c r="BZ22" s="13">
        <f>BY22*VLOOKUP('Données projet'!$B$12,Paramètres!$A$1:$I$89,3,0)*VLOOKUP('Données projet'!$B$12,Paramètres!$A$1:$I$89,5,0)</f>
        <v>48.264579999999995</v>
      </c>
      <c r="CA22" s="13">
        <f t="shared" si="39"/>
        <v>14.164662631617777</v>
      </c>
      <c r="CB22" s="20">
        <f t="shared" si="10"/>
        <v>108.73093091673428</v>
      </c>
      <c r="CC22" s="57">
        <f t="shared" si="11"/>
        <v>388.61981980562314</v>
      </c>
      <c r="CD22" s="57">
        <f ca="1">AVERAGE(OFFSET($CC$3,0,0,'Données projet'!$E$12+1,1))-AVERAGE(OFFSET($H$3,0,0,'Données projet'!$E$12+1,1))</f>
        <v>259.64096626089821</v>
      </c>
      <c r="CE22" s="57">
        <f t="shared" si="40"/>
        <v>258.1415293081597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2.1</v>
      </c>
      <c r="CT22" s="12">
        <f>IF('Données projet'!$A$140&gt;35,CT21+CS22-DB21,IF(A22&lt;'Données projet'!$A$140,$CQ$205^A22,IF(A22='Données projet'!$A$140,'Données projet'!$B$140,CT21+CS22-DB21)))</f>
        <v>34.840696297767764</v>
      </c>
      <c r="CU22" s="17">
        <f>CT22*VLOOKUP('Données projet'!$B$13,Paramètres!$A$1:$I$89,3,0)*VLOOKUP('Données projet'!$B$13,Paramètres!$A$1:$I$89,5,0)</f>
        <v>37.502525494917215</v>
      </c>
      <c r="CV22" s="13">
        <f t="shared" si="41"/>
        <v>11.334227770598273</v>
      </c>
      <c r="CW22" s="20">
        <f t="shared" si="13"/>
        <v>85.057345270772814</v>
      </c>
      <c r="CX22" s="57">
        <f t="shared" si="14"/>
        <v>364.94623415966169</v>
      </c>
      <c r="CY22" s="57">
        <f ca="1">AVERAGE(OFFSET($CX$3,0,0,'Données projet'!$E$13+1,1))-AVERAGE(OFFSET($H$3,0,0,'Données projet'!$E$13+1,1))</f>
        <v>436.59978658837537</v>
      </c>
      <c r="CZ22" s="57">
        <f t="shared" si="42"/>
        <v>267.2998309535638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1.2</v>
      </c>
      <c r="DO22" s="12">
        <f>IF('Données projet'!$A$166&gt;35,DO21+DN22-DW21,IF(A22&lt;'Données projet'!$A$166,$DL$205^A22,IF(A22='Données projet'!$A$166,'Données projet'!$B$166,DO21+DN22-DW21)))</f>
        <v>13.262095581124292</v>
      </c>
      <c r="DP22" s="17">
        <f>DO22*VLOOKUP('Données projet'!$B$14,Paramètres!$A$1:$I$89,3,0)*VLOOKUP('Données projet'!$B$14,Paramètres!$A$1:$I$89,5,0)</f>
        <v>12.620210154997878</v>
      </c>
      <c r="DQ22" s="13">
        <f t="shared" si="43"/>
        <v>4.329667055669546</v>
      </c>
      <c r="DR22" s="20">
        <f t="shared" si="16"/>
        <v>29.521036141912429</v>
      </c>
      <c r="DS22" s="57">
        <f t="shared" si="17"/>
        <v>309.40992503080128</v>
      </c>
      <c r="DT22" s="57">
        <f ca="1">AVERAGE(OFFSET($DS$3,0,0,'Données projet'!$E$14+1,1))-AVERAGE(OFFSET($H$3,0,0,'Données projet'!$E$14+1,1))</f>
        <v>292.95981568144879</v>
      </c>
      <c r="DU22" s="57">
        <f t="shared" si="44"/>
        <v>152.23954167722536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7" t="e">
        <f t="shared" si="20"/>
        <v>#N/A</v>
      </c>
      <c r="EO22" s="57" t="e">
        <f ca="1">AVERAGE(OFFSET($EN$3,0,0,'Données projet'!$E$15+1,1))-AVERAGE(OFFSET($H$3,0,0,'Données projet'!$E$15+1,1))</f>
        <v>#N/A</v>
      </c>
      <c r="EP22" s="57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7" t="e">
        <f t="shared" si="23"/>
        <v>#N/A</v>
      </c>
      <c r="FJ22" s="57" t="e">
        <f ca="1">AVERAGE(OFFSET($FI$3,0,0,'Données projet'!$E$16+1,1))-AVERAGE(OFFSET($H$3,0,0,'Données projet'!$E$16+1,1))</f>
        <v>#N/A</v>
      </c>
      <c r="FK22" s="57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7" t="e">
        <f t="shared" si="26"/>
        <v>#N/A</v>
      </c>
      <c r="GE22" s="57" t="e">
        <f ca="1">AVERAGE(OFFSET($GD$3,0,0,'Données projet'!$E$17+1,1))-AVERAGE(OFFSET($H$3,0,0,'Données projet'!$E$17+1,1))</f>
        <v>#N/A</v>
      </c>
      <c r="GF22" s="57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7" t="e">
        <f t="shared" si="29"/>
        <v>#N/A</v>
      </c>
      <c r="GZ22" s="57" t="e">
        <f ca="1">AVERAGE(OFFSET($GY$3,0,0,'Données projet'!$E$18+1,1))-AVERAGE(OFFSET($H$3,0,0,'Données projet'!$E$18+1,1))</f>
        <v>#N/A</v>
      </c>
      <c r="HA22" s="57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1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5">
        <f t="shared" si="1"/>
        <v>256.66666666666669</v>
      </c>
      <c r="I23" s="6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7">
        <f t="shared" si="0"/>
        <v>367.26962158162712</v>
      </c>
      <c r="S23" s="57">
        <f ca="1">AVERAGE(OFFSET($R$3,0,0,'Données projet'!$E$9+1,1))-AVERAGE(OFFSET($H$3,0,0,'Données projet'!$E$9+1,1))</f>
        <v>373.45926089889866</v>
      </c>
      <c r="T23" s="57">
        <f t="shared" si="34"/>
        <v>231.36959598460686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39.967200000000005</v>
      </c>
      <c r="AK23" s="13">
        <f t="shared" si="35"/>
        <v>11.989952848060872</v>
      </c>
      <c r="AL23" s="20">
        <f t="shared" si="4"/>
        <v>90.49204121037269</v>
      </c>
      <c r="AM23" s="57">
        <f t="shared" si="5"/>
        <v>371.60315232148383</v>
      </c>
      <c r="AN23" s="57">
        <f ca="1">AVERAGE(OFFSET($AM$3,0,0,'Données projet'!$E$10+1,1))-AVERAGE(OFFSET($H$3,0,0,'Données projet'!$E$10+1,1))</f>
        <v>390.70240761116355</v>
      </c>
      <c r="AO23" s="57">
        <f t="shared" si="36"/>
        <v>241.18285512887638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40.622399999999999</v>
      </c>
      <c r="BF23" s="13">
        <f t="shared" si="37"/>
        <v>12.163465560290264</v>
      </c>
      <c r="BG23" s="20">
        <f t="shared" si="7"/>
        <v>91.935382517505545</v>
      </c>
      <c r="BH23" s="57">
        <f t="shared" si="8"/>
        <v>373.0464936286167</v>
      </c>
      <c r="BI23" s="57">
        <f ca="1">AVERAGE(OFFSET($BH$3,0,0,'Données projet'!$E$11+1,1))-AVERAGE(OFFSET($H$3,0,0,'Données projet'!$E$11+1,1))</f>
        <v>396.44612884768748</v>
      </c>
      <c r="BJ23" s="57">
        <f t="shared" si="38"/>
        <v>244.451492444461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14.6</v>
      </c>
      <c r="BY23" s="12">
        <f>IF('Données projet'!$A$114&gt;35,BY22+BX23-CG22,IF(A23&lt;'Données projet'!$A$114,$BV$205^A23,IF(A23='Données projet'!$A$114,'Données projet'!$B$114,BY22+BX23-CG22)))</f>
        <v>95.309999999999988</v>
      </c>
      <c r="BZ23" s="13">
        <f>BY23*VLOOKUP('Données projet'!$B$12,Paramètres!$A$1:$I$89,3,0)*VLOOKUP('Données projet'!$B$12,Paramètres!$A$1:$I$89,5,0)</f>
        <v>56.995379999999997</v>
      </c>
      <c r="CA23" s="13">
        <f t="shared" si="39"/>
        <v>16.406350397679336</v>
      </c>
      <c r="CB23" s="20">
        <f t="shared" si="10"/>
        <v>127.8413471092915</v>
      </c>
      <c r="CC23" s="57">
        <f t="shared" si="11"/>
        <v>408.95245822040266</v>
      </c>
      <c r="CD23" s="57">
        <f ca="1">AVERAGE(OFFSET($CC$3,0,0,'Données projet'!$E$12+1,1))-AVERAGE(OFFSET($H$3,0,0,'Données projet'!$E$12+1,1))</f>
        <v>259.64096626089821</v>
      </c>
      <c r="CE23" s="57">
        <f t="shared" si="40"/>
        <v>258.1415293081597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42</v>
      </c>
      <c r="CR23" s="12">
        <f>VLOOKUP(A23,'Données projet'!$A$139:$I$159,9,0)</f>
        <v>2.1</v>
      </c>
      <c r="CS23" s="12">
        <f t="array" ref="CS23">INDEX(CR:CR,MIN(IF(ISNUMBER(CR23:CR219),ROW(CR23:CR219),"")))</f>
        <v>2.1</v>
      </c>
      <c r="CT23" s="12">
        <f>IF('Données projet'!$A$140&gt;35,CT22+CS23-DB22,IF(A23&lt;'Données projet'!$A$140,$CQ$205^A23,IF(A23='Données projet'!$A$140,'Données projet'!$B$140,CT22+CS23-DB22)))</f>
        <v>42</v>
      </c>
      <c r="CU23" s="17">
        <f>CT23*VLOOKUP('Données projet'!$B$13,Paramètres!$A$1:$I$89,3,0)*VLOOKUP('Données projet'!$B$13,Paramètres!$A$1:$I$89,5,0)</f>
        <v>45.208799999999997</v>
      </c>
      <c r="CV23" s="13">
        <f t="shared" si="41"/>
        <v>13.369251386406743</v>
      </c>
      <c r="CW23" s="20">
        <f t="shared" si="13"/>
        <v>102.02343949799173</v>
      </c>
      <c r="CX23" s="57">
        <f t="shared" si="14"/>
        <v>383.13455060910286</v>
      </c>
      <c r="CY23" s="57">
        <f ca="1">AVERAGE(OFFSET($CX$3,0,0,'Données projet'!$E$13+1,1))-AVERAGE(OFFSET($H$3,0,0,'Données projet'!$E$13+1,1))</f>
        <v>436.59978658837537</v>
      </c>
      <c r="CZ23" s="57">
        <f t="shared" si="42"/>
        <v>267.2998309535638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1.2</v>
      </c>
      <c r="DO23" s="12">
        <f>IF('Données projet'!$A$166&gt;35,DO22+DN23-DW22,IF(A23&lt;'Données projet'!$A$166,$DL$205^A23,IF(A23='Données projet'!$A$166,'Données projet'!$B$166,DO22+DN23-DW22)))</f>
        <v>15.194870523363559</v>
      </c>
      <c r="DP23" s="17">
        <f>DO23*VLOOKUP('Données projet'!$B$14,Paramètres!$A$1:$I$89,3,0)*VLOOKUP('Données projet'!$B$14,Paramètres!$A$1:$I$89,5,0)</f>
        <v>14.459438790032763</v>
      </c>
      <c r="DQ23" s="13">
        <f t="shared" si="43"/>
        <v>4.8827206114292476</v>
      </c>
      <c r="DR23" s="20">
        <f t="shared" si="16"/>
        <v>33.687594290879673</v>
      </c>
      <c r="DS23" s="57">
        <f t="shared" si="17"/>
        <v>314.79870540199079</v>
      </c>
      <c r="DT23" s="57">
        <f ca="1">AVERAGE(OFFSET($DS$3,0,0,'Données projet'!$E$14+1,1))-AVERAGE(OFFSET($H$3,0,0,'Données projet'!$E$14+1,1))</f>
        <v>292.95981568144879</v>
      </c>
      <c r="DU23" s="57">
        <f t="shared" si="44"/>
        <v>152.23954167722536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7" t="e">
        <f t="shared" si="20"/>
        <v>#N/A</v>
      </c>
      <c r="EO23" s="57" t="e">
        <f ca="1">AVERAGE(OFFSET($EN$3,0,0,'Données projet'!$E$15+1,1))-AVERAGE(OFFSET($H$3,0,0,'Données projet'!$E$15+1,1))</f>
        <v>#N/A</v>
      </c>
      <c r="EP23" s="57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7" t="e">
        <f t="shared" si="23"/>
        <v>#N/A</v>
      </c>
      <c r="FJ23" s="57" t="e">
        <f ca="1">AVERAGE(OFFSET($FI$3,0,0,'Données projet'!$E$16+1,1))-AVERAGE(OFFSET($H$3,0,0,'Données projet'!$E$16+1,1))</f>
        <v>#N/A</v>
      </c>
      <c r="FK23" s="57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7" t="e">
        <f t="shared" si="26"/>
        <v>#N/A</v>
      </c>
      <c r="GE23" s="57" t="e">
        <f ca="1">AVERAGE(OFFSET($GD$3,0,0,'Données projet'!$E$17+1,1))-AVERAGE(OFFSET($H$3,0,0,'Données projet'!$E$17+1,1))</f>
        <v>#N/A</v>
      </c>
      <c r="GF23" s="57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7" t="e">
        <f t="shared" si="29"/>
        <v>#N/A</v>
      </c>
      <c r="GZ23" s="57" t="e">
        <f ca="1">AVERAGE(OFFSET($GY$3,0,0,'Données projet'!$E$18+1,1))-AVERAGE(OFFSET($H$3,0,0,'Données projet'!$E$18+1,1))</f>
        <v>#N/A</v>
      </c>
      <c r="HA23" s="57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1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5">
        <f t="shared" si="1"/>
        <v>256.66666666666669</v>
      </c>
      <c r="I24" s="6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7">
        <f t="shared" si="0"/>
        <v>379.65226125630295</v>
      </c>
      <c r="S24" s="57">
        <f ca="1">AVERAGE(OFFSET($R$3,0,0,'Données projet'!$E$9+1,1))-AVERAGE(OFFSET($H$3,0,0,'Données projet'!$E$9+1,1))</f>
        <v>373.45926089889866</v>
      </c>
      <c r="T24" s="57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45.29616</v>
      </c>
      <c r="AK24" s="13">
        <f t="shared" si="35"/>
        <v>13.39207601043956</v>
      </c>
      <c r="AL24" s="20">
        <f t="shared" si="4"/>
        <v>102.21534438484889</v>
      </c>
      <c r="AM24" s="57">
        <f t="shared" si="5"/>
        <v>384.5486777181822</v>
      </c>
      <c r="AN24" s="57">
        <f ca="1">AVERAGE(OFFSET($AM$3,0,0,'Données projet'!$E$10+1,1))-AVERAGE(OFFSET($H$3,0,0,'Données projet'!$E$10+1,1))</f>
        <v>390.70240761116355</v>
      </c>
      <c r="AO24" s="57">
        <f t="shared" si="36"/>
        <v>241.18285512887638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46.038720000000005</v>
      </c>
      <c r="BF24" s="13">
        <f t="shared" si="37"/>
        <v>13.585879560828786</v>
      </c>
      <c r="BG24" s="20">
        <f t="shared" si="7"/>
        <v>103.84617756844348</v>
      </c>
      <c r="BH24" s="57">
        <f t="shared" si="8"/>
        <v>386.17951090177678</v>
      </c>
      <c r="BI24" s="57">
        <f ca="1">AVERAGE(OFFSET($BH$3,0,0,'Données projet'!$E$11+1,1))-AVERAGE(OFFSET($H$3,0,0,'Données projet'!$E$11+1,1))</f>
        <v>396.44612884768748</v>
      </c>
      <c r="BJ24" s="57">
        <f t="shared" si="38"/>
        <v>244.451492444461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>
        <f>VLOOKUP(A24,'Données projet'!$A$113:$I$133,2,0)</f>
        <v>109.91</v>
      </c>
      <c r="BW24" s="12">
        <f>VLOOKUP(A24,'Données projet'!$A$113:$I$133,9,0)</f>
        <v>14.6</v>
      </c>
      <c r="BX24" s="12">
        <f t="array" ref="BX24">INDEX(BW:BW,MIN(IF(ISNUMBER(BW24:BW220),ROW(BW24:BW220),"")))</f>
        <v>14.6</v>
      </c>
      <c r="BY24" s="12">
        <f>IF('Données projet'!$A$114&gt;35,BY23+BX24-CG23,IF(A24&lt;'Données projet'!$A$114,$BV$205^A24,IF(A24='Données projet'!$A$114,'Données projet'!$B$114,BY23+BX24-CG23)))</f>
        <v>109.90999999999998</v>
      </c>
      <c r="BZ24" s="13">
        <f>BY24*VLOOKUP('Données projet'!$B$12,Paramètres!$A$1:$I$89,3,0)*VLOOKUP('Données projet'!$B$12,Paramètres!$A$1:$I$89,5,0)</f>
        <v>65.726179999999985</v>
      </c>
      <c r="CA24" s="13">
        <f t="shared" si="39"/>
        <v>18.60825753191812</v>
      </c>
      <c r="CB24" s="20">
        <f t="shared" si="10"/>
        <v>146.88247870142399</v>
      </c>
      <c r="CC24" s="57">
        <f t="shared" si="11"/>
        <v>429.21581203475728</v>
      </c>
      <c r="CD24" s="57">
        <f ca="1">AVERAGE(OFFSET($CC$3,0,0,'Données projet'!$E$12+1,1))-AVERAGE(OFFSET($H$3,0,0,'Données projet'!$E$12+1,1))</f>
        <v>259.64096626089821</v>
      </c>
      <c r="CE24" s="57">
        <f t="shared" si="40"/>
        <v>258.1415293081597</v>
      </c>
      <c r="CF24" s="15">
        <f>IF(ISNA(VLOOKUP(A24,'Données projet'!$A$113:$I$133,3,0)),0,VLOOKUP(A24,'Données projet'!$A$113:$I$133,3,0))</f>
        <v>2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0.25200000000000006</v>
      </c>
      <c r="CJ24" s="16">
        <f>IF(ISNA(VLOOKUP(A24,'Données projet'!$A$113:$I$133,7,0)),0%,VLOOKUP(A24,'Données projet'!$A$113:$I$133,7,0))</f>
        <v>0.44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5.6</v>
      </c>
      <c r="CT24" s="12">
        <f>IF('Données projet'!$A$140&gt;35,CT23+CS24-DB23,IF(A24&lt;'Données projet'!$A$140,$CQ$205^A24,IF(A24='Données projet'!$A$140,'Données projet'!$B$140,CT23+CS24-DB23)))</f>
        <v>47.6</v>
      </c>
      <c r="CU24" s="17">
        <f>CT24*VLOOKUP('Données projet'!$B$13,Paramètres!$A$1:$I$89,3,0)*VLOOKUP('Données projet'!$B$13,Paramètres!$A$1:$I$89,5,0)</f>
        <v>51.236640000000001</v>
      </c>
      <c r="CV24" s="13">
        <f t="shared" si="41"/>
        <v>14.932671799321549</v>
      </c>
      <c r="CW24" s="20">
        <f t="shared" si="13"/>
        <v>115.24488471715169</v>
      </c>
      <c r="CX24" s="57">
        <f t="shared" si="14"/>
        <v>397.57821805048502</v>
      </c>
      <c r="CY24" s="57">
        <f ca="1">AVERAGE(OFFSET($CX$3,0,0,'Données projet'!$E$13+1,1))-AVERAGE(OFFSET($H$3,0,0,'Données projet'!$E$13+1,1))</f>
        <v>436.59978658837537</v>
      </c>
      <c r="CZ24" s="57">
        <f t="shared" si="42"/>
        <v>267.2998309535638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1.2</v>
      </c>
      <c r="DO24" s="12">
        <f>IF('Données projet'!$A$166&gt;35,DO23+DN24-DW23,IF(A24&lt;'Données projet'!$A$166,$DL$205^A24,IF(A24='Données projet'!$A$166,'Données projet'!$B$166,DO23+DN24-DW23)))</f>
        <v>17.409321838276906</v>
      </c>
      <c r="DP24" s="17">
        <f>DO24*VLOOKUP('Données projet'!$B$14,Paramètres!$A$1:$I$89,3,0)*VLOOKUP('Données projet'!$B$14,Paramètres!$A$1:$I$89,5,0)</f>
        <v>16.566710661304302</v>
      </c>
      <c r="DQ24" s="13">
        <f t="shared" si="43"/>
        <v>5.5064189146038656</v>
      </c>
      <c r="DR24" s="20">
        <f t="shared" si="16"/>
        <v>38.444034011373397</v>
      </c>
      <c r="DS24" s="57">
        <f t="shared" si="17"/>
        <v>320.7773673447067</v>
      </c>
      <c r="DT24" s="57">
        <f ca="1">AVERAGE(OFFSET($DS$3,0,0,'Données projet'!$E$14+1,1))-AVERAGE(OFFSET($H$3,0,0,'Données projet'!$E$14+1,1))</f>
        <v>292.95981568144879</v>
      </c>
      <c r="DU24" s="57">
        <f t="shared" si="44"/>
        <v>152.23954167722536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7" t="e">
        <f t="shared" si="20"/>
        <v>#N/A</v>
      </c>
      <c r="EO24" s="57" t="e">
        <f ca="1">AVERAGE(OFFSET($EN$3,0,0,'Données projet'!$E$15+1,1))-AVERAGE(OFFSET($H$3,0,0,'Données projet'!$E$15+1,1))</f>
        <v>#N/A</v>
      </c>
      <c r="EP24" s="57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7" t="e">
        <f t="shared" si="23"/>
        <v>#N/A</v>
      </c>
      <c r="FJ24" s="57" t="e">
        <f ca="1">AVERAGE(OFFSET($FI$3,0,0,'Données projet'!$E$16+1,1))-AVERAGE(OFFSET($H$3,0,0,'Données projet'!$E$16+1,1))</f>
        <v>#N/A</v>
      </c>
      <c r="FK24" s="57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7" t="e">
        <f t="shared" si="26"/>
        <v>#N/A</v>
      </c>
      <c r="GE24" s="57" t="e">
        <f ca="1">AVERAGE(OFFSET($GD$3,0,0,'Données projet'!$E$17+1,1))-AVERAGE(OFFSET($H$3,0,0,'Données projet'!$E$17+1,1))</f>
        <v>#N/A</v>
      </c>
      <c r="GF24" s="57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7" t="e">
        <f t="shared" si="29"/>
        <v>#N/A</v>
      </c>
      <c r="GZ24" s="57" t="e">
        <f ca="1">AVERAGE(OFFSET($GY$3,0,0,'Données projet'!$E$18+1,1))-AVERAGE(OFFSET($H$3,0,0,'Données projet'!$E$18+1,1))</f>
        <v>#N/A</v>
      </c>
      <c r="HA24" s="57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1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5">
        <f t="shared" si="1"/>
        <v>256.66666666666669</v>
      </c>
      <c r="I25" s="6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7">
        <f t="shared" si="0"/>
        <v>392.00305746847613</v>
      </c>
      <c r="S25" s="57">
        <f ca="1">AVERAGE(OFFSET($R$3,0,0,'Données projet'!$E$9+1,1))-AVERAGE(OFFSET($H$3,0,0,'Données projet'!$E$9+1,1))</f>
        <v>373.45926089889866</v>
      </c>
      <c r="T25" s="57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50.625119999999995</v>
      </c>
      <c r="AK25" s="13">
        <f t="shared" si="35"/>
        <v>14.77508270228409</v>
      </c>
      <c r="AL25" s="20">
        <f t="shared" si="4"/>
        <v>113.90535303981146</v>
      </c>
      <c r="AM25" s="57">
        <f t="shared" si="5"/>
        <v>397.46090859536702</v>
      </c>
      <c r="AN25" s="57">
        <f ca="1">AVERAGE(OFFSET($AM$3,0,0,'Données projet'!$E$10+1,1))-AVERAGE(OFFSET($H$3,0,0,'Données projet'!$E$10+1,1))</f>
        <v>390.70240761116355</v>
      </c>
      <c r="AO25" s="57">
        <f t="shared" si="36"/>
        <v>241.18285512887638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51.455040000000004</v>
      </c>
      <c r="BF25" s="13">
        <f t="shared" si="37"/>
        <v>14.988900446655085</v>
      </c>
      <c r="BG25" s="20">
        <f t="shared" si="7"/>
        <v>115.72319627792427</v>
      </c>
      <c r="BH25" s="57">
        <f t="shared" si="8"/>
        <v>399.27875183347982</v>
      </c>
      <c r="BI25" s="57">
        <f ca="1">AVERAGE(OFFSET($BH$3,0,0,'Données projet'!$E$11+1,1))-AVERAGE(OFFSET($H$3,0,0,'Données projet'!$E$11+1,1))</f>
        <v>396.44612884768748</v>
      </c>
      <c r="BJ25" s="57">
        <f t="shared" si="38"/>
        <v>244.451492444461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129.07</v>
      </c>
      <c r="BW25" s="12">
        <f>VLOOKUP(A25,'Données projet'!$A$113:$I$133,9,0)</f>
        <v>19.159999999999997</v>
      </c>
      <c r="BX25" s="12">
        <f t="array" ref="BX25">INDEX(BW:BW,MIN(IF(ISNUMBER(BW25:BW221),ROW(BW25:BW221),"")))</f>
        <v>19.159999999999997</v>
      </c>
      <c r="BY25" s="12">
        <f>IF('Données projet'!$A$114&gt;35,BY24+BX25-CG24,IF(A25&lt;'Données projet'!$A$114,$BV$205^A25,IF(A25='Données projet'!$A$114,'Données projet'!$B$114,BY24+BX25-CG24)))</f>
        <v>129.07</v>
      </c>
      <c r="BZ25" s="13">
        <f>BY25*VLOOKUP('Données projet'!$B$12,Paramètres!$A$1:$I$89,3,0)*VLOOKUP('Données projet'!$B$12,Paramètres!$A$1:$I$89,5,0)</f>
        <v>77.183859999999996</v>
      </c>
      <c r="CA25" s="13">
        <f t="shared" si="39"/>
        <v>21.447193743401183</v>
      </c>
      <c r="CB25" s="20">
        <f t="shared" si="10"/>
        <v>171.78241860309038</v>
      </c>
      <c r="CC25" s="57">
        <f t="shared" si="11"/>
        <v>455.33797415864592</v>
      </c>
      <c r="CD25" s="57">
        <f ca="1">AVERAGE(OFFSET($CC$3,0,0,'Données projet'!$E$12+1,1))-AVERAGE(OFFSET($H$3,0,0,'Données projet'!$E$12+1,1))</f>
        <v>259.64096626089821</v>
      </c>
      <c r="CE25" s="57">
        <f t="shared" si="40"/>
        <v>258.1415293081597</v>
      </c>
      <c r="CF25" s="15">
        <f>IF(ISNA(VLOOKUP(A25,'Données projet'!$A$113:$I$133,3,0)),0,VLOOKUP(A25,'Données projet'!$A$113:$I$133,3,0))</f>
        <v>3</v>
      </c>
      <c r="CG25" s="15">
        <f>IF(ISNA(VLOOKUP(A25,'Données projet'!$A$113:$I$133,4,0)),0,VLOOKUP(A25,'Données projet'!$A$113:$I$133,4,0))</f>
        <v>52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0.25200000000000006</v>
      </c>
      <c r="CJ25" s="16">
        <f>IF(ISNA(VLOOKUP(A25,'Données projet'!$A$113:$I$133,7,0)),0%,VLOOKUP(A25,'Données projet'!$A$113:$I$133,7,0))</f>
        <v>0.44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10.354283855687621</v>
      </c>
      <c r="CM25" s="21">
        <f>EXP(-LN(2)/2)*CM24+(1-EXP(-LN(2)/2))/(LN(2)/2)*CG25*CJ25*VLOOKUP('Données projet'!$B$12,Paramètres!$A$1:$I$89,3,0)*0.475*44/12</f>
        <v>15.491474030508513</v>
      </c>
      <c r="CN25" s="22">
        <f t="shared" si="12"/>
        <v>25.845757886196132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5.6</v>
      </c>
      <c r="CT25" s="12">
        <f>IF('Données projet'!$A$140&gt;35,CT24+CS25-DB24,IF(A25&lt;'Données projet'!$A$140,$CQ$205^A25,IF(A25='Données projet'!$A$140,'Données projet'!$B$140,CT24+CS25-DB24)))</f>
        <v>53.2</v>
      </c>
      <c r="CU25" s="17">
        <f>CT25*VLOOKUP('Données projet'!$B$13,Paramètres!$A$1:$I$89,3,0)*VLOOKUP('Données projet'!$B$13,Paramètres!$A$1:$I$89,5,0)</f>
        <v>57.264479999999999</v>
      </c>
      <c r="CV25" s="13">
        <f t="shared" si="41"/>
        <v>16.474776623807379</v>
      </c>
      <c r="CW25" s="20">
        <f t="shared" si="13"/>
        <v>128.42920528646451</v>
      </c>
      <c r="CX25" s="57">
        <f t="shared" si="14"/>
        <v>411.98476084202002</v>
      </c>
      <c r="CY25" s="57">
        <f ca="1">AVERAGE(OFFSET($CX$3,0,0,'Données projet'!$E$13+1,1))-AVERAGE(OFFSET($H$3,0,0,'Données projet'!$E$13+1,1))</f>
        <v>436.59978658837537</v>
      </c>
      <c r="CZ25" s="57">
        <f t="shared" si="42"/>
        <v>267.2998309535638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1.2</v>
      </c>
      <c r="DO25" s="12">
        <f>IF('Données projet'!$A$166&gt;35,DO24+DN25-DW24,IF(A25&lt;'Données projet'!$A$166,$DL$205^A25,IF(A25='Données projet'!$A$166,'Données projet'!$B$166,DO24+DN25-DW24)))</f>
        <v>19.946500129940819</v>
      </c>
      <c r="DP25" s="17">
        <f>DO25*VLOOKUP('Données projet'!$B$14,Paramètres!$A$1:$I$89,3,0)*VLOOKUP('Données projet'!$B$14,Paramètres!$A$1:$I$89,5,0)</f>
        <v>18.981089523651683</v>
      </c>
      <c r="DQ25" s="13">
        <f t="shared" si="43"/>
        <v>6.2097858296733257</v>
      </c>
      <c r="DR25" s="20">
        <f t="shared" si="16"/>
        <v>43.874107907041058</v>
      </c>
      <c r="DS25" s="57">
        <f t="shared" si="17"/>
        <v>327.42966346259658</v>
      </c>
      <c r="DT25" s="57">
        <f ca="1">AVERAGE(OFFSET($DS$3,0,0,'Données projet'!$E$14+1,1))-AVERAGE(OFFSET($H$3,0,0,'Données projet'!$E$14+1,1))</f>
        <v>292.95981568144879</v>
      </c>
      <c r="DU25" s="57">
        <f t="shared" si="44"/>
        <v>152.23954167722536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7" t="e">
        <f t="shared" si="20"/>
        <v>#N/A</v>
      </c>
      <c r="EO25" s="57" t="e">
        <f ca="1">AVERAGE(OFFSET($EN$3,0,0,'Données projet'!$E$15+1,1))-AVERAGE(OFFSET($H$3,0,0,'Données projet'!$E$15+1,1))</f>
        <v>#N/A</v>
      </c>
      <c r="EP25" s="57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7" t="e">
        <f t="shared" si="23"/>
        <v>#N/A</v>
      </c>
      <c r="FJ25" s="57" t="e">
        <f ca="1">AVERAGE(OFFSET($FI$3,0,0,'Données projet'!$E$16+1,1))-AVERAGE(OFFSET($H$3,0,0,'Données projet'!$E$16+1,1))</f>
        <v>#N/A</v>
      </c>
      <c r="FK25" s="57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7" t="e">
        <f t="shared" si="26"/>
        <v>#N/A</v>
      </c>
      <c r="GE25" s="57" t="e">
        <f ca="1">AVERAGE(OFFSET($GD$3,0,0,'Données projet'!$E$17+1,1))-AVERAGE(OFFSET($H$3,0,0,'Données projet'!$E$17+1,1))</f>
        <v>#N/A</v>
      </c>
      <c r="GF25" s="57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7" t="e">
        <f t="shared" si="29"/>
        <v>#N/A</v>
      </c>
      <c r="GZ25" s="57" t="e">
        <f ca="1">AVERAGE(OFFSET($GY$3,0,0,'Données projet'!$E$18+1,1))-AVERAGE(OFFSET($H$3,0,0,'Données projet'!$E$18+1,1))</f>
        <v>#N/A</v>
      </c>
      <c r="HA25" s="57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1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5">
        <f t="shared" si="1"/>
        <v>256.66666666666669</v>
      </c>
      <c r="I26" s="6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7">
        <f t="shared" si="0"/>
        <v>404.32574406333623</v>
      </c>
      <c r="S26" s="57">
        <f ca="1">AVERAGE(OFFSET($R$3,0,0,'Données projet'!$E$9+1,1))-AVERAGE(OFFSET($H$3,0,0,'Données projet'!$E$9+1,1))</f>
        <v>373.45926089889866</v>
      </c>
      <c r="T26" s="57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55.954080000000005</v>
      </c>
      <c r="AK26" s="13">
        <f t="shared" si="35"/>
        <v>16.141214449356298</v>
      </c>
      <c r="AL26" s="20">
        <f t="shared" si="4"/>
        <v>125.56597116596221</v>
      </c>
      <c r="AM26" s="57">
        <f t="shared" si="5"/>
        <v>410.34374894373997</v>
      </c>
      <c r="AN26" s="57">
        <f ca="1">AVERAGE(OFFSET($AM$3,0,0,'Données projet'!$E$10+1,1))-AVERAGE(OFFSET($H$3,0,0,'Données projet'!$E$10+1,1))</f>
        <v>390.70240761116355</v>
      </c>
      <c r="AO26" s="57">
        <f t="shared" si="36"/>
        <v>241.18285512887638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56.87136000000001</v>
      </c>
      <c r="BF26" s="13">
        <f t="shared" si="37"/>
        <v>16.374802181791551</v>
      </c>
      <c r="BG26" s="20">
        <f t="shared" si="7"/>
        <v>127.57039913328697</v>
      </c>
      <c r="BH26" s="57">
        <f t="shared" si="8"/>
        <v>412.34817691106474</v>
      </c>
      <c r="BI26" s="57">
        <f ca="1">AVERAGE(OFFSET($BH$3,0,0,'Données projet'!$E$11+1,1))-AVERAGE(OFFSET($H$3,0,0,'Données projet'!$E$11+1,1))</f>
        <v>396.44612884768748</v>
      </c>
      <c r="BJ26" s="57">
        <f t="shared" si="38"/>
        <v>244.451492444461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13.670000000000002</v>
      </c>
      <c r="BY26" s="12">
        <f>IF('Données projet'!$A$114&gt;35,BY25+BX26-CG25,IF(A26&lt;'Données projet'!$A$114,$BV$205^A26,IF(A26='Données projet'!$A$114,'Données projet'!$B$114,BY25+BX26-CG25)))</f>
        <v>90.740000000000009</v>
      </c>
      <c r="BZ26" s="13">
        <f>BY26*VLOOKUP('Données projet'!$B$12,Paramètres!$A$1:$I$89,3,0)*VLOOKUP('Données projet'!$B$12,Paramètres!$A$1:$I$89,5,0)</f>
        <v>54.262520000000009</v>
      </c>
      <c r="CA26" s="13">
        <f t="shared" si="39"/>
        <v>15.709278118982761</v>
      </c>
      <c r="CB26" s="20">
        <f t="shared" si="10"/>
        <v>121.86754839056165</v>
      </c>
      <c r="CC26" s="57">
        <f t="shared" si="11"/>
        <v>406.64532616833941</v>
      </c>
      <c r="CD26" s="57">
        <f ca="1">AVERAGE(OFFSET($CC$3,0,0,'Données projet'!$E$12+1,1))-AVERAGE(OFFSET($H$3,0,0,'Données projet'!$E$12+1,1))</f>
        <v>259.64096626089821</v>
      </c>
      <c r="CE26" s="57">
        <f t="shared" si="40"/>
        <v>258.1415293081597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10.07114541914572</v>
      </c>
      <c r="CM26" s="21">
        <f>EXP(-LN(2)/2)*CM25+(1-EXP(-LN(2)/2))/(LN(2)/2)*CG26*CJ26*VLOOKUP('Données projet'!$B$12,Paramètres!$A$1:$I$89,3,0)*0.475*44/12</f>
        <v>10.954126337547867</v>
      </c>
      <c r="CN26" s="22">
        <f t="shared" si="12"/>
        <v>21.025271756693588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5.6</v>
      </c>
      <c r="CT26" s="12">
        <f>IF('Données projet'!$A$140&gt;35,CT25+CS26-DB25,IF(A26&lt;'Données projet'!$A$140,$CQ$205^A26,IF(A26='Données projet'!$A$140,'Données projet'!$B$140,CT25+CS26-DB25)))</f>
        <v>58.800000000000004</v>
      </c>
      <c r="CU26" s="17">
        <f>CT26*VLOOKUP('Données projet'!$B$13,Paramètres!$A$1:$I$89,3,0)*VLOOKUP('Données projet'!$B$13,Paramètres!$A$1:$I$89,5,0)</f>
        <v>63.292320000000004</v>
      </c>
      <c r="CV26" s="13">
        <f t="shared" si="41"/>
        <v>17.998065245956816</v>
      </c>
      <c r="CW26" s="20">
        <f t="shared" si="13"/>
        <v>141.58075430337479</v>
      </c>
      <c r="CX26" s="57">
        <f t="shared" si="14"/>
        <v>426.35853208115259</v>
      </c>
      <c r="CY26" s="57">
        <f ca="1">AVERAGE(OFFSET($CX$3,0,0,'Données projet'!$E$13+1,1))-AVERAGE(OFFSET($H$3,0,0,'Données projet'!$E$13+1,1))</f>
        <v>436.59978658837537</v>
      </c>
      <c r="CZ26" s="57">
        <f t="shared" si="42"/>
        <v>267.2998309535638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1.2</v>
      </c>
      <c r="DO26" s="12">
        <f>IF('Données projet'!$A$166&gt;35,DO25+DN26-DW25,IF(A26&lt;'Données projet'!$A$166,$DL$205^A26,IF(A26='Données projet'!$A$166,'Données projet'!$B$166,DO25+DN26-DW25)))</f>
        <v>22.853438584779923</v>
      </c>
      <c r="DP26" s="17">
        <f>DO26*VLOOKUP('Données projet'!$B$14,Paramètres!$A$1:$I$89,3,0)*VLOOKUP('Données projet'!$B$14,Paramètres!$A$1:$I$89,5,0)</f>
        <v>21.747332157276574</v>
      </c>
      <c r="DQ26" s="13">
        <f t="shared" si="43"/>
        <v>7.002997891813278</v>
      </c>
      <c r="DR26" s="20">
        <f t="shared" si="16"/>
        <v>50.073491502164835</v>
      </c>
      <c r="DS26" s="57">
        <f t="shared" si="17"/>
        <v>334.85126927994258</v>
      </c>
      <c r="DT26" s="57">
        <f ca="1">AVERAGE(OFFSET($DS$3,0,0,'Données projet'!$E$14+1,1))-AVERAGE(OFFSET($H$3,0,0,'Données projet'!$E$14+1,1))</f>
        <v>292.95981568144879</v>
      </c>
      <c r="DU26" s="57">
        <f t="shared" si="44"/>
        <v>152.23954167722536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7" t="e">
        <f t="shared" si="20"/>
        <v>#N/A</v>
      </c>
      <c r="EO26" s="57" t="e">
        <f ca="1">AVERAGE(OFFSET($EN$3,0,0,'Données projet'!$E$15+1,1))-AVERAGE(OFFSET($H$3,0,0,'Données projet'!$E$15+1,1))</f>
        <v>#N/A</v>
      </c>
      <c r="EP26" s="57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7" t="e">
        <f t="shared" si="23"/>
        <v>#N/A</v>
      </c>
      <c r="FJ26" s="57" t="e">
        <f ca="1">AVERAGE(OFFSET($FI$3,0,0,'Données projet'!$E$16+1,1))-AVERAGE(OFFSET($H$3,0,0,'Données projet'!$E$16+1,1))</f>
        <v>#N/A</v>
      </c>
      <c r="FK26" s="57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7" t="e">
        <f t="shared" si="26"/>
        <v>#N/A</v>
      </c>
      <c r="GE26" s="57" t="e">
        <f ca="1">AVERAGE(OFFSET($GD$3,0,0,'Données projet'!$E$17+1,1))-AVERAGE(OFFSET($H$3,0,0,'Données projet'!$E$17+1,1))</f>
        <v>#N/A</v>
      </c>
      <c r="GF26" s="57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7" t="e">
        <f t="shared" si="29"/>
        <v>#N/A</v>
      </c>
      <c r="GZ26" s="57" t="e">
        <f ca="1">AVERAGE(OFFSET($GY$3,0,0,'Données projet'!$E$18+1,1))-AVERAGE(OFFSET($H$3,0,0,'Données projet'!$E$18+1,1))</f>
        <v>#N/A</v>
      </c>
      <c r="HA26" s="57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1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5">
        <f t="shared" si="1"/>
        <v>256.66666666666669</v>
      </c>
      <c r="I27" s="6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7">
        <f t="shared" si="0"/>
        <v>416.62330272297186</v>
      </c>
      <c r="S27" s="57">
        <f ca="1">AVERAGE(OFFSET($R$3,0,0,'Données projet'!$E$9+1,1))-AVERAGE(OFFSET($H$3,0,0,'Données projet'!$E$9+1,1))</f>
        <v>373.45926089889866</v>
      </c>
      <c r="T27" s="57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61.283040000000014</v>
      </c>
      <c r="AK27" s="13">
        <f t="shared" si="35"/>
        <v>17.492261234067353</v>
      </c>
      <c r="AL27" s="20">
        <f t="shared" si="4"/>
        <v>137.20031631600065</v>
      </c>
      <c r="AM27" s="57">
        <f t="shared" si="5"/>
        <v>423.20031631600068</v>
      </c>
      <c r="AN27" s="57">
        <f ca="1">AVERAGE(OFFSET($AM$3,0,0,'Données projet'!$E$10+1,1))-AVERAGE(OFFSET($H$3,0,0,'Données projet'!$E$10+1,1))</f>
        <v>390.70240761116355</v>
      </c>
      <c r="AO27" s="57">
        <f t="shared" si="36"/>
        <v>241.18285512887638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62.287680000000009</v>
      </c>
      <c r="BF27" s="13">
        <f t="shared" si="37"/>
        <v>17.745400652396182</v>
      </c>
      <c r="BG27" s="20">
        <f t="shared" si="7"/>
        <v>139.39094880292336</v>
      </c>
      <c r="BH27" s="57">
        <f t="shared" si="8"/>
        <v>425.39094880292339</v>
      </c>
      <c r="BI27" s="57">
        <f ca="1">AVERAGE(OFFSET($BH$3,0,0,'Données projet'!$E$11+1,1))-AVERAGE(OFFSET($H$3,0,0,'Données projet'!$E$11+1,1))</f>
        <v>396.44612884768748</v>
      </c>
      <c r="BJ27" s="57">
        <f t="shared" si="38"/>
        <v>244.451492444461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104.41</v>
      </c>
      <c r="BW27" s="12">
        <f>VLOOKUP(A27,'Données projet'!$A$113:$I$133,9,0)</f>
        <v>13.670000000000002</v>
      </c>
      <c r="BX27" s="12">
        <f t="array" ref="BX27">INDEX(BW:BW,MIN(IF(ISNUMBER(BW27:BW223),ROW(BW27:BW223),"")))</f>
        <v>13.670000000000002</v>
      </c>
      <c r="BY27" s="12">
        <f>IF('Données projet'!$A$114&gt;35,BY26+BX27-CG26,IF(A27&lt;'Données projet'!$A$114,$BV$205^A27,IF(A27='Données projet'!$A$114,'Données projet'!$B$114,BY26+BX27-CG26)))</f>
        <v>104.41000000000001</v>
      </c>
      <c r="BZ27" s="13">
        <f>BY27*VLOOKUP('Données projet'!$B$12,Paramètres!$A$1:$I$89,3,0)*VLOOKUP('Données projet'!$B$12,Paramètres!$A$1:$I$89,5,0)</f>
        <v>62.437180000000005</v>
      </c>
      <c r="CA27" s="13">
        <f t="shared" si="39"/>
        <v>17.783029415046496</v>
      </c>
      <c r="CB27" s="20">
        <f t="shared" si="10"/>
        <v>139.71686473120599</v>
      </c>
      <c r="CC27" s="57">
        <f t="shared" si="11"/>
        <v>425.71686473120599</v>
      </c>
      <c r="CD27" s="57">
        <f ca="1">AVERAGE(OFFSET($CC$3,0,0,'Données projet'!$E$12+1,1))-AVERAGE(OFFSET($H$3,0,0,'Données projet'!$E$12+1,1))</f>
        <v>259.64096626089821</v>
      </c>
      <c r="CE27" s="57">
        <f t="shared" si="40"/>
        <v>258.1415293081597</v>
      </c>
      <c r="CF27" s="15">
        <f>IF(ISNA(VLOOKUP(A27,'Données projet'!$A$113:$I$133,3,0)),0,VLOOKUP(A27,'Données projet'!$A$113:$I$133,3,0))</f>
        <v>4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9.0000000000000011E-2</v>
      </c>
      <c r="CI27" s="16">
        <f>IF(ISNA(VLOOKUP(A27,'Données projet'!$A$113:$I$133,6,0)),0%,VLOOKUP(A27,'Données projet'!$A$113:$I$133,6,0)*VLOOKUP('Données projet'!$B$12,Paramètres!$A$1:$I$89,7,0))</f>
        <v>0.20250000000000001</v>
      </c>
      <c r="CJ27" s="16">
        <f>IF(ISNA(VLOOKUP(A27,'Données projet'!$A$113:$I$133,7,0)),0%,VLOOKUP(A27,'Données projet'!$A$113:$I$133,7,0))</f>
        <v>0.35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9.7957494180406606</v>
      </c>
      <c r="CM27" s="21">
        <f>EXP(-LN(2)/2)*CM26+(1-EXP(-LN(2)/2))/(LN(2)/2)*CG27*CJ27*VLOOKUP('Données projet'!$B$12,Paramètres!$A$1:$I$89,3,0)*0.475*44/12</f>
        <v>7.7457370152542575</v>
      </c>
      <c r="CN27" s="22">
        <f t="shared" si="12"/>
        <v>17.541486433294917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5.6</v>
      </c>
      <c r="CT27" s="12">
        <f>IF('Données projet'!$A$140&gt;35,CT26+CS27-DB26,IF(A27&lt;'Données projet'!$A$140,$CQ$205^A27,IF(A27='Données projet'!$A$140,'Données projet'!$B$140,CT26+CS27-DB26)))</f>
        <v>64.400000000000006</v>
      </c>
      <c r="CU27" s="17">
        <f>CT27*VLOOKUP('Données projet'!$B$13,Paramètres!$A$1:$I$89,3,0)*VLOOKUP('Données projet'!$B$13,Paramètres!$A$1:$I$89,5,0)</f>
        <v>69.320160000000001</v>
      </c>
      <c r="CV27" s="13">
        <f t="shared" si="41"/>
        <v>19.50453356393022</v>
      </c>
      <c r="CW27" s="20">
        <f t="shared" si="13"/>
        <v>154.70300795717847</v>
      </c>
      <c r="CX27" s="57">
        <f t="shared" si="14"/>
        <v>440.70300795717844</v>
      </c>
      <c r="CY27" s="57">
        <f ca="1">AVERAGE(OFFSET($CX$3,0,0,'Données projet'!$E$13+1,1))-AVERAGE(OFFSET($H$3,0,0,'Données projet'!$E$13+1,1))</f>
        <v>436.59978658837537</v>
      </c>
      <c r="CZ27" s="57">
        <f t="shared" si="42"/>
        <v>267.2998309535638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1.2</v>
      </c>
      <c r="DO27" s="12">
        <f>IF('Données projet'!$A$166&gt;35,DO26+DN27-DW26,IF(A27&lt;'Données projet'!$A$166,$DL$205^A27,IF(A27='Données projet'!$A$166,'Données projet'!$B$166,DO26+DN27-DW26)))</f>
        <v>26.184024853780567</v>
      </c>
      <c r="DP27" s="17">
        <f>DO27*VLOOKUP('Données projet'!$B$14,Paramètres!$A$1:$I$89,3,0)*VLOOKUP('Données projet'!$B$14,Paramètres!$A$1:$I$89,5,0)</f>
        <v>24.91671805085759</v>
      </c>
      <c r="DQ27" s="13">
        <f t="shared" si="43"/>
        <v>7.8975315442273644</v>
      </c>
      <c r="DR27" s="20">
        <f t="shared" si="16"/>
        <v>57.151484711439622</v>
      </c>
      <c r="DS27" s="57">
        <f t="shared" si="17"/>
        <v>343.15148471143959</v>
      </c>
      <c r="DT27" s="57">
        <f ca="1">AVERAGE(OFFSET($DS$3,0,0,'Données projet'!$E$14+1,1))-AVERAGE(OFFSET($H$3,0,0,'Données projet'!$E$14+1,1))</f>
        <v>292.95981568144879</v>
      </c>
      <c r="DU27" s="57">
        <f t="shared" si="44"/>
        <v>152.23954167722536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7" t="e">
        <f t="shared" si="20"/>
        <v>#N/A</v>
      </c>
      <c r="EO27" s="57" t="e">
        <f ca="1">AVERAGE(OFFSET($EN$3,0,0,'Données projet'!$E$15+1,1))-AVERAGE(OFFSET($H$3,0,0,'Données projet'!$E$15+1,1))</f>
        <v>#N/A</v>
      </c>
      <c r="EP27" s="57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7" t="e">
        <f t="shared" si="23"/>
        <v>#N/A</v>
      </c>
      <c r="FJ27" s="57" t="e">
        <f ca="1">AVERAGE(OFFSET($FI$3,0,0,'Données projet'!$E$16+1,1))-AVERAGE(OFFSET($H$3,0,0,'Données projet'!$E$16+1,1))</f>
        <v>#N/A</v>
      </c>
      <c r="FK27" s="57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7" t="e">
        <f t="shared" si="26"/>
        <v>#N/A</v>
      </c>
      <c r="GE27" s="57" t="e">
        <f ca="1">AVERAGE(OFFSET($GD$3,0,0,'Données projet'!$E$17+1,1))-AVERAGE(OFFSET($H$3,0,0,'Données projet'!$E$17+1,1))</f>
        <v>#N/A</v>
      </c>
      <c r="GF27" s="57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7" t="e">
        <f t="shared" si="29"/>
        <v>#N/A</v>
      </c>
      <c r="GZ27" s="57" t="e">
        <f ca="1">AVERAGE(OFFSET($GY$3,0,0,'Données projet'!$E$18+1,1))-AVERAGE(OFFSET($H$3,0,0,'Données projet'!$E$18+1,1))</f>
        <v>#N/A</v>
      </c>
      <c r="HA27" s="57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1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5">
        <f t="shared" si="1"/>
        <v>256.66666666666669</v>
      </c>
      <c r="I28" s="6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7">
        <f t="shared" si="0"/>
        <v>428.89816692885358</v>
      </c>
      <c r="S28" s="57">
        <f ca="1">AVERAGE(OFFSET($R$3,0,0,'Données projet'!$E$9+1,1))-AVERAGE(OFFSET($H$3,0,0,'Données projet'!$E$9+1,1))</f>
        <v>373.45926089889866</v>
      </c>
      <c r="T28" s="57">
        <f t="shared" si="34"/>
        <v>231.36959598460686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66.611999999999995</v>
      </c>
      <c r="AK28" s="13">
        <f t="shared" si="35"/>
        <v>18.829683939536395</v>
      </c>
      <c r="AL28" s="20">
        <f t="shared" si="4"/>
        <v>148.81093286135922</v>
      </c>
      <c r="AM28" s="57">
        <f t="shared" si="5"/>
        <v>436.03315508358145</v>
      </c>
      <c r="AN28" s="57">
        <f ca="1">AVERAGE(OFFSET($AM$3,0,0,'Données projet'!$E$10+1,1))-AVERAGE(OFFSET($H$3,0,0,'Données projet'!$E$10+1,1))</f>
        <v>390.70240761116355</v>
      </c>
      <c r="AO28" s="57">
        <f t="shared" si="36"/>
        <v>241.18285512887638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67.703999999999994</v>
      </c>
      <c r="BF28" s="13">
        <f t="shared" si="37"/>
        <v>19.102177882771514</v>
      </c>
      <c r="BG28" s="20">
        <f t="shared" si="7"/>
        <v>151.18742647916039</v>
      </c>
      <c r="BH28" s="57">
        <f t="shared" si="8"/>
        <v>438.40964870138259</v>
      </c>
      <c r="BI28" s="57">
        <f ca="1">AVERAGE(OFFSET($BH$3,0,0,'Données projet'!$E$11+1,1))-AVERAGE(OFFSET($H$3,0,0,'Données projet'!$E$11+1,1))</f>
        <v>396.44612884768748</v>
      </c>
      <c r="BJ28" s="57">
        <f t="shared" si="38"/>
        <v>244.451492444461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17.026666666666671</v>
      </c>
      <c r="BY28" s="12">
        <f>IF('Données projet'!$A$114&gt;35,BY27+BX28-CG27,IF(A28&lt;'Données projet'!$A$114,$BV$205^A28,IF(A28='Données projet'!$A$114,'Données projet'!$B$114,BY27+BX28-CG27)))</f>
        <v>121.43666666666668</v>
      </c>
      <c r="BZ28" s="13">
        <f>BY28*VLOOKUP('Données projet'!$B$12,Paramètres!$A$1:$I$89,3,0)*VLOOKUP('Données projet'!$B$12,Paramètres!$A$1:$I$89,5,0)</f>
        <v>72.619126666666673</v>
      </c>
      <c r="CA28" s="13">
        <f t="shared" si="39"/>
        <v>20.322482003334315</v>
      </c>
      <c r="CB28" s="20">
        <f t="shared" si="10"/>
        <v>161.87330176691839</v>
      </c>
      <c r="CC28" s="57">
        <f t="shared" si="11"/>
        <v>449.09552398914059</v>
      </c>
      <c r="CD28" s="57">
        <f ca="1">AVERAGE(OFFSET($CC$3,0,0,'Données projet'!$E$12+1,1))-AVERAGE(OFFSET($H$3,0,0,'Données projet'!$E$12+1,1))</f>
        <v>259.64096626089821</v>
      </c>
      <c r="CE28" s="57">
        <f t="shared" si="40"/>
        <v>258.1415293081597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9.5278841350682661</v>
      </c>
      <c r="CM28" s="21">
        <f>EXP(-LN(2)/2)*CM27+(1-EXP(-LN(2)/2))/(LN(2)/2)*CG28*CJ28*VLOOKUP('Données projet'!$B$12,Paramètres!$A$1:$I$89,3,0)*0.475*44/12</f>
        <v>5.4770631687739346</v>
      </c>
      <c r="CN28" s="22">
        <f t="shared" si="12"/>
        <v>15.004947303842201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70</v>
      </c>
      <c r="CR28" s="12">
        <f>VLOOKUP(A28,'Données projet'!$A$139:$I$159,9,0)</f>
        <v>5.6</v>
      </c>
      <c r="CS28" s="12">
        <f t="array" ref="CS28">INDEX(CR:CR,MIN(IF(ISNUMBER(CR28:CR224),ROW(CR28:CR224),"")))</f>
        <v>5.6</v>
      </c>
      <c r="CT28" s="12">
        <f>IF('Données projet'!$A$140&gt;35,CT27+CS28-DB27,IF(A28&lt;'Données projet'!$A$140,$CQ$205^A28,IF(A28='Données projet'!$A$140,'Données projet'!$B$140,CT27+CS28-DB27)))</f>
        <v>70</v>
      </c>
      <c r="CU28" s="17">
        <f>CT28*VLOOKUP('Données projet'!$B$13,Paramètres!$A$1:$I$89,3,0)*VLOOKUP('Données projet'!$B$13,Paramètres!$A$1:$I$89,5,0)</f>
        <v>75.347999999999999</v>
      </c>
      <c r="CV28" s="13">
        <f t="shared" si="41"/>
        <v>20.99581051771704</v>
      </c>
      <c r="CW28" s="20">
        <f t="shared" si="13"/>
        <v>167.79880331835713</v>
      </c>
      <c r="CX28" s="57">
        <f t="shared" si="14"/>
        <v>455.02102554057933</v>
      </c>
      <c r="CY28" s="57">
        <f ca="1">AVERAGE(OFFSET($CX$3,0,0,'Données projet'!$E$13+1,1))-AVERAGE(OFFSET($H$3,0,0,'Données projet'!$E$13+1,1))</f>
        <v>436.59978658837537</v>
      </c>
      <c r="CZ28" s="57">
        <f t="shared" si="42"/>
        <v>267.2998309535638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30</v>
      </c>
      <c r="DM28" s="12">
        <f>VLOOKUP(A28,'Données projet'!$A$165:$I$185,9,0)</f>
        <v>1.2</v>
      </c>
      <c r="DN28" s="12">
        <f t="array" ref="DN28">INDEX(DM:DM,MIN(IF(ISNUMBER(DM28:DM224),ROW(DM28:DM224),"")))</f>
        <v>1.2</v>
      </c>
      <c r="DO28" s="12">
        <f>IF('Données projet'!$A$166&gt;35,DO27+DN28-DW27,IF(A28&lt;'Données projet'!$A$166,$DL$205^A28,IF(A28='Données projet'!$A$166,'Données projet'!$B$166,DO27+DN28-DW27)))</f>
        <v>30</v>
      </c>
      <c r="DP28" s="17">
        <f>DO28*VLOOKUP('Données projet'!$B$14,Paramètres!$A$1:$I$89,3,0)*VLOOKUP('Données projet'!$B$14,Paramètres!$A$1:$I$89,5,0)</f>
        <v>28.548000000000002</v>
      </c>
      <c r="DQ28" s="13">
        <f t="shared" si="43"/>
        <v>8.9063291829603273</v>
      </c>
      <c r="DR28" s="20">
        <f t="shared" si="16"/>
        <v>65.232956660322571</v>
      </c>
      <c r="DS28" s="57">
        <f t="shared" si="17"/>
        <v>352.45517888254483</v>
      </c>
      <c r="DT28" s="57">
        <f ca="1">AVERAGE(OFFSET($DS$3,0,0,'Données projet'!$E$14+1,1))-AVERAGE(OFFSET($H$3,0,0,'Données projet'!$E$14+1,1))</f>
        <v>292.95981568144879</v>
      </c>
      <c r="DU28" s="57">
        <f t="shared" si="44"/>
        <v>152.23954167722536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7" t="e">
        <f t="shared" si="20"/>
        <v>#N/A</v>
      </c>
      <c r="EO28" s="57" t="e">
        <f ca="1">AVERAGE(OFFSET($EN$3,0,0,'Données projet'!$E$15+1,1))-AVERAGE(OFFSET($H$3,0,0,'Données projet'!$E$15+1,1))</f>
        <v>#N/A</v>
      </c>
      <c r="EP28" s="57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7" t="e">
        <f t="shared" si="23"/>
        <v>#N/A</v>
      </c>
      <c r="FJ28" s="57" t="e">
        <f ca="1">AVERAGE(OFFSET($FI$3,0,0,'Données projet'!$E$16+1,1))-AVERAGE(OFFSET($H$3,0,0,'Données projet'!$E$16+1,1))</f>
        <v>#N/A</v>
      </c>
      <c r="FK28" s="57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7" t="e">
        <f t="shared" si="26"/>
        <v>#N/A</v>
      </c>
      <c r="GE28" s="57" t="e">
        <f ca="1">AVERAGE(OFFSET($GD$3,0,0,'Données projet'!$E$17+1,1))-AVERAGE(OFFSET($H$3,0,0,'Données projet'!$E$17+1,1))</f>
        <v>#N/A</v>
      </c>
      <c r="GF28" s="57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7" t="e">
        <f t="shared" si="29"/>
        <v>#N/A</v>
      </c>
      <c r="GZ28" s="57" t="e">
        <f ca="1">AVERAGE(OFFSET($GY$3,0,0,'Données projet'!$E$18+1,1))-AVERAGE(OFFSET($H$3,0,0,'Données projet'!$E$18+1,1))</f>
        <v>#N/A</v>
      </c>
      <c r="HA28" s="57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1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5">
        <f t="shared" si="1"/>
        <v>256.66666666666669</v>
      </c>
      <c r="I29" s="6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5.4</v>
      </c>
      <c r="N29" s="13">
        <f>IF('Données projet'!$A$36&gt;35,N28+M29-V28,IF(A29&lt;'Données projet'!$A$36,$K$205^A29,IF(A29='Données projet'!$A$36,'Données projet'!$B$36,N28+M29-V28)))</f>
        <v>75.400000000000006</v>
      </c>
      <c r="O29" s="13">
        <f>N29*VLOOKUP('Données projet'!$B$9,Paramètres!$A$1:$I$89,3,0)*VLOOKUP('Données projet'!$B$9,Paramètres!$A$1:$I$89,5,0)</f>
        <v>68.221919999999997</v>
      </c>
      <c r="P29" s="13">
        <f t="shared" si="33"/>
        <v>19.23123860664986</v>
      </c>
      <c r="Q29" s="20">
        <f t="shared" si="2"/>
        <v>152.31425123991514</v>
      </c>
      <c r="R29" s="57">
        <f t="shared" si="0"/>
        <v>440.75869568435962</v>
      </c>
      <c r="S29" s="57">
        <f ca="1">AVERAGE(OFFSET($R$3,0,0,'Données projet'!$E$9+1,1))-AVERAGE(OFFSET($H$3,0,0,'Données projet'!$E$9+1,1))</f>
        <v>373.45926089889866</v>
      </c>
      <c r="T29" s="57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5.4</v>
      </c>
      <c r="AI29" s="13">
        <f>IF('Données projet'!$A$62&gt;35,AI28+AH29-AQ28,IF(A29&lt;'Données projet'!$A$62,$AF$205^A29,IF(A29='Données projet'!$A$62,'Données projet'!$B$62,AI28+AH29-AQ28)))</f>
        <v>75.400000000000006</v>
      </c>
      <c r="AJ29" s="13">
        <f>AI29*VLOOKUP('Données projet'!$B$10,Paramètres!$A$1:$I$89,3,0)*VLOOKUP('Données projet'!$B$10,Paramètres!$A$1:$I$89,5,0)</f>
        <v>71.750640000000004</v>
      </c>
      <c r="AK29" s="13">
        <f t="shared" si="35"/>
        <v>20.107576209927593</v>
      </c>
      <c r="AL29" s="20">
        <f t="shared" si="4"/>
        <v>159.98639323229057</v>
      </c>
      <c r="AM29" s="57">
        <f t="shared" si="5"/>
        <v>448.430837676735</v>
      </c>
      <c r="AN29" s="57">
        <f ca="1">AVERAGE(OFFSET($AM$3,0,0,'Données projet'!$E$10+1,1))-AVERAGE(OFFSET($H$3,0,0,'Données projet'!$E$10+1,1))</f>
        <v>390.70240761116355</v>
      </c>
      <c r="AO29" s="57">
        <f t="shared" si="36"/>
        <v>241.18285512887638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5.4</v>
      </c>
      <c r="BD29" s="12">
        <f>IF('Données projet'!$A$88&gt;35,BD28+BC29-BL28,IF(A29&lt;'Données projet'!$A$88,$BA$205^A29,IF(A29='Données projet'!$A$88,'Données projet'!$B$88,BD28+BC29-BL28)))</f>
        <v>75.400000000000006</v>
      </c>
      <c r="BE29" s="13">
        <f>BD29*VLOOKUP('Données projet'!$B$11,Paramètres!$A$1:$I$89,3,0)*VLOOKUP('Données projet'!$B$11,Paramètres!$A$1:$I$89,5,0)</f>
        <v>72.926880000000011</v>
      </c>
      <c r="BF29" s="13">
        <f t="shared" si="37"/>
        <v>20.398563182833673</v>
      </c>
      <c r="BG29" s="20">
        <f t="shared" si="7"/>
        <v>162.54181354343532</v>
      </c>
      <c r="BH29" s="57">
        <f t="shared" si="8"/>
        <v>450.98625798787975</v>
      </c>
      <c r="BI29" s="57">
        <f ca="1">AVERAGE(OFFSET($BH$3,0,0,'Données projet'!$E$11+1,1))-AVERAGE(OFFSET($H$3,0,0,'Données projet'!$E$11+1,1))</f>
        <v>396.44612884768748</v>
      </c>
      <c r="BJ29" s="57">
        <f t="shared" si="38"/>
        <v>244.451492444461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17.026666666666671</v>
      </c>
      <c r="BY29" s="12">
        <f>IF('Données projet'!$A$114&gt;35,BY28+BX29-CG28,IF(A29&lt;'Données projet'!$A$114,$BV$205^A29,IF(A29='Données projet'!$A$114,'Données projet'!$B$114,BY28+BX29-CG28)))</f>
        <v>138.46333333333337</v>
      </c>
      <c r="BZ29" s="13">
        <f>BY29*VLOOKUP('Données projet'!$B$12,Paramètres!$A$1:$I$89,3,0)*VLOOKUP('Données projet'!$B$12,Paramètres!$A$1:$I$89,5,0)</f>
        <v>82.801073333333363</v>
      </c>
      <c r="CA29" s="13">
        <f t="shared" si="39"/>
        <v>22.820683346258413</v>
      </c>
      <c r="CB29" s="20">
        <f t="shared" si="10"/>
        <v>183.95789288362235</v>
      </c>
      <c r="CC29" s="57">
        <f t="shared" si="11"/>
        <v>472.40233732806678</v>
      </c>
      <c r="CD29" s="57">
        <f ca="1">AVERAGE(OFFSET($CC$3,0,0,'Données projet'!$E$12+1,1))-AVERAGE(OFFSET($H$3,0,0,'Données projet'!$E$12+1,1))</f>
        <v>259.64096626089821</v>
      </c>
      <c r="CE29" s="57">
        <f t="shared" si="40"/>
        <v>258.1415293081597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9.2673436423451747</v>
      </c>
      <c r="CM29" s="21">
        <f>EXP(-LN(2)/2)*CM28+(1-EXP(-LN(2)/2))/(LN(2)/2)*CG29*CJ29*VLOOKUP('Données projet'!$B$12,Paramètres!$A$1:$I$89,3,0)*0.475*44/12</f>
        <v>3.8728685076271296</v>
      </c>
      <c r="CN29" s="22">
        <f t="shared" si="12"/>
        <v>13.140212149972305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5.4</v>
      </c>
      <c r="CT29" s="12">
        <f>IF('Données projet'!$A$140&gt;35,CT28+CS29-DB28,IF(A29&lt;'Données projet'!$A$140,$CQ$205^A29,IF(A29='Données projet'!$A$140,'Données projet'!$B$140,CT28+CS29-DB28)))</f>
        <v>75.400000000000006</v>
      </c>
      <c r="CU29" s="17">
        <f>CT29*VLOOKUP('Données projet'!$B$13,Paramètres!$A$1:$I$89,3,0)*VLOOKUP('Données projet'!$B$13,Paramètres!$A$1:$I$89,5,0)</f>
        <v>81.160560000000004</v>
      </c>
      <c r="CV29" s="13">
        <f t="shared" si="41"/>
        <v>22.420708782464519</v>
      </c>
      <c r="CW29" s="20">
        <f t="shared" si="13"/>
        <v>180.40404312945904</v>
      </c>
      <c r="CX29" s="57">
        <f t="shared" si="14"/>
        <v>468.84848757390353</v>
      </c>
      <c r="CY29" s="57">
        <f ca="1">AVERAGE(OFFSET($CX$3,0,0,'Données projet'!$E$13+1,1))-AVERAGE(OFFSET($H$3,0,0,'Données projet'!$E$13+1,1))</f>
        <v>436.59978658837537</v>
      </c>
      <c r="CZ29" s="57">
        <f t="shared" si="42"/>
        <v>267.2998309535638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4.8</v>
      </c>
      <c r="DO29" s="12">
        <f>IF('Données projet'!$A$166&gt;35,DO28+DN29-DW28,IF(A29&lt;'Données projet'!$A$166,$DL$205^A29,IF(A29='Données projet'!$A$166,'Données projet'!$B$166,DO28+DN29-DW28)))</f>
        <v>34.799999999999997</v>
      </c>
      <c r="DP29" s="17">
        <f>DO29*VLOOKUP('Données projet'!$B$14,Paramètres!$A$1:$I$89,3,0)*VLOOKUP('Données projet'!$B$14,Paramètres!$A$1:$I$89,5,0)</f>
        <v>33.115679999999998</v>
      </c>
      <c r="DQ29" s="13">
        <f t="shared" si="43"/>
        <v>10.154389597618938</v>
      </c>
      <c r="DR29" s="20">
        <f t="shared" si="16"/>
        <v>75.36203788251963</v>
      </c>
      <c r="DS29" s="57">
        <f t="shared" si="17"/>
        <v>363.8064823269641</v>
      </c>
      <c r="DT29" s="57">
        <f ca="1">AVERAGE(OFFSET($DS$3,0,0,'Données projet'!$E$14+1,1))-AVERAGE(OFFSET($H$3,0,0,'Données projet'!$E$14+1,1))</f>
        <v>292.95981568144879</v>
      </c>
      <c r="DU29" s="57">
        <f t="shared" si="44"/>
        <v>152.23954167722536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7" t="e">
        <f t="shared" si="20"/>
        <v>#N/A</v>
      </c>
      <c r="EO29" s="57" t="e">
        <f ca="1">AVERAGE(OFFSET($EN$3,0,0,'Données projet'!$E$15+1,1))-AVERAGE(OFFSET($H$3,0,0,'Données projet'!$E$15+1,1))</f>
        <v>#N/A</v>
      </c>
      <c r="EP29" s="57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7" t="e">
        <f t="shared" si="23"/>
        <v>#N/A</v>
      </c>
      <c r="FJ29" s="57" t="e">
        <f ca="1">AVERAGE(OFFSET($FI$3,0,0,'Données projet'!$E$16+1,1))-AVERAGE(OFFSET($H$3,0,0,'Données projet'!$E$16+1,1))</f>
        <v>#N/A</v>
      </c>
      <c r="FK29" s="57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7" t="e">
        <f t="shared" si="26"/>
        <v>#N/A</v>
      </c>
      <c r="GE29" s="57" t="e">
        <f ca="1">AVERAGE(OFFSET($GD$3,0,0,'Données projet'!$E$17+1,1))-AVERAGE(OFFSET($H$3,0,0,'Données projet'!$E$17+1,1))</f>
        <v>#N/A</v>
      </c>
      <c r="GF29" s="57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7" t="e">
        <f t="shared" si="29"/>
        <v>#N/A</v>
      </c>
      <c r="GZ29" s="57" t="e">
        <f ca="1">AVERAGE(OFFSET($GY$3,0,0,'Données projet'!$E$18+1,1))-AVERAGE(OFFSET($H$3,0,0,'Données projet'!$E$18+1,1))</f>
        <v>#N/A</v>
      </c>
      <c r="HA29" s="57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1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5">
        <f t="shared" si="1"/>
        <v>256.66666666666669</v>
      </c>
      <c r="I30" s="6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5.4</v>
      </c>
      <c r="N30" s="13">
        <f>IF('Données projet'!$A$36&gt;35,N29+M30-V29,IF(A30&lt;'Données projet'!$A$36,$K$205^A30,IF(A30='Données projet'!$A$36,'Données projet'!$B$36,N29+M30-V29)))</f>
        <v>80.800000000000011</v>
      </c>
      <c r="O30" s="13">
        <f>N30*VLOOKUP('Données projet'!$B$9,Paramètres!$A$1:$I$89,3,0)*VLOOKUP('Données projet'!$B$9,Paramètres!$A$1:$I$89,5,0)</f>
        <v>73.10784000000001</v>
      </c>
      <c r="P30" s="13">
        <f t="shared" si="33"/>
        <v>20.443281718403117</v>
      </c>
      <c r="Q30" s="20">
        <f t="shared" si="2"/>
        <v>162.93487032621877</v>
      </c>
      <c r="R30" s="57">
        <f t="shared" si="0"/>
        <v>452.60153699288549</v>
      </c>
      <c r="S30" s="57">
        <f ca="1">AVERAGE(OFFSET($R$3,0,0,'Données projet'!$E$9+1,1))-AVERAGE(OFFSET($H$3,0,0,'Données projet'!$E$9+1,1))</f>
        <v>373.45926089889866</v>
      </c>
      <c r="T30" s="57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5.4</v>
      </c>
      <c r="AI30" s="13">
        <f>IF('Données projet'!$A$62&gt;35,AI29+AH30-AQ29,IF(A30&lt;'Données projet'!$A$62,$AF$205^A30,IF(A30='Données projet'!$A$62,'Données projet'!$B$62,AI29+AH30-AQ29)))</f>
        <v>80.800000000000011</v>
      </c>
      <c r="AJ30" s="13">
        <f>AI30*VLOOKUP('Données projet'!$B$10,Paramètres!$A$1:$I$89,3,0)*VLOOKUP('Données projet'!$B$10,Paramètres!$A$1:$I$89,5,0)</f>
        <v>76.889280000000014</v>
      </c>
      <c r="AK30" s="13">
        <f t="shared" si="35"/>
        <v>21.3748502393221</v>
      </c>
      <c r="AL30" s="20">
        <f t="shared" si="4"/>
        <v>171.14336016681935</v>
      </c>
      <c r="AM30" s="57">
        <f t="shared" si="5"/>
        <v>460.81002683348606</v>
      </c>
      <c r="AN30" s="57">
        <f ca="1">AVERAGE(OFFSET($AM$3,0,0,'Données projet'!$E$10+1,1))-AVERAGE(OFFSET($H$3,0,0,'Données projet'!$E$10+1,1))</f>
        <v>390.70240761116355</v>
      </c>
      <c r="AO30" s="57">
        <f t="shared" si="36"/>
        <v>241.18285512887638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5.4</v>
      </c>
      <c r="BD30" s="12">
        <f>IF('Données projet'!$A$88&gt;35,BD29+BC30-BL29,IF(A30&lt;'Données projet'!$A$88,$BA$205^A30,IF(A30='Données projet'!$A$88,'Données projet'!$B$88,BD29+BC30-BL29)))</f>
        <v>80.800000000000011</v>
      </c>
      <c r="BE30" s="13">
        <f>BD30*VLOOKUP('Données projet'!$B$11,Paramètres!$A$1:$I$89,3,0)*VLOOKUP('Données projet'!$B$11,Paramètres!$A$1:$I$89,5,0)</f>
        <v>78.149760000000015</v>
      </c>
      <c r="BF30" s="13">
        <f t="shared" si="37"/>
        <v>21.684176579927502</v>
      </c>
      <c r="BG30" s="20">
        <f t="shared" si="7"/>
        <v>173.87743954337375</v>
      </c>
      <c r="BH30" s="57">
        <f t="shared" si="8"/>
        <v>463.54410621004047</v>
      </c>
      <c r="BI30" s="57">
        <f ca="1">AVERAGE(OFFSET($BH$3,0,0,'Données projet'!$E$11+1,1))-AVERAGE(OFFSET($H$3,0,0,'Données projet'!$E$11+1,1))</f>
        <v>396.44612884768748</v>
      </c>
      <c r="BJ30" s="57">
        <f t="shared" si="38"/>
        <v>244.451492444461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155.49</v>
      </c>
      <c r="BW30" s="12">
        <f>VLOOKUP(A30,'Données projet'!$A$113:$I$133,9,0)</f>
        <v>17.026666666666671</v>
      </c>
      <c r="BX30" s="12">
        <f t="array" ref="BX30">INDEX(BW:BW,MIN(IF(ISNUMBER(BW30:BW226),ROW(BW30:BW226),"")))</f>
        <v>17.026666666666671</v>
      </c>
      <c r="BY30" s="12">
        <f>IF('Données projet'!$A$114&gt;35,BY29+BX30-CG29,IF(A30&lt;'Données projet'!$A$114,$BV$205^A30,IF(A30='Données projet'!$A$114,'Données projet'!$B$114,BY29+BX30-CG29)))</f>
        <v>155.49000000000004</v>
      </c>
      <c r="BZ30" s="13">
        <f>BY30*VLOOKUP('Données projet'!$B$12,Paramètres!$A$1:$I$89,3,0)*VLOOKUP('Données projet'!$B$12,Paramètres!$A$1:$I$89,5,0)</f>
        <v>92.983020000000025</v>
      </c>
      <c r="CA30" s="13">
        <f t="shared" si="39"/>
        <v>25.283286610692258</v>
      </c>
      <c r="CB30" s="20">
        <f t="shared" si="10"/>
        <v>205.98048401362237</v>
      </c>
      <c r="CC30" s="57">
        <f t="shared" si="11"/>
        <v>495.64715068028909</v>
      </c>
      <c r="CD30" s="57">
        <f ca="1">AVERAGE(OFFSET($CC$3,0,0,'Données projet'!$E$12+1,1))-AVERAGE(OFFSET($H$3,0,0,'Données projet'!$E$12+1,1))</f>
        <v>259.64096626089821</v>
      </c>
      <c r="CE30" s="57">
        <f t="shared" si="40"/>
        <v>258.1415293081597</v>
      </c>
      <c r="CF30" s="15">
        <f>IF(ISNA(VLOOKUP(A30,'Données projet'!$A$113:$I$133,3,0)),0,VLOOKUP(A30,'Données projet'!$A$113:$I$133,3,0))</f>
        <v>5</v>
      </c>
      <c r="CG30" s="15">
        <f>IF(ISNA(VLOOKUP(A30,'Données projet'!$A$113:$I$133,4,0)),0,VLOOKUP(A30,'Données projet'!$A$113:$I$133,4,0))</f>
        <v>37.840000000000003</v>
      </c>
      <c r="CH30" s="16">
        <f>IF(ISNA(VLOOKUP(A30,'Données projet'!$A$113:$I$133,5,0)),0%,VLOOKUP(A30,'Données projet'!$A$113:$I$133,5,0)*VLOOKUP('Données projet'!$B$12,Paramètres!$A$1:$I$89,7,0))</f>
        <v>9.0000000000000011E-2</v>
      </c>
      <c r="CI30" s="16">
        <f>IF(ISNA(VLOOKUP(A30,'Données projet'!$A$113:$I$133,6,0)),0%,VLOOKUP(A30,'Données projet'!$A$113:$I$133,6,0)*VLOOKUP('Données projet'!$B$12,Paramètres!$A$1:$I$89,7,0))</f>
        <v>0.20250000000000001</v>
      </c>
      <c r="CJ30" s="16">
        <f>IF(ISNA(VLOOKUP(A30,'Données projet'!$A$113:$I$133,7,0)),0%,VLOOKUP(A30,'Données projet'!$A$113:$I$133,7,0))</f>
        <v>0.35</v>
      </c>
      <c r="CK30" s="21">
        <f>EXP(-LN(2)/35)*CK29+(1-EXP(-LN(2)/35))/(LN(2)/35)*CG30*CH30*VLOOKUP('Données projet'!$B$12,Paramètres!$A$1:$I$89,3,0)*0.475*44/12</f>
        <v>2.7016132498480498</v>
      </c>
      <c r="CL30" s="21">
        <f>EXP(-LN(2)/25)*CL29+(1-EXP(-LN(2)/25))/(LN(2)/25)*Calculateur!CG30*Calculateur!CI30*VLOOKUP('Données projet'!$B$12,Paramètres!$A$1:$I$89,3,0)*0.475*44/12</f>
        <v>15.068623573544929</v>
      </c>
      <c r="CM30" s="21">
        <f>EXP(-LN(2)/2)*CM29+(1-EXP(-LN(2)/2))/(LN(2)/2)*CG30*CJ30*VLOOKUP('Données projet'!$B$12,Paramètres!$A$1:$I$89,3,0)*0.475*44/12</f>
        <v>11.705711744354392</v>
      </c>
      <c r="CN30" s="22">
        <f t="shared" si="12"/>
        <v>29.47594856774737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5.4</v>
      </c>
      <c r="CT30" s="12">
        <f>IF('Données projet'!$A$140&gt;35,CT29+CS30-DB29,IF(A30&lt;'Données projet'!$A$140,$CQ$205^A30,IF(A30='Données projet'!$A$140,'Données projet'!$B$140,CT29+CS30-DB29)))</f>
        <v>80.800000000000011</v>
      </c>
      <c r="CU30" s="17">
        <f>CT30*VLOOKUP('Données projet'!$B$13,Paramètres!$A$1:$I$89,3,0)*VLOOKUP('Données projet'!$B$13,Paramètres!$A$1:$I$89,5,0)</f>
        <v>86.973120000000009</v>
      </c>
      <c r="CV30" s="13">
        <f t="shared" si="41"/>
        <v>23.833767306475281</v>
      </c>
      <c r="CW30" s="20">
        <f t="shared" si="13"/>
        <v>192.98866205877778</v>
      </c>
      <c r="CX30" s="57">
        <f t="shared" si="14"/>
        <v>482.65532872544446</v>
      </c>
      <c r="CY30" s="57">
        <f ca="1">AVERAGE(OFFSET($CX$3,0,0,'Données projet'!$E$13+1,1))-AVERAGE(OFFSET($H$3,0,0,'Données projet'!$E$13+1,1))</f>
        <v>436.59978658837537</v>
      </c>
      <c r="CZ30" s="57">
        <f t="shared" si="42"/>
        <v>267.2998309535638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4.8</v>
      </c>
      <c r="DO30" s="12">
        <f>IF('Données projet'!$A$166&gt;35,DO29+DN30-DW29,IF(A30&lt;'Données projet'!$A$166,$DL$205^A30,IF(A30='Données projet'!$A$166,'Données projet'!$B$166,DO29+DN30-DW29)))</f>
        <v>39.599999999999994</v>
      </c>
      <c r="DP30" s="17">
        <f>DO30*VLOOKUP('Données projet'!$B$14,Paramètres!$A$1:$I$89,3,0)*VLOOKUP('Données projet'!$B$14,Paramètres!$A$1:$I$89,5,0)</f>
        <v>37.683359999999993</v>
      </c>
      <c r="DQ30" s="13">
        <f t="shared" si="43"/>
        <v>11.382505490682499</v>
      </c>
      <c r="DR30" s="20">
        <f t="shared" si="16"/>
        <v>85.456382396271991</v>
      </c>
      <c r="DS30" s="57">
        <f t="shared" si="17"/>
        <v>375.12304906293866</v>
      </c>
      <c r="DT30" s="57">
        <f ca="1">AVERAGE(OFFSET($DS$3,0,0,'Données projet'!$E$14+1,1))-AVERAGE(OFFSET($H$3,0,0,'Données projet'!$E$14+1,1))</f>
        <v>292.95981568144879</v>
      </c>
      <c r="DU30" s="57">
        <f t="shared" si="44"/>
        <v>152.23954167722536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7" t="e">
        <f t="shared" si="20"/>
        <v>#N/A</v>
      </c>
      <c r="EO30" s="57" t="e">
        <f ca="1">AVERAGE(OFFSET($EN$3,0,0,'Données projet'!$E$15+1,1))-AVERAGE(OFFSET($H$3,0,0,'Données projet'!$E$15+1,1))</f>
        <v>#N/A</v>
      </c>
      <c r="EP30" s="57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7" t="e">
        <f t="shared" si="23"/>
        <v>#N/A</v>
      </c>
      <c r="FJ30" s="57" t="e">
        <f ca="1">AVERAGE(OFFSET($FI$3,0,0,'Données projet'!$E$16+1,1))-AVERAGE(OFFSET($H$3,0,0,'Données projet'!$E$16+1,1))</f>
        <v>#N/A</v>
      </c>
      <c r="FK30" s="57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7" t="e">
        <f t="shared" si="26"/>
        <v>#N/A</v>
      </c>
      <c r="GE30" s="57" t="e">
        <f ca="1">AVERAGE(OFFSET($GD$3,0,0,'Données projet'!$E$17+1,1))-AVERAGE(OFFSET($H$3,0,0,'Données projet'!$E$17+1,1))</f>
        <v>#N/A</v>
      </c>
      <c r="GF30" s="57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7" t="e">
        <f t="shared" si="29"/>
        <v>#N/A</v>
      </c>
      <c r="GZ30" s="57" t="e">
        <f ca="1">AVERAGE(OFFSET($GY$3,0,0,'Données projet'!$E$18+1,1))-AVERAGE(OFFSET($H$3,0,0,'Données projet'!$E$18+1,1))</f>
        <v>#N/A</v>
      </c>
      <c r="HA30" s="57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1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5">
        <f t="shared" si="1"/>
        <v>256.66666666666669</v>
      </c>
      <c r="I31" s="6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5.4</v>
      </c>
      <c r="N31" s="13">
        <f>IF('Données projet'!$A$36&gt;35,N30+M31-V30,IF(A31&lt;'Données projet'!$A$36,$K$205^A31,IF(A31='Données projet'!$A$36,'Données projet'!$B$36,N30+M31-V30)))</f>
        <v>86.200000000000017</v>
      </c>
      <c r="O31" s="13">
        <f>N31*VLOOKUP('Données projet'!$B$9,Paramètres!$A$1:$I$89,3,0)*VLOOKUP('Données projet'!$B$9,Paramètres!$A$1:$I$89,5,0)</f>
        <v>77.993760000000023</v>
      </c>
      <c r="P31" s="13">
        <f t="shared" si="33"/>
        <v>21.645925290308433</v>
      </c>
      <c r="Q31" s="20">
        <f t="shared" si="2"/>
        <v>173.53911854728722</v>
      </c>
      <c r="R31" s="57">
        <f t="shared" si="0"/>
        <v>464.42800743617607</v>
      </c>
      <c r="S31" s="57">
        <f ca="1">AVERAGE(OFFSET($R$3,0,0,'Données projet'!$E$9+1,1))-AVERAGE(OFFSET($H$3,0,0,'Données projet'!$E$9+1,1))</f>
        <v>373.45926089889866</v>
      </c>
      <c r="T31" s="57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5.4</v>
      </c>
      <c r="AI31" s="13">
        <f>IF('Données projet'!$A$62&gt;35,AI30+AH31-AQ30,IF(A31&lt;'Données projet'!$A$62,$AF$205^A31,IF(A31='Données projet'!$A$62,'Données projet'!$B$62,AI30+AH31-AQ30)))</f>
        <v>86.200000000000017</v>
      </c>
      <c r="AJ31" s="13">
        <f>AI31*VLOOKUP('Données projet'!$B$10,Paramètres!$A$1:$I$89,3,0)*VLOOKUP('Données projet'!$B$10,Paramètres!$A$1:$I$89,5,0)</f>
        <v>82.027920000000009</v>
      </c>
      <c r="AK31" s="13">
        <f t="shared" si="35"/>
        <v>22.632296406471401</v>
      </c>
      <c r="AL31" s="20">
        <f t="shared" si="4"/>
        <v>182.28321024127104</v>
      </c>
      <c r="AM31" s="57">
        <f t="shared" si="5"/>
        <v>473.17209913015989</v>
      </c>
      <c r="AN31" s="57">
        <f ca="1">AVERAGE(OFFSET($AM$3,0,0,'Données projet'!$E$10+1,1))-AVERAGE(OFFSET($H$3,0,0,'Données projet'!$E$10+1,1))</f>
        <v>390.70240761116355</v>
      </c>
      <c r="AO31" s="57">
        <f t="shared" si="36"/>
        <v>241.18285512887638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5.4</v>
      </c>
      <c r="BD31" s="12">
        <f>IF('Données projet'!$A$88&gt;35,BD30+BC31-BL30,IF(A31&lt;'Données projet'!$A$88,$BA$205^A31,IF(A31='Données projet'!$A$88,'Données projet'!$B$88,BD30+BC31-BL30)))</f>
        <v>86.200000000000017</v>
      </c>
      <c r="BE31" s="13">
        <f>BD31*VLOOKUP('Données projet'!$B$11,Paramètres!$A$1:$I$89,3,0)*VLOOKUP('Données projet'!$B$11,Paramètres!$A$1:$I$89,5,0)</f>
        <v>83.372640000000018</v>
      </c>
      <c r="BF31" s="13">
        <f t="shared" si="37"/>
        <v>22.959819890777826</v>
      </c>
      <c r="BG31" s="20">
        <f t="shared" si="7"/>
        <v>185.19570097643805</v>
      </c>
      <c r="BH31" s="57">
        <f t="shared" si="8"/>
        <v>476.0845898653269</v>
      </c>
      <c r="BI31" s="57">
        <f ca="1">AVERAGE(OFFSET($BH$3,0,0,'Données projet'!$E$11+1,1))-AVERAGE(OFFSET($H$3,0,0,'Données projet'!$E$11+1,1))</f>
        <v>396.44612884768748</v>
      </c>
      <c r="BJ31" s="57">
        <f t="shared" si="38"/>
        <v>244.451492444461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16.614999999999998</v>
      </c>
      <c r="BY31" s="12">
        <f>IF('Données projet'!$A$114&gt;35,BY30+BX31-CG30,IF(A31&lt;'Données projet'!$A$114,$BV$205^A31,IF(A31='Données projet'!$A$114,'Données projet'!$B$114,BY30+BX31-CG30)))</f>
        <v>134.26500000000004</v>
      </c>
      <c r="BZ31" s="13">
        <f>BY31*VLOOKUP('Données projet'!$B$12,Paramètres!$A$1:$I$89,3,0)*VLOOKUP('Données projet'!$B$12,Paramètres!$A$1:$I$89,5,0)</f>
        <v>80.290470000000042</v>
      </c>
      <c r="CA31" s="13">
        <f t="shared" si="39"/>
        <v>22.20819056593842</v>
      </c>
      <c r="CB31" s="20">
        <f t="shared" si="10"/>
        <v>178.51850048567619</v>
      </c>
      <c r="CC31" s="57">
        <f t="shared" si="11"/>
        <v>469.40738937456501</v>
      </c>
      <c r="CD31" s="57">
        <f ca="1">AVERAGE(OFFSET($CC$3,0,0,'Données projet'!$E$12+1,1))-AVERAGE(OFFSET($H$3,0,0,'Données projet'!$E$12+1,1))</f>
        <v>259.64096626089821</v>
      </c>
      <c r="CE31" s="57">
        <f t="shared" si="40"/>
        <v>258.1415293081597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2.6486362618399033</v>
      </c>
      <c r="CL31" s="21">
        <f>EXP(-LN(2)/25)*CL30+(1-EXP(-LN(2)/25))/(LN(2)/25)*Calculateur!CG31*Calculateur!CI31*VLOOKUP('Données projet'!$B$12,Paramètres!$A$1:$I$89,3,0)*0.475*44/12</f>
        <v>14.656571269501869</v>
      </c>
      <c r="CM31" s="21">
        <f>EXP(-LN(2)/2)*CM30+(1-EXP(-LN(2)/2))/(LN(2)/2)*CG31*CJ31*VLOOKUP('Données projet'!$B$12,Paramètres!$A$1:$I$89,3,0)*0.475*44/12</f>
        <v>8.2771881530480016</v>
      </c>
      <c r="CN31" s="22">
        <f t="shared" si="12"/>
        <v>25.582395684389773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5.4</v>
      </c>
      <c r="CT31" s="12">
        <f>IF('Données projet'!$A$140&gt;35,CT30+CS31-DB30,IF(A31&lt;'Données projet'!$A$140,$CQ$205^A31,IF(A31='Données projet'!$A$140,'Données projet'!$B$140,CT30+CS31-DB30)))</f>
        <v>86.200000000000017</v>
      </c>
      <c r="CU31" s="17">
        <f>CT31*VLOOKUP('Données projet'!$B$13,Paramètres!$A$1:$I$89,3,0)*VLOOKUP('Données projet'!$B$13,Paramètres!$A$1:$I$89,5,0)</f>
        <v>92.785680000000013</v>
      </c>
      <c r="CV31" s="13">
        <f t="shared" si="41"/>
        <v>25.235867391982413</v>
      </c>
      <c r="CW31" s="20">
        <f t="shared" si="13"/>
        <v>205.55419504103602</v>
      </c>
      <c r="CX31" s="57">
        <f t="shared" si="14"/>
        <v>496.44308392992491</v>
      </c>
      <c r="CY31" s="57">
        <f ca="1">AVERAGE(OFFSET($CX$3,0,0,'Données projet'!$E$13+1,1))-AVERAGE(OFFSET($H$3,0,0,'Données projet'!$E$13+1,1))</f>
        <v>436.59978658837537</v>
      </c>
      <c r="CZ31" s="57">
        <f t="shared" si="42"/>
        <v>267.2998309535638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4.8</v>
      </c>
      <c r="DO31" s="12">
        <f>IF('Données projet'!$A$166&gt;35,DO30+DN31-DW30,IF(A31&lt;'Données projet'!$A$166,$DL$205^A31,IF(A31='Données projet'!$A$166,'Données projet'!$B$166,DO30+DN31-DW30)))</f>
        <v>44.399999999999991</v>
      </c>
      <c r="DP31" s="17">
        <f>DO31*VLOOKUP('Données projet'!$B$14,Paramètres!$A$1:$I$89,3,0)*VLOOKUP('Données projet'!$B$14,Paramètres!$A$1:$I$89,5,0)</f>
        <v>42.251039999999989</v>
      </c>
      <c r="DQ31" s="13">
        <f t="shared" si="43"/>
        <v>12.593370905616945</v>
      </c>
      <c r="DR31" s="20">
        <f t="shared" si="16"/>
        <v>95.520682327282813</v>
      </c>
      <c r="DS31" s="57">
        <f t="shared" si="17"/>
        <v>386.40957121617168</v>
      </c>
      <c r="DT31" s="57">
        <f ca="1">AVERAGE(OFFSET($DS$3,0,0,'Données projet'!$E$14+1,1))-AVERAGE(OFFSET($H$3,0,0,'Données projet'!$E$14+1,1))</f>
        <v>292.95981568144879</v>
      </c>
      <c r="DU31" s="57">
        <f t="shared" si="44"/>
        <v>152.23954167722536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7" t="e">
        <f t="shared" si="20"/>
        <v>#N/A</v>
      </c>
      <c r="EO31" s="57" t="e">
        <f ca="1">AVERAGE(OFFSET($EN$3,0,0,'Données projet'!$E$15+1,1))-AVERAGE(OFFSET($H$3,0,0,'Données projet'!$E$15+1,1))</f>
        <v>#N/A</v>
      </c>
      <c r="EP31" s="57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7" t="e">
        <f t="shared" si="23"/>
        <v>#N/A</v>
      </c>
      <c r="FJ31" s="57" t="e">
        <f ca="1">AVERAGE(OFFSET($FI$3,0,0,'Données projet'!$E$16+1,1))-AVERAGE(OFFSET($H$3,0,0,'Données projet'!$E$16+1,1))</f>
        <v>#N/A</v>
      </c>
      <c r="FK31" s="57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7" t="e">
        <f t="shared" si="26"/>
        <v>#N/A</v>
      </c>
      <c r="GE31" s="57" t="e">
        <f ca="1">AVERAGE(OFFSET($GD$3,0,0,'Données projet'!$E$17+1,1))-AVERAGE(OFFSET($H$3,0,0,'Données projet'!$E$17+1,1))</f>
        <v>#N/A</v>
      </c>
      <c r="GF31" s="57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7" t="e">
        <f t="shared" si="29"/>
        <v>#N/A</v>
      </c>
      <c r="GZ31" s="57" t="e">
        <f ca="1">AVERAGE(OFFSET($GY$3,0,0,'Données projet'!$E$18+1,1))-AVERAGE(OFFSET($H$3,0,0,'Données projet'!$E$18+1,1))</f>
        <v>#N/A</v>
      </c>
      <c r="HA31" s="57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1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5">
        <f t="shared" si="1"/>
        <v>256.66666666666669</v>
      </c>
      <c r="I32" s="6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5.4</v>
      </c>
      <c r="N32" s="13">
        <f>IF('Données projet'!$A$36&gt;35,N31+M32-V31,IF(A32&lt;'Données projet'!$A$36,$K$205^A32,IF(A32='Données projet'!$A$36,'Données projet'!$B$36,N31+M32-V31)))</f>
        <v>91.600000000000023</v>
      </c>
      <c r="O32" s="13">
        <f>N32*VLOOKUP('Données projet'!$B$9,Paramètres!$A$1:$I$89,3,0)*VLOOKUP('Données projet'!$B$9,Paramètres!$A$1:$I$89,5,0)</f>
        <v>82.879680000000008</v>
      </c>
      <c r="P32" s="13">
        <f t="shared" si="33"/>
        <v>22.83982519050506</v>
      </c>
      <c r="Q32" s="20">
        <f t="shared" si="2"/>
        <v>184.12813820679631</v>
      </c>
      <c r="R32" s="57">
        <f t="shared" si="0"/>
        <v>476.23924931790748</v>
      </c>
      <c r="S32" s="57">
        <f ca="1">AVERAGE(OFFSET($R$3,0,0,'Données projet'!$E$9+1,1))-AVERAGE(OFFSET($H$3,0,0,'Données projet'!$E$9+1,1))</f>
        <v>373.45926089889866</v>
      </c>
      <c r="T32" s="57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5.4</v>
      </c>
      <c r="AI32" s="13">
        <f>IF('Données projet'!$A$62&gt;35,AI31+AH32-AQ31,IF(A32&lt;'Données projet'!$A$62,$AF$205^A32,IF(A32='Données projet'!$A$62,'Données projet'!$B$62,AI31+AH32-AQ31)))</f>
        <v>91.600000000000023</v>
      </c>
      <c r="AJ32" s="13">
        <f>AI32*VLOOKUP('Données projet'!$B$10,Paramètres!$A$1:$I$89,3,0)*VLOOKUP('Données projet'!$B$10,Paramètres!$A$1:$I$89,5,0)</f>
        <v>87.166560000000018</v>
      </c>
      <c r="AK32" s="13">
        <f t="shared" si="35"/>
        <v>23.880600466404793</v>
      </c>
      <c r="AL32" s="20">
        <f t="shared" si="4"/>
        <v>193.40713781232171</v>
      </c>
      <c r="AM32" s="57">
        <f t="shared" si="5"/>
        <v>485.51824892343285</v>
      </c>
      <c r="AN32" s="57">
        <f ca="1">AVERAGE(OFFSET($AM$3,0,0,'Données projet'!$E$10+1,1))-AVERAGE(OFFSET($H$3,0,0,'Données projet'!$E$10+1,1))</f>
        <v>390.70240761116355</v>
      </c>
      <c r="AO32" s="57">
        <f t="shared" si="36"/>
        <v>241.18285512887638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5.4</v>
      </c>
      <c r="BD32" s="12">
        <f>IF('Données projet'!$A$88&gt;35,BD31+BC32-BL31,IF(A32&lt;'Données projet'!$A$88,$BA$205^A32,IF(A32='Données projet'!$A$88,'Données projet'!$B$88,BD31+BC32-BL31)))</f>
        <v>91.600000000000023</v>
      </c>
      <c r="BE32" s="13">
        <f>BD32*VLOOKUP('Données projet'!$B$11,Paramètres!$A$1:$I$89,3,0)*VLOOKUP('Données projet'!$B$11,Paramètres!$A$1:$I$89,5,0)</f>
        <v>88.595520000000022</v>
      </c>
      <c r="BF32" s="13">
        <f t="shared" si="37"/>
        <v>24.226188794324088</v>
      </c>
      <c r="BG32" s="20">
        <f t="shared" si="7"/>
        <v>196.49780948344781</v>
      </c>
      <c r="BH32" s="57">
        <f t="shared" si="8"/>
        <v>488.60892059455898</v>
      </c>
      <c r="BI32" s="57">
        <f ca="1">AVERAGE(OFFSET($BH$3,0,0,'Données projet'!$E$11+1,1))-AVERAGE(OFFSET($H$3,0,0,'Données projet'!$E$11+1,1))</f>
        <v>396.44612884768748</v>
      </c>
      <c r="BJ32" s="57">
        <f t="shared" si="38"/>
        <v>244.451492444461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16.614999999999998</v>
      </c>
      <c r="BY32" s="12">
        <f>IF('Données projet'!$A$114&gt;35,BY31+BX32-CG31,IF(A32&lt;'Données projet'!$A$114,$BV$205^A32,IF(A32='Données projet'!$A$114,'Données projet'!$B$114,BY31+BX32-CG31)))</f>
        <v>150.88000000000005</v>
      </c>
      <c r="BZ32" s="13">
        <f>BY32*VLOOKUP('Données projet'!$B$12,Paramètres!$A$1:$I$89,3,0)*VLOOKUP('Données projet'!$B$12,Paramètres!$A$1:$I$89,5,0)</f>
        <v>90.226240000000033</v>
      </c>
      <c r="CA32" s="13">
        <f t="shared" si="39"/>
        <v>24.619780658757104</v>
      </c>
      <c r="CB32" s="20">
        <f t="shared" si="10"/>
        <v>200.02348598066865</v>
      </c>
      <c r="CC32" s="57">
        <f t="shared" si="11"/>
        <v>492.13459709177982</v>
      </c>
      <c r="CD32" s="57">
        <f ca="1">AVERAGE(OFFSET($CC$3,0,0,'Données projet'!$E$12+1,1))-AVERAGE(OFFSET($H$3,0,0,'Données projet'!$E$12+1,1))</f>
        <v>259.64096626089821</v>
      </c>
      <c r="CE32" s="57">
        <f t="shared" si="40"/>
        <v>258.1415293081597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2.5966981202538242</v>
      </c>
      <c r="CL32" s="21">
        <f>EXP(-LN(2)/25)*CL31+(1-EXP(-LN(2)/25))/(LN(2)/25)*Calculateur!CG32*Calculateur!CI32*VLOOKUP('Données projet'!$B$12,Paramètres!$A$1:$I$89,3,0)*0.475*44/12</f>
        <v>14.255786557381755</v>
      </c>
      <c r="CM32" s="21">
        <f>EXP(-LN(2)/2)*CM31+(1-EXP(-LN(2)/2))/(LN(2)/2)*CG32*CJ32*VLOOKUP('Données projet'!$B$12,Paramètres!$A$1:$I$89,3,0)*0.475*44/12</f>
        <v>5.852855872177197</v>
      </c>
      <c r="CN32" s="22">
        <f t="shared" si="12"/>
        <v>22.705340549812778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5.4</v>
      </c>
      <c r="CT32" s="12">
        <f>IF('Données projet'!$A$140&gt;35,CT31+CS32-DB31,IF(A32&lt;'Données projet'!$A$140,$CQ$205^A32,IF(A32='Données projet'!$A$140,'Données projet'!$B$140,CT31+CS32-DB31)))</f>
        <v>91.600000000000023</v>
      </c>
      <c r="CU32" s="17">
        <f>CT32*VLOOKUP('Données projet'!$B$13,Paramètres!$A$1:$I$89,3,0)*VLOOKUP('Données projet'!$B$13,Paramètres!$A$1:$I$89,5,0)</f>
        <v>98.598240000000018</v>
      </c>
      <c r="CV32" s="13">
        <f t="shared" si="41"/>
        <v>26.627773681807483</v>
      </c>
      <c r="CW32" s="20">
        <f t="shared" si="13"/>
        <v>218.10197382914805</v>
      </c>
      <c r="CX32" s="57">
        <f t="shared" si="14"/>
        <v>510.21308494025919</v>
      </c>
      <c r="CY32" s="57">
        <f ca="1">AVERAGE(OFFSET($CX$3,0,0,'Données projet'!$E$13+1,1))-AVERAGE(OFFSET($H$3,0,0,'Données projet'!$E$13+1,1))</f>
        <v>436.59978658837537</v>
      </c>
      <c r="CZ32" s="57">
        <f t="shared" si="42"/>
        <v>267.2998309535638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4.8</v>
      </c>
      <c r="DO32" s="12">
        <f>IF('Données projet'!$A$166&gt;35,DO31+DN32-DW31,IF(A32&lt;'Données projet'!$A$166,$DL$205^A32,IF(A32='Données projet'!$A$166,'Données projet'!$B$166,DO31+DN32-DW31)))</f>
        <v>49.199999999999989</v>
      </c>
      <c r="DP32" s="17">
        <f>DO32*VLOOKUP('Données projet'!$B$14,Paramètres!$A$1:$I$89,3,0)*VLOOKUP('Données projet'!$B$14,Paramètres!$A$1:$I$89,5,0)</f>
        <v>46.818719999999992</v>
      </c>
      <c r="DQ32" s="13">
        <f t="shared" si="43"/>
        <v>13.789063354733791</v>
      </c>
      <c r="DR32" s="20">
        <f t="shared" si="16"/>
        <v>105.55855600949467</v>
      </c>
      <c r="DS32" s="57">
        <f t="shared" si="17"/>
        <v>397.66966712060582</v>
      </c>
      <c r="DT32" s="57">
        <f ca="1">AVERAGE(OFFSET($DS$3,0,0,'Données projet'!$E$14+1,1))-AVERAGE(OFFSET($H$3,0,0,'Données projet'!$E$14+1,1))</f>
        <v>292.95981568144879</v>
      </c>
      <c r="DU32" s="57">
        <f t="shared" si="44"/>
        <v>152.23954167722536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7" t="e">
        <f t="shared" si="20"/>
        <v>#N/A</v>
      </c>
      <c r="EO32" s="57" t="e">
        <f ca="1">AVERAGE(OFFSET($EN$3,0,0,'Données projet'!$E$15+1,1))-AVERAGE(OFFSET($H$3,0,0,'Données projet'!$E$15+1,1))</f>
        <v>#N/A</v>
      </c>
      <c r="EP32" s="57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7" t="e">
        <f t="shared" si="23"/>
        <v>#N/A</v>
      </c>
      <c r="FJ32" s="57" t="e">
        <f ca="1">AVERAGE(OFFSET($FI$3,0,0,'Données projet'!$E$16+1,1))-AVERAGE(OFFSET($H$3,0,0,'Données projet'!$E$16+1,1))</f>
        <v>#N/A</v>
      </c>
      <c r="FK32" s="57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7" t="e">
        <f t="shared" si="26"/>
        <v>#N/A</v>
      </c>
      <c r="GE32" s="57" t="e">
        <f ca="1">AVERAGE(OFFSET($GD$3,0,0,'Données projet'!$E$17+1,1))-AVERAGE(OFFSET($H$3,0,0,'Données projet'!$E$17+1,1))</f>
        <v>#N/A</v>
      </c>
      <c r="GF32" s="57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7" t="e">
        <f t="shared" si="29"/>
        <v>#N/A</v>
      </c>
      <c r="GZ32" s="57" t="e">
        <f ca="1">AVERAGE(OFFSET($GY$3,0,0,'Données projet'!$E$18+1,1))-AVERAGE(OFFSET($H$3,0,0,'Données projet'!$E$18+1,1))</f>
        <v>#N/A</v>
      </c>
      <c r="HA32" s="57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1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5">
        <f t="shared" si="1"/>
        <v>256.66666666666669</v>
      </c>
      <c r="I33" s="6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5.4</v>
      </c>
      <c r="M33" s="12">
        <f t="array" ref="M33">INDEX(L:L,MIN(IF(ISNUMBER(L33:L229),ROW(L33:L229),"")))</f>
        <v>5.4</v>
      </c>
      <c r="N33" s="13">
        <f>IF('Données projet'!$A$36&gt;35,N32+M33-V32,IF(A33&lt;'Données projet'!$A$36,$K$205^A33,IF(A33='Données projet'!$A$36,'Données projet'!$B$36,N32+M33-V32)))</f>
        <v>97.000000000000028</v>
      </c>
      <c r="O33" s="13">
        <f>N33*VLOOKUP('Données projet'!$B$9,Paramètres!$A$1:$I$89,3,0)*VLOOKUP('Données projet'!$B$9,Paramètres!$A$1:$I$89,5,0)</f>
        <v>87.76560000000002</v>
      </c>
      <c r="P33" s="13">
        <f t="shared" si="33"/>
        <v>24.025555589247954</v>
      </c>
      <c r="Q33" s="20">
        <f t="shared" si="2"/>
        <v>194.7029293179402</v>
      </c>
      <c r="R33" s="57">
        <f t="shared" si="0"/>
        <v>488.03626265127355</v>
      </c>
      <c r="S33" s="57">
        <f ca="1">AVERAGE(OFFSET($R$3,0,0,'Données projet'!$E$9+1,1))-AVERAGE(OFFSET($H$3,0,0,'Données projet'!$E$9+1,1))</f>
        <v>373.45926089889866</v>
      </c>
      <c r="T33" s="57">
        <f t="shared" si="34"/>
        <v>231.36959598460686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5.4</v>
      </c>
      <c r="AH33" s="12">
        <f t="array" ref="AH33">INDEX(AG:AG,MIN(IF(ISNUMBER(AG33:AG229),ROW(AG33:AG229),"")))</f>
        <v>5.4</v>
      </c>
      <c r="AI33" s="13">
        <f>IF('Données projet'!$A$62&gt;35,AI32+AH33-AQ32,IF(A33&lt;'Données projet'!$A$62,$AF$205^A33,IF(A33='Données projet'!$A$62,'Données projet'!$B$62,AI32+AH33-AQ32)))</f>
        <v>97.000000000000028</v>
      </c>
      <c r="AJ33" s="13">
        <f>AI33*VLOOKUP('Données projet'!$B$10,Paramètres!$A$1:$I$89,3,0)*VLOOKUP('Données projet'!$B$10,Paramètres!$A$1:$I$89,5,0)</f>
        <v>92.305200000000028</v>
      </c>
      <c r="AK33" s="13">
        <f t="shared" si="35"/>
        <v>25.12036275342183</v>
      </c>
      <c r="AL33" s="20">
        <f t="shared" si="4"/>
        <v>204.51618846220973</v>
      </c>
      <c r="AM33" s="57">
        <f t="shared" si="5"/>
        <v>497.84952179554307</v>
      </c>
      <c r="AN33" s="57">
        <f ca="1">AVERAGE(OFFSET($AM$3,0,0,'Données projet'!$E$10+1,1))-AVERAGE(OFFSET($H$3,0,0,'Données projet'!$E$10+1,1))</f>
        <v>390.70240761116355</v>
      </c>
      <c r="AO33" s="57">
        <f t="shared" si="36"/>
        <v>241.18285512887638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5.4</v>
      </c>
      <c r="BC33" s="12">
        <f t="array" ref="BC33">INDEX(BB:BB,MIN(IF(ISNUMBER(BB33:BB229),ROW(BB33:BB229),"")))</f>
        <v>5.4</v>
      </c>
      <c r="BD33" s="12">
        <f>IF('Données projet'!$A$88&gt;35,BD32+BC33-BL32,IF(A33&lt;'Données projet'!$A$88,$BA$205^A33,IF(A33='Données projet'!$A$88,'Données projet'!$B$88,BD32+BC33-BL32)))</f>
        <v>97.000000000000028</v>
      </c>
      <c r="BE33" s="13">
        <f>BD33*VLOOKUP('Données projet'!$B$11,Paramètres!$A$1:$I$89,3,0)*VLOOKUP('Données projet'!$B$11,Paramètres!$A$1:$I$89,5,0)</f>
        <v>93.818400000000025</v>
      </c>
      <c r="BF33" s="13">
        <f t="shared" si="37"/>
        <v>25.483892312609182</v>
      </c>
      <c r="BG33" s="20">
        <f t="shared" si="7"/>
        <v>207.78482577779437</v>
      </c>
      <c r="BH33" s="57">
        <f t="shared" si="8"/>
        <v>501.11815911112768</v>
      </c>
      <c r="BI33" s="57">
        <f ca="1">AVERAGE(OFFSET($BH$3,0,0,'Données projet'!$E$11+1,1))-AVERAGE(OFFSET($H$3,0,0,'Données projet'!$E$11+1,1))</f>
        <v>396.44612884768748</v>
      </c>
      <c r="BJ33" s="57">
        <f t="shared" si="38"/>
        <v>244.451492444461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16.614999999999998</v>
      </c>
      <c r="BY33" s="12">
        <f>IF('Données projet'!$A$114&gt;35,BY32+BX33-CG32,IF(A33&lt;'Données projet'!$A$114,$BV$205^A33,IF(A33='Données projet'!$A$114,'Données projet'!$B$114,BY32+BX33-CG32)))</f>
        <v>167.49500000000006</v>
      </c>
      <c r="BZ33" s="13">
        <f>BY33*VLOOKUP('Données projet'!$B$12,Paramètres!$A$1:$I$89,3,0)*VLOOKUP('Données projet'!$B$12,Paramètres!$A$1:$I$89,5,0)</f>
        <v>100.16201000000005</v>
      </c>
      <c r="CA33" s="13">
        <f t="shared" si="39"/>
        <v>27.000590559708908</v>
      </c>
      <c r="CB33" s="20">
        <f t="shared" si="10"/>
        <v>221.4748626414931</v>
      </c>
      <c r="CC33" s="57">
        <f t="shared" si="11"/>
        <v>514.80819597482639</v>
      </c>
      <c r="CD33" s="57">
        <f ca="1">AVERAGE(OFFSET($CC$3,0,0,'Données projet'!$E$12+1,1))-AVERAGE(OFFSET($H$3,0,0,'Données projet'!$E$12+1,1))</f>
        <v>259.64096626089821</v>
      </c>
      <c r="CE33" s="57">
        <f t="shared" si="40"/>
        <v>258.1415293081597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2.5457784539451098</v>
      </c>
      <c r="CL33" s="21">
        <f>EXP(-LN(2)/25)*CL32+(1-EXP(-LN(2)/25))/(LN(2)/25)*Calculateur!CG33*Calculateur!CI33*VLOOKUP('Données projet'!$B$12,Paramètres!$A$1:$I$89,3,0)*0.475*44/12</f>
        <v>13.865961324290918</v>
      </c>
      <c r="CM33" s="21">
        <f>EXP(-LN(2)/2)*CM32+(1-EXP(-LN(2)/2))/(LN(2)/2)*CG33*CJ33*VLOOKUP('Données projet'!$B$12,Paramètres!$A$1:$I$89,3,0)*0.475*44/12</f>
        <v>4.1385940765240017</v>
      </c>
      <c r="CN33" s="22">
        <f t="shared" si="12"/>
        <v>20.55033385476003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97</v>
      </c>
      <c r="CR33" s="12">
        <f>VLOOKUP(A33,'Données projet'!$A$139:$I$159,9,0)</f>
        <v>5.4</v>
      </c>
      <c r="CS33" s="12">
        <f t="array" ref="CS33">INDEX(CR:CR,MIN(IF(ISNUMBER(CR33:CR229),ROW(CR33:CR229),"")))</f>
        <v>5.4</v>
      </c>
      <c r="CT33" s="12">
        <f>IF('Données projet'!$A$140&gt;35,CT32+CS33-DB32,IF(A33&lt;'Données projet'!$A$140,$CQ$205^A33,IF(A33='Données projet'!$A$140,'Données projet'!$B$140,CT32+CS33-DB32)))</f>
        <v>97.000000000000028</v>
      </c>
      <c r="CU33" s="17">
        <f>CT33*VLOOKUP('Données projet'!$B$13,Paramètres!$A$1:$I$89,3,0)*VLOOKUP('Données projet'!$B$13,Paramètres!$A$1:$I$89,5,0)</f>
        <v>104.41080000000004</v>
      </c>
      <c r="CV33" s="13">
        <f t="shared" si="41"/>
        <v>28.010155571424168</v>
      </c>
      <c r="CW33" s="20">
        <f t="shared" si="13"/>
        <v>230.63316428689714</v>
      </c>
      <c r="CX33" s="57">
        <f t="shared" si="14"/>
        <v>523.96649762023048</v>
      </c>
      <c r="CY33" s="57">
        <f ca="1">AVERAGE(OFFSET($CX$3,0,0,'Données projet'!$E$13+1,1))-AVERAGE(OFFSET($H$3,0,0,'Données projet'!$E$13+1,1))</f>
        <v>436.59978658837537</v>
      </c>
      <c r="CZ33" s="57">
        <f t="shared" si="42"/>
        <v>267.2998309535638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54</v>
      </c>
      <c r="DM33" s="12">
        <f>VLOOKUP(A33,'Données projet'!$A$165:$I$185,9,0)</f>
        <v>4.8</v>
      </c>
      <c r="DN33" s="12">
        <f t="array" ref="DN33">INDEX(DM:DM,MIN(IF(ISNUMBER(DM33:DM229),ROW(DM33:DM229),"")))</f>
        <v>4.8</v>
      </c>
      <c r="DO33" s="12">
        <f>IF('Données projet'!$A$166&gt;35,DO32+DN33-DW32,IF(A33&lt;'Données projet'!$A$166,$DL$205^A33,IF(A33='Données projet'!$A$166,'Données projet'!$B$166,DO32+DN33-DW32)))</f>
        <v>53.999999999999986</v>
      </c>
      <c r="DP33" s="17">
        <f>DO33*VLOOKUP('Données projet'!$B$14,Paramètres!$A$1:$I$89,3,0)*VLOOKUP('Données projet'!$B$14,Paramètres!$A$1:$I$89,5,0)</f>
        <v>51.386399999999988</v>
      </c>
      <c r="DQ33" s="13">
        <f t="shared" si="43"/>
        <v>14.971231585009825</v>
      </c>
      <c r="DR33" s="20">
        <f t="shared" si="16"/>
        <v>115.57287501055875</v>
      </c>
      <c r="DS33" s="57">
        <f t="shared" si="17"/>
        <v>408.90620834389205</v>
      </c>
      <c r="DT33" s="57">
        <f ca="1">AVERAGE(OFFSET($DS$3,0,0,'Données projet'!$E$14+1,1))-AVERAGE(OFFSET($H$3,0,0,'Données projet'!$E$14+1,1))</f>
        <v>292.95981568144879</v>
      </c>
      <c r="DU33" s="57">
        <f t="shared" si="44"/>
        <v>152.23954167722536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7" t="e">
        <f t="shared" si="20"/>
        <v>#N/A</v>
      </c>
      <c r="EO33" s="57" t="e">
        <f ca="1">AVERAGE(OFFSET($EN$3,0,0,'Données projet'!$E$15+1,1))-AVERAGE(OFFSET($H$3,0,0,'Données projet'!$E$15+1,1))</f>
        <v>#N/A</v>
      </c>
      <c r="EP33" s="57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7" t="e">
        <f t="shared" si="23"/>
        <v>#N/A</v>
      </c>
      <c r="FJ33" s="57" t="e">
        <f ca="1">AVERAGE(OFFSET($FI$3,0,0,'Données projet'!$E$16+1,1))-AVERAGE(OFFSET($H$3,0,0,'Données projet'!$E$16+1,1))</f>
        <v>#N/A</v>
      </c>
      <c r="FK33" s="57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7" t="e">
        <f t="shared" si="26"/>
        <v>#N/A</v>
      </c>
      <c r="GE33" s="57" t="e">
        <f ca="1">AVERAGE(OFFSET($GD$3,0,0,'Données projet'!$E$17+1,1))-AVERAGE(OFFSET($H$3,0,0,'Données projet'!$E$17+1,1))</f>
        <v>#N/A</v>
      </c>
      <c r="GF33" s="57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7" t="e">
        <f t="shared" si="29"/>
        <v>#N/A</v>
      </c>
      <c r="GZ33" s="57" t="e">
        <f ca="1">AVERAGE(OFFSET($GY$3,0,0,'Données projet'!$E$18+1,1))-AVERAGE(OFFSET($H$3,0,0,'Données projet'!$E$18+1,1))</f>
        <v>#N/A</v>
      </c>
      <c r="HA33" s="57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1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5">
        <f t="shared" si="1"/>
        <v>256.66666666666669</v>
      </c>
      <c r="I34" s="6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84.000000000000028</v>
      </c>
      <c r="O34" s="13">
        <f>N34*VLOOKUP('Données projet'!$B$9,Paramètres!$A$1:$I$89,3,0)*VLOOKUP('Données projet'!$B$9,Paramètres!$A$1:$I$89,5,0)</f>
        <v>76.003200000000021</v>
      </c>
      <c r="P34" s="13">
        <f t="shared" si="33"/>
        <v>21.157049992000456</v>
      </c>
      <c r="Q34" s="20">
        <f t="shared" si="2"/>
        <v>169.2207687360675</v>
      </c>
      <c r="R34" s="57">
        <f t="shared" si="0"/>
        <v>462.55410206940081</v>
      </c>
      <c r="S34" s="57">
        <f ca="1">AVERAGE(OFFSET($R$3,0,0,'Données projet'!$E$9+1,1))-AVERAGE(OFFSET($H$3,0,0,'Données projet'!$E$9+1,1))</f>
        <v>373.45926089889866</v>
      </c>
      <c r="T34" s="57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84.000000000000028</v>
      </c>
      <c r="AJ34" s="13">
        <f>AI34*VLOOKUP('Données projet'!$B$10,Paramètres!$A$1:$I$89,3,0)*VLOOKUP('Données projet'!$B$10,Paramètres!$A$1:$I$89,5,0)</f>
        <v>79.934400000000025</v>
      </c>
      <c r="AK34" s="13">
        <f t="shared" si="35"/>
        <v>22.121143821921812</v>
      </c>
      <c r="AL34" s="20">
        <f t="shared" si="4"/>
        <v>177.74673882318052</v>
      </c>
      <c r="AM34" s="57">
        <f t="shared" si="5"/>
        <v>471.08007215651384</v>
      </c>
      <c r="AN34" s="57">
        <f ca="1">AVERAGE(OFFSET($AM$3,0,0,'Données projet'!$E$10+1,1))-AVERAGE(OFFSET($H$3,0,0,'Données projet'!$E$10+1,1))</f>
        <v>390.70240761116355</v>
      </c>
      <c r="AO34" s="57">
        <f t="shared" si="36"/>
        <v>241.18285512887638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84.000000000000028</v>
      </c>
      <c r="BE34" s="13">
        <f>BD34*VLOOKUP('Données projet'!$B$11,Paramètres!$A$1:$I$89,3,0)*VLOOKUP('Données projet'!$B$11,Paramètres!$A$1:$I$89,5,0)</f>
        <v>81.244800000000026</v>
      </c>
      <c r="BF34" s="13">
        <f t="shared" si="37"/>
        <v>22.441270156928962</v>
      </c>
      <c r="BG34" s="20">
        <f t="shared" si="7"/>
        <v>180.58657218998465</v>
      </c>
      <c r="BH34" s="57">
        <f t="shared" si="8"/>
        <v>473.91990552331799</v>
      </c>
      <c r="BI34" s="57">
        <f ca="1">AVERAGE(OFFSET($BH$3,0,0,'Données projet'!$E$11+1,1))-AVERAGE(OFFSET($H$3,0,0,'Données projet'!$E$11+1,1))</f>
        <v>396.44612884768748</v>
      </c>
      <c r="BJ34" s="57">
        <f t="shared" si="38"/>
        <v>244.451492444461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16.614999999999998</v>
      </c>
      <c r="BY34" s="12">
        <f>IF('Données projet'!$A$114&gt;35,BY33+BX34-CG33,IF(A34&lt;'Données projet'!$A$114,$BV$205^A34,IF(A34='Données projet'!$A$114,'Données projet'!$B$114,BY33+BX34-CG33)))</f>
        <v>184.11000000000007</v>
      </c>
      <c r="BZ34" s="13">
        <f>BY34*VLOOKUP('Données projet'!$B$12,Paramètres!$A$1:$I$89,3,0)*VLOOKUP('Données projet'!$B$12,Paramètres!$A$1:$I$89,5,0)</f>
        <v>110.09778000000004</v>
      </c>
      <c r="CA34" s="13">
        <f t="shared" si="39"/>
        <v>29.354021111763256</v>
      </c>
      <c r="CB34" s="20">
        <f t="shared" si="10"/>
        <v>242.87855360298772</v>
      </c>
      <c r="CC34" s="57">
        <f t="shared" si="11"/>
        <v>536.21188693632098</v>
      </c>
      <c r="CD34" s="57">
        <f ca="1">AVERAGE(OFFSET($CC$3,0,0,'Données projet'!$E$12+1,1))-AVERAGE(OFFSET($H$3,0,0,'Données projet'!$E$12+1,1))</f>
        <v>259.64096626089821</v>
      </c>
      <c r="CE34" s="57">
        <f t="shared" si="40"/>
        <v>258.1415293081597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2.4958572912347798</v>
      </c>
      <c r="CL34" s="21">
        <f>EXP(-LN(2)/25)*CL33+(1-EXP(-LN(2)/25))/(LN(2)/25)*Calculateur!CG34*Calculateur!CI34*VLOOKUP('Données projet'!$B$12,Paramètres!$A$1:$I$89,3,0)*0.475*44/12</f>
        <v>13.486795882698967</v>
      </c>
      <c r="CM34" s="21">
        <f>EXP(-LN(2)/2)*CM33+(1-EXP(-LN(2)/2))/(LN(2)/2)*CG34*CJ34*VLOOKUP('Données projet'!$B$12,Paramètres!$A$1:$I$89,3,0)*0.475*44/12</f>
        <v>2.926427936088599</v>
      </c>
      <c r="CN34" s="22">
        <f t="shared" si="12"/>
        <v>18.909081110022345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</v>
      </c>
      <c r="CT34" s="12">
        <f>IF('Données projet'!$A$140&gt;35,CT33+CS34-DB33,IF(A34&lt;'Données projet'!$A$140,$CQ$205^A34,IF(A34='Données projet'!$A$140,'Données projet'!$B$140,CT33+CS34-DB33)))</f>
        <v>84.000000000000028</v>
      </c>
      <c r="CU34" s="17">
        <f>CT34*VLOOKUP('Données projet'!$B$13,Paramètres!$A$1:$I$89,3,0)*VLOOKUP('Données projet'!$B$13,Paramètres!$A$1:$I$89,5,0)</f>
        <v>90.417600000000022</v>
      </c>
      <c r="CV34" s="13">
        <f t="shared" si="41"/>
        <v>24.665912907068826</v>
      </c>
      <c r="CW34" s="20">
        <f t="shared" si="13"/>
        <v>200.43711831314491</v>
      </c>
      <c r="CX34" s="57">
        <f t="shared" si="14"/>
        <v>493.77045164647825</v>
      </c>
      <c r="CY34" s="57">
        <f ca="1">AVERAGE(OFFSET($CX$3,0,0,'Données projet'!$E$13+1,1))-AVERAGE(OFFSET($H$3,0,0,'Données projet'!$E$13+1,1))</f>
        <v>436.59978658837537</v>
      </c>
      <c r="CZ34" s="57">
        <f t="shared" si="42"/>
        <v>267.2998309535638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</v>
      </c>
      <c r="DO34" s="12">
        <f>IF('Données projet'!$A$166&gt;35,DO33+DN34-DW33,IF(A34&lt;'Données projet'!$A$166,$DL$205^A34,IF(A34='Données projet'!$A$166,'Données projet'!$B$166,DO33+DN34-DW33)))</f>
        <v>58.999999999999986</v>
      </c>
      <c r="DP34" s="17">
        <f>DO34*VLOOKUP('Données projet'!$B$14,Paramètres!$A$1:$I$89,3,0)*VLOOKUP('Données projet'!$B$14,Paramètres!$A$1:$I$89,5,0)</f>
        <v>56.144399999999983</v>
      </c>
      <c r="DQ34" s="13">
        <f t="shared" si="43"/>
        <v>16.189716344887636</v>
      </c>
      <c r="DR34" s="20">
        <f t="shared" si="16"/>
        <v>125.98191930067928</v>
      </c>
      <c r="DS34" s="57">
        <f t="shared" si="17"/>
        <v>419.31525263401261</v>
      </c>
      <c r="DT34" s="57">
        <f ca="1">AVERAGE(OFFSET($DS$3,0,0,'Données projet'!$E$14+1,1))-AVERAGE(OFFSET($H$3,0,0,'Données projet'!$E$14+1,1))</f>
        <v>292.95981568144879</v>
      </c>
      <c r="DU34" s="57">
        <f t="shared" si="44"/>
        <v>152.23954167722536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7" t="e">
        <f t="shared" si="20"/>
        <v>#N/A</v>
      </c>
      <c r="EO34" s="57" t="e">
        <f ca="1">AVERAGE(OFFSET($EN$3,0,0,'Données projet'!$E$15+1,1))-AVERAGE(OFFSET($H$3,0,0,'Données projet'!$E$15+1,1))</f>
        <v>#N/A</v>
      </c>
      <c r="EP34" s="57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7" t="e">
        <f t="shared" si="23"/>
        <v>#N/A</v>
      </c>
      <c r="FJ34" s="57" t="e">
        <f ca="1">AVERAGE(OFFSET($FI$3,0,0,'Données projet'!$E$16+1,1))-AVERAGE(OFFSET($H$3,0,0,'Données projet'!$E$16+1,1))</f>
        <v>#N/A</v>
      </c>
      <c r="FK34" s="57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7" t="e">
        <f t="shared" si="26"/>
        <v>#N/A</v>
      </c>
      <c r="GE34" s="57" t="e">
        <f ca="1">AVERAGE(OFFSET($GD$3,0,0,'Données projet'!$E$17+1,1))-AVERAGE(OFFSET($H$3,0,0,'Données projet'!$E$17+1,1))</f>
        <v>#N/A</v>
      </c>
      <c r="GF34" s="57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7" t="e">
        <f t="shared" si="29"/>
        <v>#N/A</v>
      </c>
      <c r="GZ34" s="57" t="e">
        <f ca="1">AVERAGE(OFFSET($GY$3,0,0,'Données projet'!$E$18+1,1))-AVERAGE(OFFSET($H$3,0,0,'Données projet'!$E$18+1,1))</f>
        <v>#N/A</v>
      </c>
      <c r="HA34" s="57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1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5">
        <f t="shared" si="1"/>
        <v>256.66666666666669</v>
      </c>
      <c r="I35" s="6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92.000000000000028</v>
      </c>
      <c r="O35" s="13">
        <f>N35*VLOOKUP('Données projet'!$B$9,Paramètres!$A$1:$I$89,3,0)*VLOOKUP('Données projet'!$B$9,Paramètres!$A$1:$I$89,5,0)</f>
        <v>83.24160000000002</v>
      </c>
      <c r="P35" s="13">
        <f t="shared" si="33"/>
        <v>22.927930643846508</v>
      </c>
      <c r="Q35" s="20">
        <f t="shared" ref="Q35:Q66" si="53">(O35+P35)*0.475*44/12</f>
        <v>184.91193253803272</v>
      </c>
      <c r="R35" s="57">
        <f t="shared" si="0"/>
        <v>478.24526587136603</v>
      </c>
      <c r="S35" s="57">
        <f ca="1">AVERAGE(OFFSET($R$3,0,0,'Données projet'!$E$9+1,1))-AVERAGE(OFFSET($H$3,0,0,'Données projet'!$E$9+1,1))</f>
        <v>373.45926089889866</v>
      </c>
      <c r="T35" s="57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92.000000000000028</v>
      </c>
      <c r="AJ35" s="13">
        <f>AI35*VLOOKUP('Données projet'!$B$10,Paramètres!$A$1:$I$89,3,0)*VLOOKUP('Données projet'!$B$10,Paramètres!$A$1:$I$89,5,0)</f>
        <v>87.547200000000032</v>
      </c>
      <c r="AK35" s="13">
        <f t="shared" si="35"/>
        <v>23.972720748088616</v>
      </c>
      <c r="AL35" s="20">
        <f t="shared" si="4"/>
        <v>194.23052863625438</v>
      </c>
      <c r="AM35" s="57">
        <f t="shared" si="5"/>
        <v>487.56386196958772</v>
      </c>
      <c r="AN35" s="57">
        <f ca="1">AVERAGE(OFFSET($AM$3,0,0,'Données projet'!$E$10+1,1))-AVERAGE(OFFSET($H$3,0,0,'Données projet'!$E$10+1,1))</f>
        <v>390.70240761116355</v>
      </c>
      <c r="AO35" s="57">
        <f t="shared" si="36"/>
        <v>241.18285512887638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92.000000000000028</v>
      </c>
      <c r="BE35" s="13">
        <f>BD35*VLOOKUP('Données projet'!$B$11,Paramètres!$A$1:$I$89,3,0)*VLOOKUP('Données projet'!$B$11,Paramètres!$A$1:$I$89,5,0)</f>
        <v>88.982400000000041</v>
      </c>
      <c r="BF35" s="13">
        <f t="shared" si="37"/>
        <v>24.31964219550628</v>
      </c>
      <c r="BG35" s="20">
        <f t="shared" si="7"/>
        <v>197.33439015717349</v>
      </c>
      <c r="BH35" s="57">
        <f t="shared" si="8"/>
        <v>490.66772349050677</v>
      </c>
      <c r="BI35" s="57">
        <f ca="1">AVERAGE(OFFSET($BH$3,0,0,'Données projet'!$E$11+1,1))-AVERAGE(OFFSET($H$3,0,0,'Données projet'!$E$11+1,1))</f>
        <v>396.44612884768748</v>
      </c>
      <c r="BJ35" s="57">
        <f t="shared" si="38"/>
        <v>244.451492444461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16.614999999999998</v>
      </c>
      <c r="BY35" s="12">
        <f>IF('Données projet'!$A$114&gt;35,BY34+BX35-CG34,IF(A35&lt;'Données projet'!$A$114,$BV$205^A35,IF(A35='Données projet'!$A$114,'Données projet'!$B$114,BY34+BX35-CG34)))</f>
        <v>200.72500000000008</v>
      </c>
      <c r="BZ35" s="13">
        <f>BY35*VLOOKUP('Données projet'!$B$12,Paramètres!$A$1:$I$89,3,0)*VLOOKUP('Données projet'!$B$12,Paramètres!$A$1:$I$89,5,0)</f>
        <v>120.03355000000006</v>
      </c>
      <c r="CA35" s="13">
        <f t="shared" si="39"/>
        <v>31.682824153356549</v>
      </c>
      <c r="CB35" s="20">
        <f t="shared" si="10"/>
        <v>264.2393516504294</v>
      </c>
      <c r="CC35" s="57">
        <f t="shared" si="11"/>
        <v>557.57268498376266</v>
      </c>
      <c r="CD35" s="57">
        <f ca="1">AVERAGE(OFFSET($CC$3,0,0,'Données projet'!$E$12+1,1))-AVERAGE(OFFSET($H$3,0,0,'Données projet'!$E$12+1,1))</f>
        <v>259.64096626089821</v>
      </c>
      <c r="CE35" s="57">
        <f t="shared" si="40"/>
        <v>258.1415293081597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2.4469150520762968</v>
      </c>
      <c r="CL35" s="21">
        <f>EXP(-LN(2)/25)*CL34+(1-EXP(-LN(2)/25))/(LN(2)/25)*Calculateur!CG35*Calculateur!CI35*VLOOKUP('Données projet'!$B$12,Paramètres!$A$1:$I$89,3,0)*0.475*44/12</f>
        <v>13.117998740046794</v>
      </c>
      <c r="CM35" s="21">
        <f>EXP(-LN(2)/2)*CM34+(1-EXP(-LN(2)/2))/(LN(2)/2)*CG35*CJ35*VLOOKUP('Données projet'!$B$12,Paramètres!$A$1:$I$89,3,0)*0.475*44/12</f>
        <v>2.0692970382620008</v>
      </c>
      <c r="CN35" s="22">
        <f t="shared" si="12"/>
        <v>17.63421083038509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</v>
      </c>
      <c r="CT35" s="12">
        <f>IF('Données projet'!$A$140&gt;35,CT34+CS35-DB34,IF(A35&lt;'Données projet'!$A$140,$CQ$205^A35,IF(A35='Données projet'!$A$140,'Données projet'!$B$140,CT34+CS35-DB34)))</f>
        <v>92.000000000000028</v>
      </c>
      <c r="CU35" s="17">
        <f>CT35*VLOOKUP('Données projet'!$B$13,Paramètres!$A$1:$I$89,3,0)*VLOOKUP('Données projet'!$B$13,Paramètres!$A$1:$I$89,5,0)</f>
        <v>99.028800000000032</v>
      </c>
      <c r="CV35" s="13">
        <f t="shared" si="41"/>
        <v>26.730491283721712</v>
      </c>
      <c r="CW35" s="20">
        <f t="shared" si="13"/>
        <v>219.03076565248205</v>
      </c>
      <c r="CX35" s="57">
        <f t="shared" si="14"/>
        <v>512.36409898581542</v>
      </c>
      <c r="CY35" s="57">
        <f ca="1">AVERAGE(OFFSET($CX$3,0,0,'Données projet'!$E$13+1,1))-AVERAGE(OFFSET($H$3,0,0,'Données projet'!$E$13+1,1))</f>
        <v>436.59978658837537</v>
      </c>
      <c r="CZ35" s="57">
        <f t="shared" si="42"/>
        <v>267.2998309535638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</v>
      </c>
      <c r="DO35" s="12">
        <f>IF('Données projet'!$A$166&gt;35,DO34+DN35-DW34,IF(A35&lt;'Données projet'!$A$166,$DL$205^A35,IF(A35='Données projet'!$A$166,'Données projet'!$B$166,DO34+DN35-DW34)))</f>
        <v>63.999999999999986</v>
      </c>
      <c r="DP35" s="17">
        <f>DO35*VLOOKUP('Données projet'!$B$14,Paramètres!$A$1:$I$89,3,0)*VLOOKUP('Données projet'!$B$14,Paramètres!$A$1:$I$89,5,0)</f>
        <v>60.902399999999993</v>
      </c>
      <c r="DQ35" s="13">
        <f t="shared" si="43"/>
        <v>17.396225443744882</v>
      </c>
      <c r="DR35" s="20">
        <f t="shared" si="16"/>
        <v>136.37010598118897</v>
      </c>
      <c r="DS35" s="57">
        <f t="shared" si="17"/>
        <v>429.70343931452226</v>
      </c>
      <c r="DT35" s="57">
        <f ca="1">AVERAGE(OFFSET($DS$3,0,0,'Données projet'!$E$14+1,1))-AVERAGE(OFFSET($H$3,0,0,'Données projet'!$E$14+1,1))</f>
        <v>292.95981568144879</v>
      </c>
      <c r="DU35" s="57">
        <f t="shared" si="44"/>
        <v>152.23954167722536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7" t="e">
        <f t="shared" si="20"/>
        <v>#N/A</v>
      </c>
      <c r="EO35" s="57" t="e">
        <f ca="1">AVERAGE(OFFSET($EN$3,0,0,'Données projet'!$E$15+1,1))-AVERAGE(OFFSET($H$3,0,0,'Données projet'!$E$15+1,1))</f>
        <v>#N/A</v>
      </c>
      <c r="EP35" s="57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7" t="e">
        <f t="shared" si="23"/>
        <v>#N/A</v>
      </c>
      <c r="FJ35" s="57" t="e">
        <f ca="1">AVERAGE(OFFSET($FI$3,0,0,'Données projet'!$E$16+1,1))-AVERAGE(OFFSET($H$3,0,0,'Données projet'!$E$16+1,1))</f>
        <v>#N/A</v>
      </c>
      <c r="FK35" s="57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7" t="e">
        <f t="shared" si="26"/>
        <v>#N/A</v>
      </c>
      <c r="GE35" s="57" t="e">
        <f ca="1">AVERAGE(OFFSET($GD$3,0,0,'Données projet'!$E$17+1,1))-AVERAGE(OFFSET($H$3,0,0,'Données projet'!$E$17+1,1))</f>
        <v>#N/A</v>
      </c>
      <c r="GF35" s="57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7" t="e">
        <f t="shared" si="29"/>
        <v>#N/A</v>
      </c>
      <c r="GZ35" s="57" t="e">
        <f ca="1">AVERAGE(OFFSET($GY$3,0,0,'Données projet'!$E$18+1,1))-AVERAGE(OFFSET($H$3,0,0,'Données projet'!$E$18+1,1))</f>
        <v>#N/A</v>
      </c>
      <c r="HA35" s="57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1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5">
        <f t="shared" si="1"/>
        <v>256.66666666666669</v>
      </c>
      <c r="I36" s="6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100.00000000000003</v>
      </c>
      <c r="O36" s="13">
        <f>N36*VLOOKUP('Données projet'!$B$9,Paramètres!$A$1:$I$89,3,0)*VLOOKUP('Données projet'!$B$9,Paramètres!$A$1:$I$89,5,0)</f>
        <v>90.480000000000018</v>
      </c>
      <c r="P36" s="13">
        <f t="shared" si="33"/>
        <v>24.680953573367994</v>
      </c>
      <c r="Q36" s="20">
        <f t="shared" si="53"/>
        <v>200.57199414028261</v>
      </c>
      <c r="R36" s="57">
        <f t="shared" si="0"/>
        <v>493.9053274736159</v>
      </c>
      <c r="S36" s="57">
        <f ca="1">AVERAGE(OFFSET($R$3,0,0,'Données projet'!$E$9+1,1))-AVERAGE(OFFSET($H$3,0,0,'Données projet'!$E$9+1,1))</f>
        <v>373.45926089889866</v>
      </c>
      <c r="T36" s="57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100.00000000000003</v>
      </c>
      <c r="AJ36" s="13">
        <f>AI36*VLOOKUP('Données projet'!$B$10,Paramètres!$A$1:$I$89,3,0)*VLOOKUP('Données projet'!$B$10,Paramètres!$A$1:$I$89,5,0)</f>
        <v>95.160000000000025</v>
      </c>
      <c r="AK36" s="13">
        <f t="shared" si="35"/>
        <v>25.805626203326192</v>
      </c>
      <c r="AL36" s="20">
        <f t="shared" si="4"/>
        <v>210.68179897079315</v>
      </c>
      <c r="AM36" s="57">
        <f t="shared" si="5"/>
        <v>504.0151323041265</v>
      </c>
      <c r="AN36" s="57">
        <f ca="1">AVERAGE(OFFSET($AM$3,0,0,'Données projet'!$E$10+1,1))-AVERAGE(OFFSET($H$3,0,0,'Données projet'!$E$10+1,1))</f>
        <v>390.70240761116355</v>
      </c>
      <c r="AO36" s="57">
        <f t="shared" si="36"/>
        <v>241.18285512887638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100.00000000000003</v>
      </c>
      <c r="BE36" s="13">
        <f>BD36*VLOOKUP('Données projet'!$B$11,Paramètres!$A$1:$I$89,3,0)*VLOOKUP('Données projet'!$B$11,Paramètres!$A$1:$I$89,5,0)</f>
        <v>96.720000000000027</v>
      </c>
      <c r="BF36" s="13">
        <f t="shared" si="37"/>
        <v>26.179072558792161</v>
      </c>
      <c r="BG36" s="20">
        <f t="shared" si="7"/>
        <v>214.04921803989637</v>
      </c>
      <c r="BH36" s="57">
        <f t="shared" si="8"/>
        <v>507.38255137322972</v>
      </c>
      <c r="BI36" s="57">
        <f ca="1">AVERAGE(OFFSET($BH$3,0,0,'Données projet'!$E$11+1,1))-AVERAGE(OFFSET($H$3,0,0,'Données projet'!$E$11+1,1))</f>
        <v>396.44612884768748</v>
      </c>
      <c r="BJ36" s="57">
        <f t="shared" si="38"/>
        <v>244.451492444461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217.34</v>
      </c>
      <c r="BW36" s="12">
        <f>VLOOKUP(A36,'Données projet'!$A$113:$I$133,9,0)</f>
        <v>16.614999999999998</v>
      </c>
      <c r="BX36" s="12">
        <f t="array" ref="BX36">INDEX(BW:BW,MIN(IF(ISNUMBER(BW36:BW232),ROW(BW36:BW232),"")))</f>
        <v>16.614999999999998</v>
      </c>
      <c r="BY36" s="12">
        <f>IF('Données projet'!$A$114&gt;35,BY35+BX36-CG35,IF(A36&lt;'Données projet'!$A$114,$BV$205^A36,IF(A36='Données projet'!$A$114,'Données projet'!$B$114,BY35+BX36-CG35)))</f>
        <v>217.34000000000009</v>
      </c>
      <c r="BZ36" s="13">
        <f>BY36*VLOOKUP('Données projet'!$B$12,Paramètres!$A$1:$I$89,3,0)*VLOOKUP('Données projet'!$B$12,Paramètres!$A$1:$I$89,5,0)</f>
        <v>129.96932000000007</v>
      </c>
      <c r="CA36" s="13">
        <f t="shared" si="39"/>
        <v>33.989269987755954</v>
      </c>
      <c r="CB36" s="20">
        <f t="shared" si="10"/>
        <v>285.56121089534173</v>
      </c>
      <c r="CC36" s="57">
        <f t="shared" si="11"/>
        <v>578.89454422867504</v>
      </c>
      <c r="CD36" s="57">
        <f ca="1">AVERAGE(OFFSET($CC$3,0,0,'Données projet'!$E$12+1,1))-AVERAGE(OFFSET($H$3,0,0,'Données projet'!$E$12+1,1))</f>
        <v>259.64096626089821</v>
      </c>
      <c r="CE36" s="57">
        <f t="shared" si="40"/>
        <v>258.1415293081597</v>
      </c>
      <c r="CF36" s="15">
        <f>IF(ISNA(VLOOKUP(A36,'Données projet'!$A$113:$I$133,3,0)),0,VLOOKUP(A36,'Données projet'!$A$113:$I$133,3,0))</f>
        <v>6</v>
      </c>
      <c r="CG36" s="15">
        <f>IF(ISNA(VLOOKUP(A36,'Données projet'!$A$113:$I$133,4,0)),0,VLOOKUP(A36,'Données projet'!$A$113:$I$133,4,0))</f>
        <v>50</v>
      </c>
      <c r="CH36" s="16">
        <f>IF(ISNA(VLOOKUP(A36,'Données projet'!$A$113:$I$133,5,0)),0%,VLOOKUP(A36,'Données projet'!$A$113:$I$133,5,0)*VLOOKUP('Données projet'!$B$12,Paramètres!$A$1:$I$89,7,0))</f>
        <v>0.18000000000000002</v>
      </c>
      <c r="CI36" s="16">
        <f>IF(ISNA(VLOOKUP(A36,'Données projet'!$A$113:$I$133,6,0)),0%,VLOOKUP(A36,'Données projet'!$A$113:$I$133,6,0)*VLOOKUP('Données projet'!$B$12,Paramètres!$A$1:$I$89,7,0))</f>
        <v>0.15300000000000002</v>
      </c>
      <c r="CJ36" s="16">
        <f>IF(ISNA(VLOOKUP(A36,'Données projet'!$A$113:$I$133,7,0)),0%,VLOOKUP(A36,'Données projet'!$A$113:$I$133,7,0))</f>
        <v>0.26</v>
      </c>
      <c r="CK36" s="21">
        <f>EXP(-LN(2)/35)*CK35+(1-EXP(-LN(2)/35))/(LN(2)/35)*CG36*CH36*VLOOKUP('Données projet'!$B$12,Paramètres!$A$1:$I$89,3,0)*0.475*44/12</f>
        <v>9.5385024395514986</v>
      </c>
      <c r="CL36" s="21">
        <f>EXP(-LN(2)/25)*CL35+(1-EXP(-LN(2)/25))/(LN(2)/25)*Calculateur!CG36*Calculateur!CI36*VLOOKUP('Données projet'!$B$12,Paramètres!$A$1:$I$89,3,0)*0.475*44/12</f>
        <v>18.804026262933817</v>
      </c>
      <c r="CM36" s="21">
        <f>EXP(-LN(2)/2)*CM35+(1-EXP(-LN(2)/2))/(LN(2)/2)*CG36*CJ36*VLOOKUP('Données projet'!$B$12,Paramètres!$A$1:$I$89,3,0)*0.475*44/12</f>
        <v>10.265187849015046</v>
      </c>
      <c r="CN36" s="22">
        <f t="shared" si="12"/>
        <v>38.60771655150036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</v>
      </c>
      <c r="CT36" s="12">
        <f>IF('Données projet'!$A$140&gt;35,CT35+CS36-DB35,IF(A36&lt;'Données projet'!$A$140,$CQ$205^A36,IF(A36='Données projet'!$A$140,'Données projet'!$B$140,CT35+CS36-DB35)))</f>
        <v>100.00000000000003</v>
      </c>
      <c r="CU36" s="17">
        <f>CT36*VLOOKUP('Données projet'!$B$13,Paramètres!$A$1:$I$89,3,0)*VLOOKUP('Données projet'!$B$13,Paramètres!$A$1:$I$89,5,0)</f>
        <v>107.64000000000003</v>
      </c>
      <c r="CV36" s="13">
        <f t="shared" si="41"/>
        <v>28.774250263353583</v>
      </c>
      <c r="CW36" s="20">
        <f t="shared" si="13"/>
        <v>237.58815254200752</v>
      </c>
      <c r="CX36" s="57">
        <f t="shared" si="14"/>
        <v>530.92148587534086</v>
      </c>
      <c r="CY36" s="57">
        <f ca="1">AVERAGE(OFFSET($CX$3,0,0,'Données projet'!$E$13+1,1))-AVERAGE(OFFSET($H$3,0,0,'Données projet'!$E$13+1,1))</f>
        <v>436.59978658837537</v>
      </c>
      <c r="CZ36" s="57">
        <f t="shared" si="42"/>
        <v>267.2998309535638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</v>
      </c>
      <c r="DO36" s="12">
        <f>IF('Données projet'!$A$166&gt;35,DO35+DN36-DW35,IF(A36&lt;'Données projet'!$A$166,$DL$205^A36,IF(A36='Données projet'!$A$166,'Données projet'!$B$166,DO35+DN36-DW35)))</f>
        <v>68.999999999999986</v>
      </c>
      <c r="DP36" s="17">
        <f>DO36*VLOOKUP('Données projet'!$B$14,Paramètres!$A$1:$I$89,3,0)*VLOOKUP('Données projet'!$B$14,Paramètres!$A$1:$I$89,5,0)</f>
        <v>65.660399999999981</v>
      </c>
      <c r="DQ36" s="13">
        <f t="shared" si="43"/>
        <v>18.591800852927584</v>
      </c>
      <c r="DR36" s="20">
        <f t="shared" si="16"/>
        <v>146.73924981884883</v>
      </c>
      <c r="DS36" s="57">
        <f t="shared" si="17"/>
        <v>440.07258315218212</v>
      </c>
      <c r="DT36" s="57">
        <f ca="1">AVERAGE(OFFSET($DS$3,0,0,'Données projet'!$E$14+1,1))-AVERAGE(OFFSET($H$3,0,0,'Données projet'!$E$14+1,1))</f>
        <v>292.95981568144879</v>
      </c>
      <c r="DU36" s="57">
        <f t="shared" si="44"/>
        <v>152.23954167722536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7" t="e">
        <f t="shared" si="20"/>
        <v>#N/A</v>
      </c>
      <c r="EO36" s="57" t="e">
        <f ca="1">AVERAGE(OFFSET($EN$3,0,0,'Données projet'!$E$15+1,1))-AVERAGE(OFFSET($H$3,0,0,'Données projet'!$E$15+1,1))</f>
        <v>#N/A</v>
      </c>
      <c r="EP36" s="57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7" t="e">
        <f t="shared" si="23"/>
        <v>#N/A</v>
      </c>
      <c r="FJ36" s="57" t="e">
        <f ca="1">AVERAGE(OFFSET($FI$3,0,0,'Données projet'!$E$16+1,1))-AVERAGE(OFFSET($H$3,0,0,'Données projet'!$E$16+1,1))</f>
        <v>#N/A</v>
      </c>
      <c r="FK36" s="57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7" t="e">
        <f t="shared" si="26"/>
        <v>#N/A</v>
      </c>
      <c r="GE36" s="57" t="e">
        <f ca="1">AVERAGE(OFFSET($GD$3,0,0,'Données projet'!$E$17+1,1))-AVERAGE(OFFSET($H$3,0,0,'Données projet'!$E$17+1,1))</f>
        <v>#N/A</v>
      </c>
      <c r="GF36" s="57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7" t="e">
        <f t="shared" si="29"/>
        <v>#N/A</v>
      </c>
      <c r="GZ36" s="57" t="e">
        <f ca="1">AVERAGE(OFFSET($GY$3,0,0,'Données projet'!$E$18+1,1))-AVERAGE(OFFSET($H$3,0,0,'Données projet'!$E$18+1,1))</f>
        <v>#N/A</v>
      </c>
      <c r="HA36" s="57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1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5">
        <f t="shared" si="1"/>
        <v>256.66666666666669</v>
      </c>
      <c r="I37" s="6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108.00000000000003</v>
      </c>
      <c r="O37" s="13">
        <f>N37*VLOOKUP('Données projet'!$B$9,Paramètres!$A$1:$I$89,3,0)*VLOOKUP('Données projet'!$B$9,Paramètres!$A$1:$I$89,5,0)</f>
        <v>97.718400000000031</v>
      </c>
      <c r="P37" s="13">
        <f t="shared" si="33"/>
        <v>26.417709819192194</v>
      </c>
      <c r="Q37" s="20">
        <f t="shared" si="53"/>
        <v>216.20372460175977</v>
      </c>
      <c r="R37" s="57">
        <f t="shared" si="0"/>
        <v>509.53705793509312</v>
      </c>
      <c r="S37" s="57">
        <f ca="1">AVERAGE(OFFSET($R$3,0,0,'Données projet'!$E$9+1,1))-AVERAGE(OFFSET($H$3,0,0,'Données projet'!$E$9+1,1))</f>
        <v>373.45926089889866</v>
      </c>
      <c r="T37" s="57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108.00000000000003</v>
      </c>
      <c r="AJ37" s="13">
        <f>AI37*VLOOKUP('Données projet'!$B$10,Paramètres!$A$1:$I$89,3,0)*VLOOKUP('Données projet'!$B$10,Paramètres!$A$1:$I$89,5,0)</f>
        <v>102.77280000000002</v>
      </c>
      <c r="AK37" s="13">
        <f t="shared" si="35"/>
        <v>27.62152372741507</v>
      </c>
      <c r="AL37" s="20">
        <f t="shared" si="4"/>
        <v>227.10344715858128</v>
      </c>
      <c r="AM37" s="57">
        <f t="shared" si="5"/>
        <v>520.43678049191453</v>
      </c>
      <c r="AN37" s="57">
        <f ca="1">AVERAGE(OFFSET($AM$3,0,0,'Données projet'!$E$10+1,1))-AVERAGE(OFFSET($H$3,0,0,'Données projet'!$E$10+1,1))</f>
        <v>390.70240761116355</v>
      </c>
      <c r="AO37" s="57">
        <f t="shared" si="36"/>
        <v>241.18285512887638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108.00000000000003</v>
      </c>
      <c r="BE37" s="13">
        <f>BD37*VLOOKUP('Données projet'!$B$11,Paramètres!$A$1:$I$89,3,0)*VLOOKUP('Données projet'!$B$11,Paramètres!$A$1:$I$89,5,0)</f>
        <v>104.45760000000004</v>
      </c>
      <c r="BF37" s="13">
        <f t="shared" si="37"/>
        <v>28.021248860498272</v>
      </c>
      <c r="BG37" s="20">
        <f t="shared" si="7"/>
        <v>230.73399509870123</v>
      </c>
      <c r="BH37" s="57">
        <f t="shared" si="8"/>
        <v>524.06732843203451</v>
      </c>
      <c r="BI37" s="57">
        <f ca="1">AVERAGE(OFFSET($BH$3,0,0,'Données projet'!$E$11+1,1))-AVERAGE(OFFSET($H$3,0,0,'Données projet'!$E$11+1,1))</f>
        <v>396.44612884768748</v>
      </c>
      <c r="BJ37" s="57">
        <f t="shared" si="38"/>
        <v>244.451492444461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16.650000000000002</v>
      </c>
      <c r="BY37" s="12">
        <f>IF('Données projet'!$A$114&gt;35,BY36+BX37-CG36,IF(A37&lt;'Données projet'!$A$114,$BV$205^A37,IF(A37='Données projet'!$A$114,'Données projet'!$B$114,BY36+BX37-CG36)))</f>
        <v>183.99000000000009</v>
      </c>
      <c r="BZ37" s="13">
        <f>BY37*VLOOKUP('Données projet'!$B$12,Paramètres!$A$1:$I$89,3,0)*VLOOKUP('Données projet'!$B$12,Paramètres!$A$1:$I$89,5,0)</f>
        <v>110.02602000000006</v>
      </c>
      <c r="CA37" s="13">
        <f t="shared" si="39"/>
        <v>29.337115003116516</v>
      </c>
      <c r="CB37" s="20">
        <f t="shared" si="10"/>
        <v>242.72412679709473</v>
      </c>
      <c r="CC37" s="57">
        <f t="shared" si="11"/>
        <v>536.05746013042801</v>
      </c>
      <c r="CD37" s="57">
        <f ca="1">AVERAGE(OFFSET($CC$3,0,0,'Données projet'!$E$12+1,1))-AVERAGE(OFFSET($H$3,0,0,'Données projet'!$E$12+1,1))</f>
        <v>259.64096626089821</v>
      </c>
      <c r="CE37" s="57">
        <f t="shared" si="40"/>
        <v>258.1415293081597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9.3514582246239115</v>
      </c>
      <c r="CL37" s="21">
        <f>EXP(-LN(2)/25)*CL36+(1-EXP(-LN(2)/25))/(LN(2)/25)*Calculateur!CG37*Calculateur!CI37*VLOOKUP('Données projet'!$B$12,Paramètres!$A$1:$I$89,3,0)*0.475*44/12</f>
        <v>18.289829175913127</v>
      </c>
      <c r="CM37" s="21">
        <f>EXP(-LN(2)/2)*CM36+(1-EXP(-LN(2)/2))/(LN(2)/2)*CG37*CJ37*VLOOKUP('Données projet'!$B$12,Paramètres!$A$1:$I$89,3,0)*0.475*44/12</f>
        <v>7.258583938192289</v>
      </c>
      <c r="CN37" s="22">
        <f t="shared" si="12"/>
        <v>34.899871338729326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</v>
      </c>
      <c r="CT37" s="12">
        <f>IF('Données projet'!$A$140&gt;35,CT36+CS37-DB36,IF(A37&lt;'Données projet'!$A$140,$CQ$205^A37,IF(A37='Données projet'!$A$140,'Données projet'!$B$140,CT36+CS37-DB36)))</f>
        <v>108.00000000000003</v>
      </c>
      <c r="CU37" s="17">
        <f>CT37*VLOOKUP('Données projet'!$B$13,Paramètres!$A$1:$I$89,3,0)*VLOOKUP('Données projet'!$B$13,Paramètres!$A$1:$I$89,5,0)</f>
        <v>116.25120000000003</v>
      </c>
      <c r="CV37" s="13">
        <f t="shared" si="41"/>
        <v>30.799044755804353</v>
      </c>
      <c r="CW37" s="20">
        <f t="shared" si="13"/>
        <v>256.11250961635932</v>
      </c>
      <c r="CX37" s="57">
        <f t="shared" si="14"/>
        <v>549.44584294969263</v>
      </c>
      <c r="CY37" s="57">
        <f ca="1">AVERAGE(OFFSET($CX$3,0,0,'Données projet'!$E$13+1,1))-AVERAGE(OFFSET($H$3,0,0,'Données projet'!$E$13+1,1))</f>
        <v>436.59978658837537</v>
      </c>
      <c r="CZ37" s="57">
        <f t="shared" si="42"/>
        <v>267.2998309535638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</v>
      </c>
      <c r="DO37" s="12">
        <f>IF('Données projet'!$A$166&gt;35,DO36+DN37-DW36,IF(A37&lt;'Données projet'!$A$166,$DL$205^A37,IF(A37='Données projet'!$A$166,'Données projet'!$B$166,DO36+DN37-DW36)))</f>
        <v>73.999999999999986</v>
      </c>
      <c r="DP37" s="17">
        <f>DO37*VLOOKUP('Données projet'!$B$14,Paramètres!$A$1:$I$89,3,0)*VLOOKUP('Données projet'!$B$14,Paramètres!$A$1:$I$89,5,0)</f>
        <v>70.418399999999991</v>
      </c>
      <c r="DQ37" s="13">
        <f t="shared" si="43"/>
        <v>19.777324972922738</v>
      </c>
      <c r="DR37" s="20">
        <f t="shared" si="16"/>
        <v>157.09088766117375</v>
      </c>
      <c r="DS37" s="57">
        <f t="shared" si="17"/>
        <v>450.4242209945071</v>
      </c>
      <c r="DT37" s="57">
        <f ca="1">AVERAGE(OFFSET($DS$3,0,0,'Données projet'!$E$14+1,1))-AVERAGE(OFFSET($H$3,0,0,'Données projet'!$E$14+1,1))</f>
        <v>292.95981568144879</v>
      </c>
      <c r="DU37" s="57">
        <f t="shared" si="44"/>
        <v>152.23954167722536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7" t="e">
        <f t="shared" si="20"/>
        <v>#N/A</v>
      </c>
      <c r="EO37" s="57" t="e">
        <f ca="1">AVERAGE(OFFSET($EN$3,0,0,'Données projet'!$E$15+1,1))-AVERAGE(OFFSET($H$3,0,0,'Données projet'!$E$15+1,1))</f>
        <v>#N/A</v>
      </c>
      <c r="EP37" s="57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7" t="e">
        <f t="shared" si="23"/>
        <v>#N/A</v>
      </c>
      <c r="FJ37" s="57" t="e">
        <f ca="1">AVERAGE(OFFSET($FI$3,0,0,'Données projet'!$E$16+1,1))-AVERAGE(OFFSET($H$3,0,0,'Données projet'!$E$16+1,1))</f>
        <v>#N/A</v>
      </c>
      <c r="FK37" s="57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7" t="e">
        <f t="shared" si="26"/>
        <v>#N/A</v>
      </c>
      <c r="GE37" s="57" t="e">
        <f ca="1">AVERAGE(OFFSET($GD$3,0,0,'Données projet'!$E$17+1,1))-AVERAGE(OFFSET($H$3,0,0,'Données projet'!$E$17+1,1))</f>
        <v>#N/A</v>
      </c>
      <c r="GF37" s="57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7" t="e">
        <f t="shared" si="29"/>
        <v>#N/A</v>
      </c>
      <c r="GZ37" s="57" t="e">
        <f ca="1">AVERAGE(OFFSET($GY$3,0,0,'Données projet'!$E$18+1,1))-AVERAGE(OFFSET($H$3,0,0,'Données projet'!$E$18+1,1))</f>
        <v>#N/A</v>
      </c>
      <c r="HA37" s="57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1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5">
        <f t="shared" si="1"/>
        <v>256.66666666666669</v>
      </c>
      <c r="I38" s="6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116.00000000000003</v>
      </c>
      <c r="O38" s="13">
        <f>N38*VLOOKUP('Données projet'!$B$9,Paramètres!$A$1:$I$89,3,0)*VLOOKUP('Données projet'!$B$9,Paramètres!$A$1:$I$89,5,0)</f>
        <v>104.95680000000003</v>
      </c>
      <c r="P38" s="13">
        <f t="shared" si="33"/>
        <v>28.139541339232398</v>
      </c>
      <c r="Q38" s="20">
        <f t="shared" si="53"/>
        <v>231.80946116582979</v>
      </c>
      <c r="R38" s="57">
        <f t="shared" si="0"/>
        <v>525.14279449916307</v>
      </c>
      <c r="S38" s="57">
        <f ca="1">AVERAGE(OFFSET($R$3,0,0,'Données projet'!$E$9+1,1))-AVERAGE(OFFSET($H$3,0,0,'Données projet'!$E$9+1,1))</f>
        <v>373.45926089889866</v>
      </c>
      <c r="T38" s="57">
        <f t="shared" si="34"/>
        <v>231.36959598460686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116.00000000000003</v>
      </c>
      <c r="AJ38" s="13">
        <f>AI38*VLOOKUP('Données projet'!$B$10,Paramètres!$A$1:$I$89,3,0)*VLOOKUP('Données projet'!$B$10,Paramètres!$A$1:$I$89,5,0)</f>
        <v>110.38560000000004</v>
      </c>
      <c r="AK38" s="13">
        <f t="shared" si="35"/>
        <v>29.421816429201407</v>
      </c>
      <c r="AL38" s="20">
        <f t="shared" si="4"/>
        <v>243.49791694752582</v>
      </c>
      <c r="AM38" s="57">
        <f t="shared" si="5"/>
        <v>536.83125028085919</v>
      </c>
      <c r="AN38" s="57">
        <f ca="1">AVERAGE(OFFSET($AM$3,0,0,'Données projet'!$E$10+1,1))-AVERAGE(OFFSET($H$3,0,0,'Données projet'!$E$10+1,1))</f>
        <v>390.70240761116355</v>
      </c>
      <c r="AO38" s="57">
        <f t="shared" si="36"/>
        <v>241.18285512887638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116.00000000000003</v>
      </c>
      <c r="BE38" s="13">
        <f>BD38*VLOOKUP('Données projet'!$B$11,Paramètres!$A$1:$I$89,3,0)*VLOOKUP('Données projet'!$B$11,Paramètres!$A$1:$I$89,5,0)</f>
        <v>112.19520000000003</v>
      </c>
      <c r="BF38" s="13">
        <f t="shared" si="37"/>
        <v>29.847594514573263</v>
      </c>
      <c r="BG38" s="20">
        <f t="shared" si="7"/>
        <v>247.39120044621515</v>
      </c>
      <c r="BH38" s="57">
        <f t="shared" si="8"/>
        <v>540.72453377954844</v>
      </c>
      <c r="BI38" s="57">
        <f ca="1">AVERAGE(OFFSET($BH$3,0,0,'Données projet'!$E$11+1,1))-AVERAGE(OFFSET($H$3,0,0,'Données projet'!$E$11+1,1))</f>
        <v>396.44612884768748</v>
      </c>
      <c r="BJ38" s="57">
        <f t="shared" si="38"/>
        <v>244.451492444461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16.650000000000002</v>
      </c>
      <c r="BY38" s="12">
        <f>IF('Données projet'!$A$114&gt;35,BY37+BX38-CG37,IF(A38&lt;'Données projet'!$A$114,$BV$205^A38,IF(A38='Données projet'!$A$114,'Données projet'!$B$114,BY37+BX38-CG37)))</f>
        <v>200.6400000000001</v>
      </c>
      <c r="BZ38" s="13">
        <f>BY38*VLOOKUP('Données projet'!$B$12,Paramètres!$A$1:$I$89,3,0)*VLOOKUP('Données projet'!$B$12,Paramètres!$A$1:$I$89,5,0)</f>
        <v>119.98272000000007</v>
      </c>
      <c r="CA38" s="13">
        <f t="shared" si="39"/>
        <v>31.670968984114154</v>
      </c>
      <c r="CB38" s="20">
        <f t="shared" si="10"/>
        <v>264.13017498066563</v>
      </c>
      <c r="CC38" s="57">
        <f t="shared" si="11"/>
        <v>557.463508313999</v>
      </c>
      <c r="CD38" s="57">
        <f ca="1">AVERAGE(OFFSET($CC$3,0,0,'Données projet'!$E$12+1,1))-AVERAGE(OFFSET($H$3,0,0,'Données projet'!$E$12+1,1))</f>
        <v>259.64096626089821</v>
      </c>
      <c r="CE38" s="57">
        <f t="shared" si="40"/>
        <v>258.1415293081597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9.1680818326653473</v>
      </c>
      <c r="CL38" s="21">
        <f>EXP(-LN(2)/25)*CL37+(1-EXP(-LN(2)/25))/(LN(2)/25)*Calculateur!CG38*Calculateur!CI38*VLOOKUP('Données projet'!$B$12,Paramètres!$A$1:$I$89,3,0)*0.475*44/12</f>
        <v>17.789692835277467</v>
      </c>
      <c r="CM38" s="21">
        <f>EXP(-LN(2)/2)*CM37+(1-EXP(-LN(2)/2))/(LN(2)/2)*CG38*CJ38*VLOOKUP('Données projet'!$B$12,Paramètres!$A$1:$I$89,3,0)*0.475*44/12</f>
        <v>5.1325939245075238</v>
      </c>
      <c r="CN38" s="22">
        <f t="shared" si="12"/>
        <v>32.090368592450339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116</v>
      </c>
      <c r="CR38" s="12">
        <f>VLOOKUP(A38,'Données projet'!$A$139:$I$159,9,0)</f>
        <v>8</v>
      </c>
      <c r="CS38" s="12">
        <f t="array" ref="CS38">INDEX(CR:CR,MIN(IF(ISNUMBER(CR38:CR234),ROW(CR38:CR234),"")))</f>
        <v>8</v>
      </c>
      <c r="CT38" s="12">
        <f>IF('Données projet'!$A$140&gt;35,CT37+CS38-DB37,IF(A38&lt;'Données projet'!$A$140,$CQ$205^A38,IF(A38='Données projet'!$A$140,'Données projet'!$B$140,CT37+CS38-DB37)))</f>
        <v>116.00000000000003</v>
      </c>
      <c r="CU38" s="17">
        <f>CT38*VLOOKUP('Données projet'!$B$13,Paramètres!$A$1:$I$89,3,0)*VLOOKUP('Données projet'!$B$13,Paramètres!$A$1:$I$89,5,0)</f>
        <v>124.86240000000004</v>
      </c>
      <c r="CV38" s="13">
        <f t="shared" si="41"/>
        <v>32.806439280561598</v>
      </c>
      <c r="CW38" s="20">
        <f t="shared" si="13"/>
        <v>274.60656174697812</v>
      </c>
      <c r="CX38" s="57">
        <f t="shared" si="14"/>
        <v>567.93989508031143</v>
      </c>
      <c r="CY38" s="57">
        <f ca="1">AVERAGE(OFFSET($CX$3,0,0,'Données projet'!$E$13+1,1))-AVERAGE(OFFSET($H$3,0,0,'Données projet'!$E$13+1,1))</f>
        <v>436.59978658837537</v>
      </c>
      <c r="CZ38" s="57">
        <f t="shared" si="42"/>
        <v>267.2998309535638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79</v>
      </c>
      <c r="DM38" s="12">
        <f>VLOOKUP(A38,'Données projet'!$A$165:$I$185,9,0)</f>
        <v>5</v>
      </c>
      <c r="DN38" s="12">
        <f t="array" ref="DN38">INDEX(DM:DM,MIN(IF(ISNUMBER(DM38:DM234),ROW(DM38:DM234),"")))</f>
        <v>5</v>
      </c>
      <c r="DO38" s="12">
        <f>IF('Données projet'!$A$166&gt;35,DO37+DN38-DW37,IF(A38&lt;'Données projet'!$A$166,$DL$205^A38,IF(A38='Données projet'!$A$166,'Données projet'!$B$166,DO37+DN38-DW37)))</f>
        <v>78.999999999999986</v>
      </c>
      <c r="DP38" s="17">
        <f>DO38*VLOOKUP('Données projet'!$B$14,Paramètres!$A$1:$I$89,3,0)*VLOOKUP('Données projet'!$B$14,Paramètres!$A$1:$I$89,5,0)</f>
        <v>75.176399999999987</v>
      </c>
      <c r="DQ38" s="13">
        <f t="shared" si="43"/>
        <v>20.95355421300528</v>
      </c>
      <c r="DR38" s="20">
        <f t="shared" si="16"/>
        <v>167.42633692098417</v>
      </c>
      <c r="DS38" s="57">
        <f t="shared" si="17"/>
        <v>460.75967025431748</v>
      </c>
      <c r="DT38" s="57">
        <f ca="1">AVERAGE(OFFSET($DS$3,0,0,'Données projet'!$E$14+1,1))-AVERAGE(OFFSET($H$3,0,0,'Données projet'!$E$14+1,1))</f>
        <v>292.95981568144879</v>
      </c>
      <c r="DU38" s="57">
        <f t="shared" si="44"/>
        <v>152.23954167722536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13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7" t="e">
        <f t="shared" si="20"/>
        <v>#N/A</v>
      </c>
      <c r="EO38" s="57" t="e">
        <f ca="1">AVERAGE(OFFSET($EN$3,0,0,'Données projet'!$E$15+1,1))-AVERAGE(OFFSET($H$3,0,0,'Données projet'!$E$15+1,1))</f>
        <v>#N/A</v>
      </c>
      <c r="EP38" s="57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7" t="e">
        <f t="shared" si="23"/>
        <v>#N/A</v>
      </c>
      <c r="FJ38" s="57" t="e">
        <f ca="1">AVERAGE(OFFSET($FI$3,0,0,'Données projet'!$E$16+1,1))-AVERAGE(OFFSET($H$3,0,0,'Données projet'!$E$16+1,1))</f>
        <v>#N/A</v>
      </c>
      <c r="FK38" s="57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7" t="e">
        <f t="shared" si="26"/>
        <v>#N/A</v>
      </c>
      <c r="GE38" s="57" t="e">
        <f ca="1">AVERAGE(OFFSET($GD$3,0,0,'Données projet'!$E$17+1,1))-AVERAGE(OFFSET($H$3,0,0,'Données projet'!$E$17+1,1))</f>
        <v>#N/A</v>
      </c>
      <c r="GF38" s="57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7" t="e">
        <f t="shared" si="29"/>
        <v>#N/A</v>
      </c>
      <c r="GZ38" s="57" t="e">
        <f ca="1">AVERAGE(OFFSET($GY$3,0,0,'Données projet'!$E$18+1,1))-AVERAGE(OFFSET($H$3,0,0,'Données projet'!$E$18+1,1))</f>
        <v>#N/A</v>
      </c>
      <c r="HA38" s="57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1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5">
        <f t="shared" si="1"/>
        <v>256.66666666666669</v>
      </c>
      <c r="I39" s="6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103.40000000000003</v>
      </c>
      <c r="O39" s="13">
        <f>N39*VLOOKUP('Données projet'!$B$9,Paramètres!$A$1:$I$89,3,0)*VLOOKUP('Données projet'!$B$9,Paramètres!$A$1:$I$89,5,0)</f>
        <v>93.556320000000028</v>
      </c>
      <c r="P39" s="13">
        <f t="shared" si="33"/>
        <v>25.420979659258094</v>
      </c>
      <c r="Q39" s="20">
        <f t="shared" si="53"/>
        <v>207.21879690654123</v>
      </c>
      <c r="R39" s="57">
        <f t="shared" si="0"/>
        <v>500.55213023987454</v>
      </c>
      <c r="S39" s="57">
        <f ca="1">AVERAGE(OFFSET($R$3,0,0,'Données projet'!$E$9+1,1))-AVERAGE(OFFSET($H$3,0,0,'Données projet'!$E$9+1,1))</f>
        <v>373.45926089889866</v>
      </c>
      <c r="T39" s="57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103.40000000000003</v>
      </c>
      <c r="AJ39" s="13">
        <f>AI39*VLOOKUP('Données projet'!$B$10,Paramètres!$A$1:$I$89,3,0)*VLOOKUP('Données projet'!$B$10,Paramètres!$A$1:$I$89,5,0)</f>
        <v>98.395440000000036</v>
      </c>
      <c r="AK39" s="13">
        <f t="shared" si="35"/>
        <v>26.57937412584554</v>
      </c>
      <c r="AL39" s="20">
        <f t="shared" si="4"/>
        <v>217.66446793584771</v>
      </c>
      <c r="AM39" s="57">
        <f t="shared" si="5"/>
        <v>510.99780126918102</v>
      </c>
      <c r="AN39" s="57">
        <f ca="1">AVERAGE(OFFSET($AM$3,0,0,'Données projet'!$E$10+1,1))-AVERAGE(OFFSET($H$3,0,0,'Données projet'!$E$10+1,1))</f>
        <v>390.70240761116355</v>
      </c>
      <c r="AO39" s="57">
        <f t="shared" si="36"/>
        <v>241.18285512887638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103.40000000000003</v>
      </c>
      <c r="BE39" s="13">
        <f>BD39*VLOOKUP('Données projet'!$B$11,Paramètres!$A$1:$I$89,3,0)*VLOOKUP('Données projet'!$B$11,Paramètres!$A$1:$I$89,5,0)</f>
        <v>100.00848000000003</v>
      </c>
      <c r="BF39" s="13">
        <f t="shared" si="37"/>
        <v>26.964017781444337</v>
      </c>
      <c r="BG39" s="20">
        <f t="shared" si="7"/>
        <v>221.14376696934895</v>
      </c>
      <c r="BH39" s="57">
        <f t="shared" si="8"/>
        <v>514.47710030268229</v>
      </c>
      <c r="BI39" s="57">
        <f ca="1">AVERAGE(OFFSET($BH$3,0,0,'Données projet'!$E$11+1,1))-AVERAGE(OFFSET($H$3,0,0,'Données projet'!$E$11+1,1))</f>
        <v>396.44612884768748</v>
      </c>
      <c r="BJ39" s="57">
        <f t="shared" si="38"/>
        <v>244.451492444461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16.650000000000002</v>
      </c>
      <c r="BY39" s="12">
        <f>IF('Données projet'!$A$114&gt;35,BY38+BX39-CG38,IF(A39&lt;'Données projet'!$A$114,$BV$205^A39,IF(A39='Données projet'!$A$114,'Données projet'!$B$114,BY38+BX39-CG38)))</f>
        <v>217.29000000000011</v>
      </c>
      <c r="BZ39" s="13">
        <f>BY39*VLOOKUP('Données projet'!$B$12,Paramètres!$A$1:$I$89,3,0)*VLOOKUP('Données projet'!$B$12,Paramètres!$A$1:$I$89,5,0)</f>
        <v>129.93942000000007</v>
      </c>
      <c r="CA39" s="13">
        <f t="shared" si="39"/>
        <v>33.982360693306902</v>
      </c>
      <c r="CB39" s="20">
        <f t="shared" si="10"/>
        <v>285.49710137417628</v>
      </c>
      <c r="CC39" s="57">
        <f t="shared" si="11"/>
        <v>578.83043470750954</v>
      </c>
      <c r="CD39" s="57">
        <f ca="1">AVERAGE(OFFSET($CC$3,0,0,'Données projet'!$E$12+1,1))-AVERAGE(OFFSET($H$3,0,0,'Données projet'!$E$12+1,1))</f>
        <v>259.64096626089821</v>
      </c>
      <c r="CE39" s="57">
        <f t="shared" si="40"/>
        <v>258.1415293081597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8.9883013399045364</v>
      </c>
      <c r="CL39" s="21">
        <f>EXP(-LN(2)/25)*CL38+(1-EXP(-LN(2)/25))/(LN(2)/25)*Calculateur!CG39*Calculateur!CI39*VLOOKUP('Données projet'!$B$12,Paramètres!$A$1:$I$89,3,0)*0.475*44/12</f>
        <v>17.303232749177518</v>
      </c>
      <c r="CM39" s="21">
        <f>EXP(-LN(2)/2)*CM38+(1-EXP(-LN(2)/2))/(LN(2)/2)*CG39*CJ39*VLOOKUP('Données projet'!$B$12,Paramètres!$A$1:$I$89,3,0)*0.475*44/12</f>
        <v>3.6292919690961449</v>
      </c>
      <c r="CN39" s="22">
        <f t="shared" si="12"/>
        <v>29.9208260581782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8.4</v>
      </c>
      <c r="CT39" s="12">
        <f>IF('Données projet'!$A$140&gt;35,CT38+CS39-DB38,IF(A39&lt;'Données projet'!$A$140,$CQ$205^A39,IF(A39='Données projet'!$A$140,'Données projet'!$B$140,CT38+CS39-DB38)))</f>
        <v>103.40000000000003</v>
      </c>
      <c r="CU39" s="17">
        <f>CT39*VLOOKUP('Données projet'!$B$13,Paramètres!$A$1:$I$89,3,0)*VLOOKUP('Données projet'!$B$13,Paramètres!$A$1:$I$89,5,0)</f>
        <v>111.29976000000003</v>
      </c>
      <c r="CV39" s="13">
        <f t="shared" si="41"/>
        <v>29.637008492427388</v>
      </c>
      <c r="CW39" s="20">
        <f t="shared" si="13"/>
        <v>245.46487179097778</v>
      </c>
      <c r="CX39" s="57">
        <f t="shared" si="14"/>
        <v>538.79820512431115</v>
      </c>
      <c r="CY39" s="57">
        <f ca="1">AVERAGE(OFFSET($CX$3,0,0,'Données projet'!$E$13+1,1))-AVERAGE(OFFSET($H$3,0,0,'Données projet'!$E$13+1,1))</f>
        <v>436.59978658837537</v>
      </c>
      <c r="CZ39" s="57">
        <f t="shared" si="42"/>
        <v>267.2998309535638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5.4</v>
      </c>
      <c r="DO39" s="12">
        <f>IF('Données projet'!$A$166&gt;35,DO38+DN39-DW38,IF(A39&lt;'Données projet'!$A$166,$DL$205^A39,IF(A39='Données projet'!$A$166,'Données projet'!$B$166,DO38+DN39-DW38)))</f>
        <v>71.399999999999991</v>
      </c>
      <c r="DP39" s="17">
        <f>DO39*VLOOKUP('Données projet'!$B$14,Paramètres!$A$1:$I$89,3,0)*VLOOKUP('Données projet'!$B$14,Paramètres!$A$1:$I$89,5,0)</f>
        <v>67.944239999999994</v>
      </c>
      <c r="DQ39" s="13">
        <f t="shared" si="43"/>
        <v>19.162057636242221</v>
      </c>
      <c r="DR39" s="20">
        <f t="shared" si="16"/>
        <v>151.71013504978851</v>
      </c>
      <c r="DS39" s="57">
        <f t="shared" si="17"/>
        <v>445.04346838312182</v>
      </c>
      <c r="DT39" s="57">
        <f ca="1">AVERAGE(OFFSET($DS$3,0,0,'Données projet'!$E$14+1,1))-AVERAGE(OFFSET($H$3,0,0,'Données projet'!$E$14+1,1))</f>
        <v>292.95981568144879</v>
      </c>
      <c r="DU39" s="57">
        <f t="shared" si="44"/>
        <v>152.23954167722536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7" t="e">
        <f t="shared" si="20"/>
        <v>#N/A</v>
      </c>
      <c r="EO39" s="57" t="e">
        <f ca="1">AVERAGE(OFFSET($EN$3,0,0,'Données projet'!$E$15+1,1))-AVERAGE(OFFSET($H$3,0,0,'Données projet'!$E$15+1,1))</f>
        <v>#N/A</v>
      </c>
      <c r="EP39" s="57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7" t="e">
        <f t="shared" si="23"/>
        <v>#N/A</v>
      </c>
      <c r="FJ39" s="57" t="e">
        <f ca="1">AVERAGE(OFFSET($FI$3,0,0,'Données projet'!$E$16+1,1))-AVERAGE(OFFSET($H$3,0,0,'Données projet'!$E$16+1,1))</f>
        <v>#N/A</v>
      </c>
      <c r="FK39" s="57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7" t="e">
        <f t="shared" si="26"/>
        <v>#N/A</v>
      </c>
      <c r="GE39" s="57" t="e">
        <f ca="1">AVERAGE(OFFSET($GD$3,0,0,'Données projet'!$E$17+1,1))-AVERAGE(OFFSET($H$3,0,0,'Données projet'!$E$17+1,1))</f>
        <v>#N/A</v>
      </c>
      <c r="GF39" s="57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7" t="e">
        <f t="shared" si="29"/>
        <v>#N/A</v>
      </c>
      <c r="GZ39" s="57" t="e">
        <f ca="1">AVERAGE(OFFSET($GY$3,0,0,'Données projet'!$E$18+1,1))-AVERAGE(OFFSET($H$3,0,0,'Données projet'!$E$18+1,1))</f>
        <v>#N/A</v>
      </c>
      <c r="HA39" s="57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1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5">
        <f t="shared" si="1"/>
        <v>256.66666666666669</v>
      </c>
      <c r="I40" s="6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111.80000000000004</v>
      </c>
      <c r="O40" s="13">
        <f>N40*VLOOKUP('Données projet'!$B$9,Paramètres!$A$1:$I$89,3,0)*VLOOKUP('Données projet'!$B$9,Paramètres!$A$1:$I$89,5,0)</f>
        <v>101.15664000000004</v>
      </c>
      <c r="P40" s="13">
        <f t="shared" si="33"/>
        <v>27.237366379381669</v>
      </c>
      <c r="Q40" s="20">
        <f t="shared" si="53"/>
        <v>223.61956111075651</v>
      </c>
      <c r="R40" s="57">
        <f t="shared" si="0"/>
        <v>516.95289444408979</v>
      </c>
      <c r="S40" s="57">
        <f ca="1">AVERAGE(OFFSET($R$3,0,0,'Données projet'!$E$9+1,1))-AVERAGE(OFFSET($H$3,0,0,'Données projet'!$E$9+1,1))</f>
        <v>373.45926089889866</v>
      </c>
      <c r="T40" s="57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111.80000000000004</v>
      </c>
      <c r="AJ40" s="13">
        <f>AI40*VLOOKUP('Données projet'!$B$10,Paramètres!$A$1:$I$89,3,0)*VLOOKUP('Données projet'!$B$10,Paramètres!$A$1:$I$89,5,0)</f>
        <v>106.38888000000004</v>
      </c>
      <c r="AK40" s="13">
        <f t="shared" si="35"/>
        <v>28.478530760975403</v>
      </c>
      <c r="AL40" s="20">
        <f t="shared" si="4"/>
        <v>234.89407374203225</v>
      </c>
      <c r="AM40" s="57">
        <f t="shared" si="5"/>
        <v>528.22740707536559</v>
      </c>
      <c r="AN40" s="57">
        <f ca="1">AVERAGE(OFFSET($AM$3,0,0,'Données projet'!$E$10+1,1))-AVERAGE(OFFSET($H$3,0,0,'Données projet'!$E$10+1,1))</f>
        <v>390.70240761116355</v>
      </c>
      <c r="AO40" s="57">
        <f t="shared" si="36"/>
        <v>241.18285512887638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111.80000000000004</v>
      </c>
      <c r="BE40" s="13">
        <f>BD40*VLOOKUP('Données projet'!$B$11,Paramètres!$A$1:$I$89,3,0)*VLOOKUP('Données projet'!$B$11,Paramètres!$A$1:$I$89,5,0)</f>
        <v>108.13296000000005</v>
      </c>
      <c r="BF40" s="13">
        <f t="shared" si="37"/>
        <v>28.890658079177882</v>
      </c>
      <c r="BG40" s="20">
        <f t="shared" si="7"/>
        <v>238.64946815456824</v>
      </c>
      <c r="BH40" s="57">
        <f t="shared" si="8"/>
        <v>531.9828014879015</v>
      </c>
      <c r="BI40" s="57">
        <f ca="1">AVERAGE(OFFSET($BH$3,0,0,'Données projet'!$E$11+1,1))-AVERAGE(OFFSET($H$3,0,0,'Données projet'!$E$11+1,1))</f>
        <v>396.44612884768748</v>
      </c>
      <c r="BJ40" s="57">
        <f t="shared" si="38"/>
        <v>244.451492444461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16.650000000000002</v>
      </c>
      <c r="BY40" s="12">
        <f>IF('Données projet'!$A$114&gt;35,BY39+BX40-CG39,IF(A40&lt;'Données projet'!$A$114,$BV$205^A40,IF(A40='Données projet'!$A$114,'Données projet'!$B$114,BY39+BX40-CG39)))</f>
        <v>233.94000000000011</v>
      </c>
      <c r="BZ40" s="13">
        <f>BY40*VLOOKUP('Données projet'!$B$12,Paramètres!$A$1:$I$89,3,0)*VLOOKUP('Données projet'!$B$12,Paramètres!$A$1:$I$89,5,0)</f>
        <v>139.89612000000008</v>
      </c>
      <c r="CA40" s="13">
        <f t="shared" si="39"/>
        <v>36.27320701777645</v>
      </c>
      <c r="CB40" s="20">
        <f t="shared" si="10"/>
        <v>306.82824455596079</v>
      </c>
      <c r="CC40" s="57">
        <f t="shared" si="11"/>
        <v>600.16157788929411</v>
      </c>
      <c r="CD40" s="57">
        <f ca="1">AVERAGE(OFFSET($CC$3,0,0,'Données projet'!$E$12+1,1))-AVERAGE(OFFSET($H$3,0,0,'Données projet'!$E$12+1,1))</f>
        <v>259.64096626089821</v>
      </c>
      <c r="CE40" s="57">
        <f t="shared" si="40"/>
        <v>258.1415293081597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8.8120462329514915</v>
      </c>
      <c r="CL40" s="21">
        <f>EXP(-LN(2)/25)*CL39+(1-EXP(-LN(2)/25))/(LN(2)/25)*Calculateur!CG40*Calculateur!CI40*VLOOKUP('Données projet'!$B$12,Paramètres!$A$1:$I$89,3,0)*0.475*44/12</f>
        <v>16.830074939713796</v>
      </c>
      <c r="CM40" s="21">
        <f>EXP(-LN(2)/2)*CM39+(1-EXP(-LN(2)/2))/(LN(2)/2)*CG40*CJ40*VLOOKUP('Données projet'!$B$12,Paramètres!$A$1:$I$89,3,0)*0.475*44/12</f>
        <v>2.5662969622537619</v>
      </c>
      <c r="CN40" s="22">
        <f t="shared" si="12"/>
        <v>28.20841813491905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8.4</v>
      </c>
      <c r="CT40" s="12">
        <f>IF('Données projet'!$A$140&gt;35,CT39+CS40-DB39,IF(A40&lt;'Données projet'!$A$140,$CQ$205^A40,IF(A40='Données projet'!$A$140,'Données projet'!$B$140,CT39+CS40-DB39)))</f>
        <v>111.80000000000004</v>
      </c>
      <c r="CU40" s="17">
        <f>CT40*VLOOKUP('Données projet'!$B$13,Paramètres!$A$1:$I$89,3,0)*VLOOKUP('Données projet'!$B$13,Paramètres!$A$1:$I$89,5,0)</f>
        <v>120.34152000000005</v>
      </c>
      <c r="CV40" s="13">
        <f t="shared" si="41"/>
        <v>31.754640046026051</v>
      </c>
      <c r="CW40" s="20">
        <f t="shared" si="13"/>
        <v>264.9008120801621</v>
      </c>
      <c r="CX40" s="57">
        <f t="shared" si="14"/>
        <v>558.23414541349541</v>
      </c>
      <c r="CY40" s="57">
        <f ca="1">AVERAGE(OFFSET($CX$3,0,0,'Données projet'!$E$13+1,1))-AVERAGE(OFFSET($H$3,0,0,'Données projet'!$E$13+1,1))</f>
        <v>436.59978658837537</v>
      </c>
      <c r="CZ40" s="57">
        <f t="shared" si="42"/>
        <v>267.2998309535638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5.4</v>
      </c>
      <c r="DO40" s="12">
        <f>IF('Données projet'!$A$166&gt;35,DO39+DN40-DW39,IF(A40&lt;'Données projet'!$A$166,$DL$205^A40,IF(A40='Données projet'!$A$166,'Données projet'!$B$166,DO39+DN40-DW39)))</f>
        <v>76.8</v>
      </c>
      <c r="DP40" s="17">
        <f>DO40*VLOOKUP('Données projet'!$B$14,Paramètres!$A$1:$I$89,3,0)*VLOOKUP('Données projet'!$B$14,Paramètres!$A$1:$I$89,5,0)</f>
        <v>73.082880000000003</v>
      </c>
      <c r="DQ40" s="13">
        <f t="shared" si="43"/>
        <v>20.437114411232702</v>
      </c>
      <c r="DR40" s="20">
        <f t="shared" si="16"/>
        <v>162.88065693289695</v>
      </c>
      <c r="DS40" s="57">
        <f t="shared" si="17"/>
        <v>456.21399026623027</v>
      </c>
      <c r="DT40" s="57">
        <f ca="1">AVERAGE(OFFSET($DS$3,0,0,'Données projet'!$E$14+1,1))-AVERAGE(OFFSET($H$3,0,0,'Données projet'!$E$14+1,1))</f>
        <v>292.95981568144879</v>
      </c>
      <c r="DU40" s="57">
        <f t="shared" si="44"/>
        <v>152.23954167722536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7" t="e">
        <f t="shared" si="20"/>
        <v>#N/A</v>
      </c>
      <c r="EO40" s="57" t="e">
        <f ca="1">AVERAGE(OFFSET($EN$3,0,0,'Données projet'!$E$15+1,1))-AVERAGE(OFFSET($H$3,0,0,'Données projet'!$E$15+1,1))</f>
        <v>#N/A</v>
      </c>
      <c r="EP40" s="57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7" t="e">
        <f t="shared" si="23"/>
        <v>#N/A</v>
      </c>
      <c r="FJ40" s="57" t="e">
        <f ca="1">AVERAGE(OFFSET($FI$3,0,0,'Données projet'!$E$16+1,1))-AVERAGE(OFFSET($H$3,0,0,'Données projet'!$E$16+1,1))</f>
        <v>#N/A</v>
      </c>
      <c r="FK40" s="57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7" t="e">
        <f t="shared" si="26"/>
        <v>#N/A</v>
      </c>
      <c r="GE40" s="57" t="e">
        <f ca="1">AVERAGE(OFFSET($GD$3,0,0,'Données projet'!$E$17+1,1))-AVERAGE(OFFSET($H$3,0,0,'Données projet'!$E$17+1,1))</f>
        <v>#N/A</v>
      </c>
      <c r="GF40" s="57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7" t="e">
        <f t="shared" si="29"/>
        <v>#N/A</v>
      </c>
      <c r="GZ40" s="57" t="e">
        <f ca="1">AVERAGE(OFFSET($GY$3,0,0,'Données projet'!$E$18+1,1))-AVERAGE(OFFSET($H$3,0,0,'Données projet'!$E$18+1,1))</f>
        <v>#N/A</v>
      </c>
      <c r="HA40" s="57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1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5">
        <f t="shared" si="1"/>
        <v>256.66666666666669</v>
      </c>
      <c r="I41" s="6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120.20000000000005</v>
      </c>
      <c r="O41" s="13">
        <f>N41*VLOOKUP('Données projet'!$B$9,Paramètres!$A$1:$I$89,3,0)*VLOOKUP('Données projet'!$B$9,Paramètres!$A$1:$I$89,5,0)</f>
        <v>108.75696000000003</v>
      </c>
      <c r="P41" s="13">
        <f t="shared" si="33"/>
        <v>29.037921223305609</v>
      </c>
      <c r="Q41" s="20">
        <f t="shared" si="53"/>
        <v>239.99275146392401</v>
      </c>
      <c r="R41" s="57">
        <f t="shared" si="0"/>
        <v>533.32608479725729</v>
      </c>
      <c r="S41" s="57">
        <f ca="1">AVERAGE(OFFSET($R$3,0,0,'Données projet'!$E$9+1,1))-AVERAGE(OFFSET($H$3,0,0,'Données projet'!$E$9+1,1))</f>
        <v>373.45926089889866</v>
      </c>
      <c r="T41" s="57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120.20000000000005</v>
      </c>
      <c r="AJ41" s="13">
        <f>AI41*VLOOKUP('Données projet'!$B$10,Paramètres!$A$1:$I$89,3,0)*VLOOKUP('Données projet'!$B$10,Paramètres!$A$1:$I$89,5,0)</f>
        <v>114.38232000000005</v>
      </c>
      <c r="AK41" s="13">
        <f t="shared" si="35"/>
        <v>30.361134085955022</v>
      </c>
      <c r="AL41" s="20">
        <f t="shared" si="4"/>
        <v>252.0948491997051</v>
      </c>
      <c r="AM41" s="57">
        <f t="shared" si="5"/>
        <v>545.42818253303835</v>
      </c>
      <c r="AN41" s="57">
        <f ca="1">AVERAGE(OFFSET($AM$3,0,0,'Données projet'!$E$10+1,1))-AVERAGE(OFFSET($H$3,0,0,'Données projet'!$E$10+1,1))</f>
        <v>390.70240761116355</v>
      </c>
      <c r="AO41" s="57">
        <f t="shared" si="36"/>
        <v>241.18285512887638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120.20000000000005</v>
      </c>
      <c r="BE41" s="13">
        <f>BD41*VLOOKUP('Données projet'!$B$11,Paramètres!$A$1:$I$89,3,0)*VLOOKUP('Données projet'!$B$11,Paramètres!$A$1:$I$89,5,0)</f>
        <v>116.25744000000005</v>
      </c>
      <c r="BF41" s="13">
        <f t="shared" si="37"/>
        <v>30.800505515381992</v>
      </c>
      <c r="BG41" s="20">
        <f t="shared" si="7"/>
        <v>256.12592177262371</v>
      </c>
      <c r="BH41" s="57">
        <f t="shared" si="8"/>
        <v>549.45925510595703</v>
      </c>
      <c r="BI41" s="57">
        <f ca="1">AVERAGE(OFFSET($BH$3,0,0,'Données projet'!$E$11+1,1))-AVERAGE(OFFSET($H$3,0,0,'Données projet'!$E$11+1,1))</f>
        <v>396.44612884768748</v>
      </c>
      <c r="BJ41" s="57">
        <f t="shared" si="38"/>
        <v>244.451492444461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16.650000000000002</v>
      </c>
      <c r="BY41" s="12">
        <f>IF('Données projet'!$A$114&gt;35,BY40+BX41-CG40,IF(A41&lt;'Données projet'!$A$114,$BV$205^A41,IF(A41='Données projet'!$A$114,'Données projet'!$B$114,BY40+BX41-CG40)))</f>
        <v>250.59000000000012</v>
      </c>
      <c r="BZ41" s="13">
        <f>BY41*VLOOKUP('Données projet'!$B$12,Paramètres!$A$1:$I$89,3,0)*VLOOKUP('Données projet'!$B$12,Paramètres!$A$1:$I$89,5,0)</f>
        <v>149.85282000000007</v>
      </c>
      <c r="CA41" s="13">
        <f t="shared" si="39"/>
        <v>38.545136526991023</v>
      </c>
      <c r="CB41" s="20">
        <f t="shared" si="10"/>
        <v>328.12644095117611</v>
      </c>
      <c r="CC41" s="57">
        <f t="shared" si="11"/>
        <v>621.45977428450942</v>
      </c>
      <c r="CD41" s="57">
        <f ca="1">AVERAGE(OFFSET($CC$3,0,0,'Données projet'!$E$12+1,1))-AVERAGE(OFFSET($H$3,0,0,'Données projet'!$E$12+1,1))</f>
        <v>259.64096626089821</v>
      </c>
      <c r="CE41" s="57">
        <f t="shared" si="40"/>
        <v>258.1415293081597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8.6392473811407964</v>
      </c>
      <c r="CL41" s="21">
        <f>EXP(-LN(2)/25)*CL40+(1-EXP(-LN(2)/25))/(LN(2)/25)*Calculateur!CG41*Calculateur!CI41*VLOOKUP('Données projet'!$B$12,Paramètres!$A$1:$I$89,3,0)*0.475*44/12</f>
        <v>16.369855655432147</v>
      </c>
      <c r="CM41" s="21">
        <f>EXP(-LN(2)/2)*CM40+(1-EXP(-LN(2)/2))/(LN(2)/2)*CG41*CJ41*VLOOKUP('Données projet'!$B$12,Paramètres!$A$1:$I$89,3,0)*0.475*44/12</f>
        <v>1.8146459845480725</v>
      </c>
      <c r="CN41" s="22">
        <f t="shared" si="12"/>
        <v>26.823749021121017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8.4</v>
      </c>
      <c r="CT41" s="12">
        <f>IF('Données projet'!$A$140&gt;35,CT40+CS41-DB40,IF(A41&lt;'Données projet'!$A$140,$CQ$205^A41,IF(A41='Données projet'!$A$140,'Données projet'!$B$140,CT40+CS41-DB40)))</f>
        <v>120.20000000000005</v>
      </c>
      <c r="CU41" s="17">
        <f>CT41*VLOOKUP('Données projet'!$B$13,Paramètres!$A$1:$I$89,3,0)*VLOOKUP('Données projet'!$B$13,Paramètres!$A$1:$I$89,5,0)</f>
        <v>129.38328000000004</v>
      </c>
      <c r="CV41" s="13">
        <f t="shared" si="41"/>
        <v>33.853814032069536</v>
      </c>
      <c r="CW41" s="20">
        <f t="shared" si="13"/>
        <v>284.30460543918787</v>
      </c>
      <c r="CX41" s="57">
        <f t="shared" si="14"/>
        <v>577.63793877252124</v>
      </c>
      <c r="CY41" s="57">
        <f ca="1">AVERAGE(OFFSET($CX$3,0,0,'Données projet'!$E$13+1,1))-AVERAGE(OFFSET($H$3,0,0,'Données projet'!$E$13+1,1))</f>
        <v>436.59978658837537</v>
      </c>
      <c r="CZ41" s="57">
        <f t="shared" si="42"/>
        <v>267.2998309535638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5.4</v>
      </c>
      <c r="DO41" s="12">
        <f>IF('Données projet'!$A$166&gt;35,DO40+DN41-DW40,IF(A41&lt;'Données projet'!$A$166,$DL$205^A41,IF(A41='Données projet'!$A$166,'Données projet'!$B$166,DO40+DN41-DW40)))</f>
        <v>82.2</v>
      </c>
      <c r="DP41" s="17">
        <f>DO41*VLOOKUP('Données projet'!$B$14,Paramètres!$A$1:$I$89,3,0)*VLOOKUP('Données projet'!$B$14,Paramètres!$A$1:$I$89,5,0)</f>
        <v>78.221520000000012</v>
      </c>
      <c r="DQ41" s="13">
        <f t="shared" si="43"/>
        <v>21.701769187765223</v>
      </c>
      <c r="DR41" s="20">
        <f t="shared" si="16"/>
        <v>174.03306200202442</v>
      </c>
      <c r="DS41" s="57">
        <f t="shared" si="17"/>
        <v>467.36639533535777</v>
      </c>
      <c r="DT41" s="57">
        <f ca="1">AVERAGE(OFFSET($DS$3,0,0,'Données projet'!$E$14+1,1))-AVERAGE(OFFSET($H$3,0,0,'Données projet'!$E$14+1,1))</f>
        <v>292.95981568144879</v>
      </c>
      <c r="DU41" s="57">
        <f t="shared" si="44"/>
        <v>152.23954167722536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7" t="e">
        <f t="shared" si="20"/>
        <v>#N/A</v>
      </c>
      <c r="EO41" s="57" t="e">
        <f ca="1">AVERAGE(OFFSET($EN$3,0,0,'Données projet'!$E$15+1,1))-AVERAGE(OFFSET($H$3,0,0,'Données projet'!$E$15+1,1))</f>
        <v>#N/A</v>
      </c>
      <c r="EP41" s="57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7" t="e">
        <f t="shared" si="23"/>
        <v>#N/A</v>
      </c>
      <c r="FJ41" s="57" t="e">
        <f ca="1">AVERAGE(OFFSET($FI$3,0,0,'Données projet'!$E$16+1,1))-AVERAGE(OFFSET($H$3,0,0,'Données projet'!$E$16+1,1))</f>
        <v>#N/A</v>
      </c>
      <c r="FK41" s="57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7" t="e">
        <f t="shared" si="26"/>
        <v>#N/A</v>
      </c>
      <c r="GE41" s="57" t="e">
        <f ca="1">AVERAGE(OFFSET($GD$3,0,0,'Données projet'!$E$17+1,1))-AVERAGE(OFFSET($H$3,0,0,'Données projet'!$E$17+1,1))</f>
        <v>#N/A</v>
      </c>
      <c r="GF41" s="57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7" t="e">
        <f t="shared" si="29"/>
        <v>#N/A</v>
      </c>
      <c r="GZ41" s="57" t="e">
        <f ca="1">AVERAGE(OFFSET($GY$3,0,0,'Données projet'!$E$18+1,1))-AVERAGE(OFFSET($H$3,0,0,'Données projet'!$E$18+1,1))</f>
        <v>#N/A</v>
      </c>
      <c r="HA41" s="57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1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5">
        <f t="shared" si="1"/>
        <v>256.66666666666669</v>
      </c>
      <c r="I42" s="6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128.60000000000005</v>
      </c>
      <c r="O42" s="13">
        <f>N42*VLOOKUP('Données projet'!$B$9,Paramètres!$A$1:$I$89,3,0)*VLOOKUP('Données projet'!$B$9,Paramètres!$A$1:$I$89,5,0)</f>
        <v>116.35728000000005</v>
      </c>
      <c r="P42" s="13">
        <f t="shared" si="33"/>
        <v>30.823876427820704</v>
      </c>
      <c r="Q42" s="20">
        <f t="shared" si="53"/>
        <v>256.3405141117878</v>
      </c>
      <c r="R42" s="57">
        <f t="shared" si="0"/>
        <v>549.67384744512105</v>
      </c>
      <c r="S42" s="57">
        <f ca="1">AVERAGE(OFFSET($R$3,0,0,'Données projet'!$E$9+1,1))-AVERAGE(OFFSET($H$3,0,0,'Données projet'!$E$9+1,1))</f>
        <v>373.45926089889866</v>
      </c>
      <c r="T42" s="57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128.60000000000005</v>
      </c>
      <c r="AJ42" s="13">
        <f>AI42*VLOOKUP('Données projet'!$B$10,Paramètres!$A$1:$I$89,3,0)*VLOOKUP('Données projet'!$B$10,Paramètres!$A$1:$I$89,5,0)</f>
        <v>122.37576000000004</v>
      </c>
      <c r="AK42" s="13">
        <f t="shared" si="35"/>
        <v>32.22847248868726</v>
      </c>
      <c r="AL42" s="20">
        <f t="shared" si="4"/>
        <v>269.26903825113038</v>
      </c>
      <c r="AM42" s="57">
        <f t="shared" si="5"/>
        <v>562.60237158446375</v>
      </c>
      <c r="AN42" s="57">
        <f ca="1">AVERAGE(OFFSET($AM$3,0,0,'Données projet'!$E$10+1,1))-AVERAGE(OFFSET($H$3,0,0,'Données projet'!$E$10+1,1))</f>
        <v>390.70240761116355</v>
      </c>
      <c r="AO42" s="57">
        <f t="shared" si="36"/>
        <v>241.18285512887638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128.60000000000005</v>
      </c>
      <c r="BE42" s="13">
        <f>BD42*VLOOKUP('Données projet'!$B$11,Paramètres!$A$1:$I$89,3,0)*VLOOKUP('Données projet'!$B$11,Paramètres!$A$1:$I$89,5,0)</f>
        <v>124.38192000000005</v>
      </c>
      <c r="BF42" s="13">
        <f t="shared" si="37"/>
        <v>32.694867122876921</v>
      </c>
      <c r="BG42" s="20">
        <f t="shared" si="7"/>
        <v>273.57540423901071</v>
      </c>
      <c r="BH42" s="57">
        <f t="shared" si="8"/>
        <v>566.90873757234408</v>
      </c>
      <c r="BI42" s="57">
        <f ca="1">AVERAGE(OFFSET($BH$3,0,0,'Données projet'!$E$11+1,1))-AVERAGE(OFFSET($H$3,0,0,'Données projet'!$E$11+1,1))</f>
        <v>396.44612884768748</v>
      </c>
      <c r="BJ42" s="57">
        <f t="shared" si="38"/>
        <v>244.451492444461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16.650000000000002</v>
      </c>
      <c r="BY42" s="12">
        <f>IF('Données projet'!$A$114&gt;35,BY41+BX42-CG41,IF(A42&lt;'Données projet'!$A$114,$BV$205^A42,IF(A42='Données projet'!$A$114,'Données projet'!$B$114,BY41+BX42-CG41)))</f>
        <v>267.24000000000012</v>
      </c>
      <c r="BZ42" s="13">
        <f>BY42*VLOOKUP('Données projet'!$B$12,Paramètres!$A$1:$I$89,3,0)*VLOOKUP('Données projet'!$B$12,Paramètres!$A$1:$I$89,5,0)</f>
        <v>159.80952000000008</v>
      </c>
      <c r="CA42" s="13">
        <f t="shared" si="39"/>
        <v>40.799549132880863</v>
      </c>
      <c r="CB42" s="20">
        <f t="shared" si="10"/>
        <v>349.39412873976761</v>
      </c>
      <c r="CC42" s="57">
        <f t="shared" si="11"/>
        <v>642.72746207310092</v>
      </c>
      <c r="CD42" s="57">
        <f ca="1">AVERAGE(OFFSET($CC$3,0,0,'Données projet'!$E$12+1,1))-AVERAGE(OFFSET($H$3,0,0,'Données projet'!$E$12+1,1))</f>
        <v>259.64096626089821</v>
      </c>
      <c r="CE42" s="57">
        <f t="shared" si="40"/>
        <v>258.1415293081597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8.4698370094172155</v>
      </c>
      <c r="CL42" s="21">
        <f>EXP(-LN(2)/25)*CL41+(1-EXP(-LN(2)/25))/(LN(2)/25)*Calculateur!CG42*Calculateur!CI42*VLOOKUP('Données projet'!$B$12,Paramètres!$A$1:$I$89,3,0)*0.475*44/12</f>
        <v>15.92222109168106</v>
      </c>
      <c r="CM42" s="21">
        <f>EXP(-LN(2)/2)*CM41+(1-EXP(-LN(2)/2))/(LN(2)/2)*CG42*CJ42*VLOOKUP('Données projet'!$B$12,Paramètres!$A$1:$I$89,3,0)*0.475*44/12</f>
        <v>1.283148481126881</v>
      </c>
      <c r="CN42" s="22">
        <f t="shared" si="12"/>
        <v>25.675206582225155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8.4</v>
      </c>
      <c r="CT42" s="12">
        <f>IF('Données projet'!$A$140&gt;35,CT41+CS42-DB41,IF(A42&lt;'Données projet'!$A$140,$CQ$205^A42,IF(A42='Données projet'!$A$140,'Données projet'!$B$140,CT41+CS42-DB41)))</f>
        <v>128.60000000000005</v>
      </c>
      <c r="CU42" s="17">
        <f>CT42*VLOOKUP('Données projet'!$B$13,Paramètres!$A$1:$I$89,3,0)*VLOOKUP('Données projet'!$B$13,Paramètres!$A$1:$I$89,5,0)</f>
        <v>138.42504000000005</v>
      </c>
      <c r="CV42" s="13">
        <f t="shared" si="41"/>
        <v>35.935967051850263</v>
      </c>
      <c r="CW42" s="20">
        <f t="shared" si="13"/>
        <v>303.67875394863933</v>
      </c>
      <c r="CX42" s="57">
        <f t="shared" si="14"/>
        <v>597.01208728197264</v>
      </c>
      <c r="CY42" s="57">
        <f ca="1">AVERAGE(OFFSET($CX$3,0,0,'Données projet'!$E$13+1,1))-AVERAGE(OFFSET($H$3,0,0,'Données projet'!$E$13+1,1))</f>
        <v>436.59978658837537</v>
      </c>
      <c r="CZ42" s="57">
        <f t="shared" si="42"/>
        <v>267.2998309535638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5.4</v>
      </c>
      <c r="DO42" s="12">
        <f>IF('Données projet'!$A$166&gt;35,DO41+DN42-DW41,IF(A42&lt;'Données projet'!$A$166,$DL$205^A42,IF(A42='Données projet'!$A$166,'Données projet'!$B$166,DO41+DN42-DW41)))</f>
        <v>87.600000000000009</v>
      </c>
      <c r="DP42" s="17">
        <f>DO42*VLOOKUP('Données projet'!$B$14,Paramètres!$A$1:$I$89,3,0)*VLOOKUP('Données projet'!$B$14,Paramètres!$A$1:$I$89,5,0)</f>
        <v>83.360160000000008</v>
      </c>
      <c r="DQ42" s="13">
        <f t="shared" si="43"/>
        <v>22.956783071137561</v>
      </c>
      <c r="DR42" s="20">
        <f t="shared" si="16"/>
        <v>185.16867584889792</v>
      </c>
      <c r="DS42" s="57">
        <f t="shared" si="17"/>
        <v>478.50200918223123</v>
      </c>
      <c r="DT42" s="57">
        <f ca="1">AVERAGE(OFFSET($DS$3,0,0,'Données projet'!$E$14+1,1))-AVERAGE(OFFSET($H$3,0,0,'Données projet'!$E$14+1,1))</f>
        <v>292.95981568144879</v>
      </c>
      <c r="DU42" s="57">
        <f t="shared" si="44"/>
        <v>152.23954167722536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7" t="e">
        <f t="shared" si="20"/>
        <v>#N/A</v>
      </c>
      <c r="EO42" s="57" t="e">
        <f ca="1">AVERAGE(OFFSET($EN$3,0,0,'Données projet'!$E$15+1,1))-AVERAGE(OFFSET($H$3,0,0,'Données projet'!$E$15+1,1))</f>
        <v>#N/A</v>
      </c>
      <c r="EP42" s="57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7" t="e">
        <f t="shared" si="23"/>
        <v>#N/A</v>
      </c>
      <c r="FJ42" s="57" t="e">
        <f ca="1">AVERAGE(OFFSET($FI$3,0,0,'Données projet'!$E$16+1,1))-AVERAGE(OFFSET($H$3,0,0,'Données projet'!$E$16+1,1))</f>
        <v>#N/A</v>
      </c>
      <c r="FK42" s="57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7" t="e">
        <f t="shared" si="26"/>
        <v>#N/A</v>
      </c>
      <c r="GE42" s="57" t="e">
        <f ca="1">AVERAGE(OFFSET($GD$3,0,0,'Données projet'!$E$17+1,1))-AVERAGE(OFFSET($H$3,0,0,'Données projet'!$E$17+1,1))</f>
        <v>#N/A</v>
      </c>
      <c r="GF42" s="57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7" t="e">
        <f t="shared" si="29"/>
        <v>#N/A</v>
      </c>
      <c r="GZ42" s="57" t="e">
        <f ca="1">AVERAGE(OFFSET($GY$3,0,0,'Données projet'!$E$18+1,1))-AVERAGE(OFFSET($H$3,0,0,'Données projet'!$E$18+1,1))</f>
        <v>#N/A</v>
      </c>
      <c r="HA42" s="57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1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5">
        <f t="shared" si="1"/>
        <v>256.66666666666669</v>
      </c>
      <c r="I43" s="6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137.00000000000006</v>
      </c>
      <c r="O43" s="13">
        <f>N43*VLOOKUP('Données projet'!$B$9,Paramètres!$A$1:$I$89,3,0)*VLOOKUP('Données projet'!$B$9,Paramètres!$A$1:$I$89,5,0)</f>
        <v>123.95760000000004</v>
      </c>
      <c r="P43" s="13">
        <f t="shared" si="33"/>
        <v>32.59629414926458</v>
      </c>
      <c r="Q43" s="20">
        <f t="shared" si="53"/>
        <v>272.66469897663586</v>
      </c>
      <c r="R43" s="57">
        <f t="shared" si="0"/>
        <v>565.99803230996918</v>
      </c>
      <c r="S43" s="57">
        <f ca="1">AVERAGE(OFFSET($R$3,0,0,'Données projet'!$E$9+1,1))-AVERAGE(OFFSET($H$3,0,0,'Données projet'!$E$9+1,1))</f>
        <v>373.45926089889866</v>
      </c>
      <c r="T43" s="57">
        <f t="shared" si="34"/>
        <v>231.36959598460686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1.8064146565189523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1.8064146565189523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137.00000000000006</v>
      </c>
      <c r="AJ43" s="13">
        <f>AI43*VLOOKUP('Données projet'!$B$10,Paramètres!$A$1:$I$89,3,0)*VLOOKUP('Données projet'!$B$10,Paramètres!$A$1:$I$89,5,0)</f>
        <v>130.36920000000006</v>
      </c>
      <c r="AK43" s="13">
        <f t="shared" si="35"/>
        <v>34.081656526320486</v>
      </c>
      <c r="AL43" s="20">
        <f t="shared" si="4"/>
        <v>286.4185751166749</v>
      </c>
      <c r="AM43" s="57">
        <f t="shared" si="5"/>
        <v>579.75190845000816</v>
      </c>
      <c r="AN43" s="57">
        <f ca="1">AVERAGE(OFFSET($AM$3,0,0,'Données projet'!$E$10+1,1))-AVERAGE(OFFSET($H$3,0,0,'Données projet'!$E$10+1,1))</f>
        <v>390.70240761116355</v>
      </c>
      <c r="AO43" s="57">
        <f t="shared" si="36"/>
        <v>241.18285512887638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1.8998498973733813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1.8998498973733813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137.00000000000006</v>
      </c>
      <c r="BE43" s="13">
        <f>BD43*VLOOKUP('Données projet'!$B$11,Paramètres!$A$1:$I$89,3,0)*VLOOKUP('Données projet'!$B$11,Paramètres!$A$1:$I$89,5,0)</f>
        <v>132.50640000000007</v>
      </c>
      <c r="BF43" s="13">
        <f t="shared" si="37"/>
        <v>34.574869530248939</v>
      </c>
      <c r="BG43" s="20">
        <f t="shared" si="7"/>
        <v>290.99987776518367</v>
      </c>
      <c r="BH43" s="57">
        <f t="shared" si="8"/>
        <v>584.33321109851704</v>
      </c>
      <c r="BI43" s="57">
        <f ca="1">AVERAGE(OFFSET($BH$3,0,0,'Données projet'!$E$11+1,1))-AVERAGE(OFFSET($H$3,0,0,'Données projet'!$E$11+1,1))</f>
        <v>396.44612884768748</v>
      </c>
      <c r="BJ43" s="57">
        <f t="shared" si="38"/>
        <v>244.451492444461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1.9309949776581907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1.9309949776581907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16.650000000000002</v>
      </c>
      <c r="BY43" s="12">
        <f>IF('Données projet'!$A$114&gt;35,BY42+BX43-CG42,IF(A43&lt;'Données projet'!$A$114,$BV$205^A43,IF(A43='Données projet'!$A$114,'Données projet'!$B$114,BY42+BX43-CG42)))</f>
        <v>283.8900000000001</v>
      </c>
      <c r="BZ43" s="13">
        <f>BY43*VLOOKUP('Données projet'!$B$12,Paramètres!$A$1:$I$89,3,0)*VLOOKUP('Données projet'!$B$12,Paramètres!$A$1:$I$89,5,0)</f>
        <v>169.76622000000006</v>
      </c>
      <c r="CA43" s="13">
        <f t="shared" si="39"/>
        <v>43.037660449446861</v>
      </c>
      <c r="CB43" s="20">
        <f t="shared" si="10"/>
        <v>370.63342511612001</v>
      </c>
      <c r="CC43" s="57">
        <f t="shared" si="11"/>
        <v>663.96675844945332</v>
      </c>
      <c r="CD43" s="57">
        <f ca="1">AVERAGE(OFFSET($CC$3,0,0,'Données projet'!$E$12+1,1))-AVERAGE(OFFSET($H$3,0,0,'Données projet'!$E$12+1,1))</f>
        <v>259.64096626089821</v>
      </c>
      <c r="CE43" s="57">
        <f t="shared" si="40"/>
        <v>258.1415293081597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8.3037486717530111</v>
      </c>
      <c r="CL43" s="21">
        <f>EXP(-LN(2)/25)*CL42+(1-EXP(-LN(2)/25))/(LN(2)/25)*Calculateur!CG43*Calculateur!CI43*VLOOKUP('Données projet'!$B$12,Paramètres!$A$1:$I$89,3,0)*0.475*44/12</f>
        <v>15.486827118615825</v>
      </c>
      <c r="CM43" s="21">
        <f>EXP(-LN(2)/2)*CM42+(1-EXP(-LN(2)/2))/(LN(2)/2)*CG43*CJ43*VLOOKUP('Données projet'!$B$12,Paramètres!$A$1:$I$89,3,0)*0.475*44/12</f>
        <v>0.90732299227403623</v>
      </c>
      <c r="CN43" s="22">
        <f t="shared" si="12"/>
        <v>24.69789878264287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137</v>
      </c>
      <c r="CR43" s="12">
        <f>VLOOKUP(A43,'Données projet'!$A$139:$I$159,9,0)</f>
        <v>8.4</v>
      </c>
      <c r="CS43" s="12">
        <f t="array" ref="CS43">INDEX(CR:CR,MIN(IF(ISNUMBER(CR43:CR239),ROW(CR43:CR239),"")))</f>
        <v>8.4</v>
      </c>
      <c r="CT43" s="12">
        <f>IF('Données projet'!$A$140&gt;35,CT42+CS43-DB42,IF(A43&lt;'Données projet'!$A$140,$CQ$205^A43,IF(A43='Données projet'!$A$140,'Données projet'!$B$140,CT42+CS43-DB42)))</f>
        <v>137.00000000000006</v>
      </c>
      <c r="CU43" s="17">
        <f>CT43*VLOOKUP('Données projet'!$B$13,Paramètres!$A$1:$I$89,3,0)*VLOOKUP('Données projet'!$B$13,Paramètres!$A$1:$I$89,5,0)</f>
        <v>147.46680000000006</v>
      </c>
      <c r="CV43" s="13">
        <f t="shared" si="41"/>
        <v>38.002337418636309</v>
      </c>
      <c r="CW43" s="20">
        <f t="shared" si="13"/>
        <v>323.02541433745836</v>
      </c>
      <c r="CX43" s="57">
        <f t="shared" si="14"/>
        <v>616.35874767079167</v>
      </c>
      <c r="CY43" s="57">
        <f ca="1">AVERAGE(OFFSET($CX$3,0,0,'Données projet'!$E$13+1,1))-AVERAGE(OFFSET($H$3,0,0,'Données projet'!$E$13+1,1))</f>
        <v>436.59978658837537</v>
      </c>
      <c r="CZ43" s="57">
        <f t="shared" si="42"/>
        <v>267.2998309535638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2.1490105396518566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2.1490105396518566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93</v>
      </c>
      <c r="DM43" s="12">
        <f>VLOOKUP(A43,'Données projet'!$A$165:$I$185,9,0)</f>
        <v>5.4</v>
      </c>
      <c r="DN43" s="12">
        <f t="array" ref="DN43">INDEX(DM:DM,MIN(IF(ISNUMBER(DM43:DM239),ROW(DM43:DM239),"")))</f>
        <v>5.4</v>
      </c>
      <c r="DO43" s="12">
        <f>IF('Données projet'!$A$166&gt;35,DO42+DN43-DW42,IF(A43&lt;'Données projet'!$A$166,$DL$205^A43,IF(A43='Données projet'!$A$166,'Données projet'!$B$166,DO42+DN43-DW42)))</f>
        <v>93.000000000000014</v>
      </c>
      <c r="DP43" s="17">
        <f>DO43*VLOOKUP('Données projet'!$B$14,Paramètres!$A$1:$I$89,3,0)*VLOOKUP('Données projet'!$B$14,Paramètres!$A$1:$I$89,5,0)</f>
        <v>88.498800000000003</v>
      </c>
      <c r="DQ43" s="13">
        <f t="shared" si="43"/>
        <v>24.202818028970764</v>
      </c>
      <c r="DR43" s="20">
        <f t="shared" si="16"/>
        <v>196.28865140045741</v>
      </c>
      <c r="DS43" s="57">
        <f t="shared" si="17"/>
        <v>489.62198473379073</v>
      </c>
      <c r="DT43" s="57">
        <f ca="1">AVERAGE(OFFSET($DS$3,0,0,'Données projet'!$E$14+1,1))-AVERAGE(OFFSET($H$3,0,0,'Données projet'!$E$14+1,1))</f>
        <v>292.95981568144879</v>
      </c>
      <c r="DU43" s="57">
        <f t="shared" si="44"/>
        <v>152.23954167722536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14</v>
      </c>
      <c r="DX43" s="16">
        <f>IF(ISNA(VLOOKUP(A43,'Données projet'!$A$165:$I$185,5,0)),0%,VLOOKUP(A43,'Données projet'!$A$165:$I$185,5,0)*VLOOKUP('Données projet'!$B$14,Paramètres!$A$1:$I$89,7,0))</f>
        <v>8.6000000000000007E-2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1.2665665982489209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1.2665665982489209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7" t="e">
        <f t="shared" si="20"/>
        <v>#N/A</v>
      </c>
      <c r="EO43" s="57" t="e">
        <f ca="1">AVERAGE(OFFSET($EN$3,0,0,'Données projet'!$E$15+1,1))-AVERAGE(OFFSET($H$3,0,0,'Données projet'!$E$15+1,1))</f>
        <v>#N/A</v>
      </c>
      <c r="EP43" s="57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7" t="e">
        <f t="shared" si="23"/>
        <v>#N/A</v>
      </c>
      <c r="FJ43" s="57" t="e">
        <f ca="1">AVERAGE(OFFSET($FI$3,0,0,'Données projet'!$E$16+1,1))-AVERAGE(OFFSET($H$3,0,0,'Données projet'!$E$16+1,1))</f>
        <v>#N/A</v>
      </c>
      <c r="FK43" s="57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7" t="e">
        <f t="shared" si="26"/>
        <v>#N/A</v>
      </c>
      <c r="GE43" s="57" t="e">
        <f ca="1">AVERAGE(OFFSET($GD$3,0,0,'Données projet'!$E$17+1,1))-AVERAGE(OFFSET($H$3,0,0,'Données projet'!$E$17+1,1))</f>
        <v>#N/A</v>
      </c>
      <c r="GF43" s="57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7" t="e">
        <f t="shared" si="29"/>
        <v>#N/A</v>
      </c>
      <c r="GZ43" s="57" t="e">
        <f ca="1">AVERAGE(OFFSET($GY$3,0,0,'Données projet'!$E$18+1,1))-AVERAGE(OFFSET($H$3,0,0,'Données projet'!$E$18+1,1))</f>
        <v>#N/A</v>
      </c>
      <c r="HA43" s="57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1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5">
        <f t="shared" si="1"/>
        <v>256.66666666666669</v>
      </c>
      <c r="I44" s="6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124.40000000000006</v>
      </c>
      <c r="O44" s="13">
        <f>N44*VLOOKUP('Données projet'!$B$9,Paramètres!$A$1:$I$89,3,0)*VLOOKUP('Données projet'!$B$9,Paramètres!$A$1:$I$89,5,0)</f>
        <v>112.55712000000005</v>
      </c>
      <c r="P44" s="13">
        <f t="shared" si="33"/>
        <v>29.932653834140599</v>
      </c>
      <c r="Q44" s="20">
        <f t="shared" si="53"/>
        <v>248.16968942779499</v>
      </c>
      <c r="R44" s="57">
        <f t="shared" si="0"/>
        <v>541.50302276112825</v>
      </c>
      <c r="S44" s="57">
        <f ca="1">AVERAGE(OFFSET($R$3,0,0,'Données projet'!$E$9+1,1))-AVERAGE(OFFSET($H$3,0,0,'Données projet'!$E$9+1,1))</f>
        <v>373.45926089889866</v>
      </c>
      <c r="T44" s="57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1.7709919669087619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1.7709919669087619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124.40000000000006</v>
      </c>
      <c r="AJ44" s="13">
        <f>AI44*VLOOKUP('Données projet'!$B$10,Paramètres!$A$1:$I$89,3,0)*VLOOKUP('Données projet'!$B$10,Paramètres!$A$1:$I$89,5,0)</f>
        <v>118.37904000000007</v>
      </c>
      <c r="AK44" s="13">
        <f t="shared" si="35"/>
        <v>31.296638268907181</v>
      </c>
      <c r="AL44" s="20">
        <f t="shared" si="4"/>
        <v>260.68513965168012</v>
      </c>
      <c r="AM44" s="57">
        <f t="shared" si="5"/>
        <v>554.01847298501343</v>
      </c>
      <c r="AN44" s="57">
        <f ca="1">AVERAGE(OFFSET($AM$3,0,0,'Données projet'!$E$10+1,1))-AVERAGE(OFFSET($H$3,0,0,'Données projet'!$E$10+1,1))</f>
        <v>390.70240761116355</v>
      </c>
      <c r="AO44" s="57">
        <f t="shared" si="36"/>
        <v>241.18285512887638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1.8625949996799052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1.8625949996799052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124.40000000000006</v>
      </c>
      <c r="BE44" s="13">
        <f>BD44*VLOOKUP('Données projet'!$B$11,Paramètres!$A$1:$I$89,3,0)*VLOOKUP('Données projet'!$B$11,Paramètres!$A$1:$I$89,5,0)</f>
        <v>120.31968000000008</v>
      </c>
      <c r="BF44" s="13">
        <f t="shared" si="37"/>
        <v>31.749547855668318</v>
      </c>
      <c r="BG44" s="20">
        <f t="shared" si="7"/>
        <v>264.85390518195578</v>
      </c>
      <c r="BH44" s="57">
        <f t="shared" si="8"/>
        <v>558.1872385152891</v>
      </c>
      <c r="BI44" s="57">
        <f ca="1">AVERAGE(OFFSET($BH$3,0,0,'Données projet'!$E$11+1,1))-AVERAGE(OFFSET($H$3,0,0,'Données projet'!$E$11+1,1))</f>
        <v>396.44612884768748</v>
      </c>
      <c r="BJ44" s="57">
        <f t="shared" si="38"/>
        <v>244.451492444461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1.8931293439369528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1.8931293439369528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300.54000000000002</v>
      </c>
      <c r="BW44" s="12">
        <f>VLOOKUP(A44,'Données projet'!$A$113:$I$133,9,0)</f>
        <v>16.650000000000002</v>
      </c>
      <c r="BX44" s="12">
        <f t="array" ref="BX44">INDEX(BW:BW,MIN(IF(ISNUMBER(BW44:BW240),ROW(BW44:BW240),"")))</f>
        <v>16.650000000000002</v>
      </c>
      <c r="BY44" s="12">
        <f>IF('Données projet'!$A$114&gt;35,BY43+BX44-CG43,IF(A44&lt;'Données projet'!$A$114,$BV$205^A44,IF(A44='Données projet'!$A$114,'Données projet'!$B$114,BY43+BX44-CG43)))</f>
        <v>300.54000000000008</v>
      </c>
      <c r="BZ44" s="13">
        <f>BY44*VLOOKUP('Données projet'!$B$12,Paramètres!$A$1:$I$89,3,0)*VLOOKUP('Données projet'!$B$12,Paramètres!$A$1:$I$89,5,0)</f>
        <v>179.72292000000004</v>
      </c>
      <c r="CA44" s="13">
        <f t="shared" si="39"/>
        <v>45.260535445550182</v>
      </c>
      <c r="CB44" s="20">
        <f t="shared" si="10"/>
        <v>391.84618490099996</v>
      </c>
      <c r="CC44" s="57">
        <f t="shared" si="11"/>
        <v>685.17951823433327</v>
      </c>
      <c r="CD44" s="57">
        <f ca="1">AVERAGE(OFFSET($CC$3,0,0,'Données projet'!$E$12+1,1))-AVERAGE(OFFSET($H$3,0,0,'Données projet'!$E$12+1,1))</f>
        <v>259.64096626089821</v>
      </c>
      <c r="CE44" s="57">
        <f t="shared" si="40"/>
        <v>258.1415293081597</v>
      </c>
      <c r="CF44" s="15">
        <f>IF(ISNA(VLOOKUP(A44,'Données projet'!$A$113:$I$133,3,0)),0,VLOOKUP(A44,'Données projet'!$A$113:$I$133,3,0))</f>
        <v>8</v>
      </c>
      <c r="CG44" s="15">
        <f>IF(ISNA(VLOOKUP(A44,'Données projet'!$A$113:$I$133,4,0)),0,VLOOKUP(A44,'Données projet'!$A$113:$I$133,4,0))</f>
        <v>72.13</v>
      </c>
      <c r="CH44" s="16">
        <f>IF(ISNA(VLOOKUP(A44,'Données projet'!$A$113:$I$133,5,0)),0%,VLOOKUP(A44,'Données projet'!$A$113:$I$133,5,0)*VLOOKUP('Données projet'!$B$12,Paramètres!$A$1:$I$89,7,0))</f>
        <v>0.18000000000000002</v>
      </c>
      <c r="CI44" s="16">
        <f>IF(ISNA(VLOOKUP(A44,'Données projet'!$A$113:$I$133,6,0)),0%,VLOOKUP(A44,'Données projet'!$A$113:$I$133,6,0)*VLOOKUP('Données projet'!$B$12,Paramètres!$A$1:$I$89,7,0))</f>
        <v>0.15300000000000002</v>
      </c>
      <c r="CJ44" s="16">
        <f>IF(ISNA(VLOOKUP(A44,'Données projet'!$A$113:$I$133,7,0)),0%,VLOOKUP(A44,'Données projet'!$A$113:$I$133,7,0))</f>
        <v>0.26</v>
      </c>
      <c r="CK44" s="21">
        <f>EXP(-LN(2)/35)*CK43+(1-EXP(-LN(2)/35))/(LN(2)/35)*CG44*CH44*VLOOKUP('Données projet'!$B$12,Paramètres!$A$1:$I$89,3,0)*0.475*44/12</f>
        <v>18.440460761637247</v>
      </c>
      <c r="CL44" s="21">
        <f>EXP(-LN(2)/25)*CL43+(1-EXP(-LN(2)/25))/(LN(2)/25)*Calculateur!CG44*Calculateur!CI44*VLOOKUP('Données projet'!$B$12,Paramètres!$A$1:$I$89,3,0)*0.475*44/12</f>
        <v>23.783480779471969</v>
      </c>
      <c r="CM44" s="21">
        <f>EXP(-LN(2)/2)*CM43+(1-EXP(-LN(2)/2))/(LN(2)/2)*CG44*CJ44*VLOOKUP('Données projet'!$B$12,Paramètres!$A$1:$I$89,3,0)*0.475*44/12</f>
        <v>13.339301761251837</v>
      </c>
      <c r="CN44" s="22">
        <f t="shared" si="12"/>
        <v>55.563243302361052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8.4</v>
      </c>
      <c r="CT44" s="12">
        <f>IF('Données projet'!$A$140&gt;35,CT43+CS44-DB43,IF(A44&lt;'Données projet'!$A$140,$CQ$205^A44,IF(A44='Données projet'!$A$140,'Données projet'!$B$140,CT43+CS44-DB43)))</f>
        <v>124.40000000000006</v>
      </c>
      <c r="CU44" s="17">
        <f>CT44*VLOOKUP('Données projet'!$B$13,Paramètres!$A$1:$I$89,3,0)*VLOOKUP('Données projet'!$B$13,Paramètres!$A$1:$I$89,5,0)</f>
        <v>133.90416000000008</v>
      </c>
      <c r="CV44" s="13">
        <f t="shared" si="41"/>
        <v>34.896936615904011</v>
      </c>
      <c r="CW44" s="20">
        <f t="shared" si="13"/>
        <v>293.99524327269961</v>
      </c>
      <c r="CX44" s="57">
        <f t="shared" si="14"/>
        <v>587.32857660603293</v>
      </c>
      <c r="CY44" s="57">
        <f ca="1">AVERAGE(OFFSET($CX$3,0,0,'Données projet'!$E$13+1,1))-AVERAGE(OFFSET($H$3,0,0,'Données projet'!$E$13+1,1))</f>
        <v>436.59978658837537</v>
      </c>
      <c r="CZ44" s="57">
        <f t="shared" si="42"/>
        <v>267.2998309535638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2.1068697537362855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2.1068697537362855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5.6</v>
      </c>
      <c r="DO44" s="12">
        <f>IF('Données projet'!$A$166&gt;35,DO43+DN44-DW43,IF(A44&lt;'Données projet'!$A$166,$DL$205^A44,IF(A44='Données projet'!$A$166,'Données projet'!$B$166,DO43+DN44-DW43)))</f>
        <v>84.600000000000009</v>
      </c>
      <c r="DP44" s="17">
        <f>DO44*VLOOKUP('Données projet'!$B$14,Paramètres!$A$1:$I$89,3,0)*VLOOKUP('Données projet'!$B$14,Paramètres!$A$1:$I$89,5,0)</f>
        <v>80.50536000000001</v>
      </c>
      <c r="DQ44" s="13">
        <f t="shared" si="43"/>
        <v>22.260701954394872</v>
      </c>
      <c r="DR44" s="20">
        <f t="shared" si="16"/>
        <v>178.98422457057109</v>
      </c>
      <c r="DS44" s="57">
        <f t="shared" si="17"/>
        <v>472.3175579039044</v>
      </c>
      <c r="DT44" s="57">
        <f ca="1">AVERAGE(OFFSET($DS$3,0,0,'Données projet'!$E$14+1,1))-AVERAGE(OFFSET($H$3,0,0,'Données projet'!$E$14+1,1))</f>
        <v>292.95981568144879</v>
      </c>
      <c r="DU44" s="57">
        <f t="shared" si="44"/>
        <v>152.23954167722536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1.2417299997866036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1.2417299997866036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7" t="e">
        <f t="shared" si="20"/>
        <v>#N/A</v>
      </c>
      <c r="EO44" s="57" t="e">
        <f ca="1">AVERAGE(OFFSET($EN$3,0,0,'Données projet'!$E$15+1,1))-AVERAGE(OFFSET($H$3,0,0,'Données projet'!$E$15+1,1))</f>
        <v>#N/A</v>
      </c>
      <c r="EP44" s="57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7" t="e">
        <f t="shared" si="23"/>
        <v>#N/A</v>
      </c>
      <c r="FJ44" s="57" t="e">
        <f ca="1">AVERAGE(OFFSET($FI$3,0,0,'Données projet'!$E$16+1,1))-AVERAGE(OFFSET($H$3,0,0,'Données projet'!$E$16+1,1))</f>
        <v>#N/A</v>
      </c>
      <c r="FK44" s="57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7" t="e">
        <f t="shared" si="26"/>
        <v>#N/A</v>
      </c>
      <c r="GE44" s="57" t="e">
        <f ca="1">AVERAGE(OFFSET($GD$3,0,0,'Données projet'!$E$17+1,1))-AVERAGE(OFFSET($H$3,0,0,'Données projet'!$E$17+1,1))</f>
        <v>#N/A</v>
      </c>
      <c r="GF44" s="57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7" t="e">
        <f t="shared" si="29"/>
        <v>#N/A</v>
      </c>
      <c r="GZ44" s="57" t="e">
        <f ca="1">AVERAGE(OFFSET($GY$3,0,0,'Données projet'!$E$18+1,1))-AVERAGE(OFFSET($H$3,0,0,'Données projet'!$E$18+1,1))</f>
        <v>#N/A</v>
      </c>
      <c r="HA44" s="57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1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5">
        <f t="shared" si="1"/>
        <v>256.66666666666669</v>
      </c>
      <c r="I45" s="6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132.80000000000007</v>
      </c>
      <c r="O45" s="13">
        <f>N45*VLOOKUP('Données projet'!$B$9,Paramètres!$A$1:$I$89,3,0)*VLOOKUP('Données projet'!$B$9,Paramètres!$A$1:$I$89,5,0)</f>
        <v>120.15744000000005</v>
      </c>
      <c r="P45" s="13">
        <f t="shared" si="33"/>
        <v>31.711716786129845</v>
      </c>
      <c r="Q45" s="20">
        <f t="shared" si="53"/>
        <v>264.50544806917623</v>
      </c>
      <c r="R45" s="57">
        <f t="shared" si="0"/>
        <v>557.83878140250954</v>
      </c>
      <c r="S45" s="57">
        <f ca="1">AVERAGE(OFFSET($R$3,0,0,'Données projet'!$E$9+1,1))-AVERAGE(OFFSET($H$3,0,0,'Données projet'!$E$9+1,1))</f>
        <v>373.45926089889866</v>
      </c>
      <c r="T45" s="57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1.7362638946361202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1.7362638946361202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132.80000000000007</v>
      </c>
      <c r="AJ45" s="13">
        <f>AI45*VLOOKUP('Données projet'!$B$10,Paramètres!$A$1:$I$89,3,0)*VLOOKUP('Données projet'!$B$10,Paramètres!$A$1:$I$89,5,0)</f>
        <v>126.37248000000007</v>
      </c>
      <c r="AK45" s="13">
        <f t="shared" si="35"/>
        <v>33.156770349896121</v>
      </c>
      <c r="AL45" s="20">
        <f t="shared" si="4"/>
        <v>277.84677769273588</v>
      </c>
      <c r="AM45" s="57">
        <f t="shared" si="5"/>
        <v>571.1801110260692</v>
      </c>
      <c r="AN45" s="57">
        <f ca="1">AVERAGE(OFFSET($AM$3,0,0,'Données projet'!$E$10+1,1))-AVERAGE(OFFSET($H$3,0,0,'Données projet'!$E$10+1,1))</f>
        <v>390.70240761116355</v>
      </c>
      <c r="AO45" s="57">
        <f t="shared" si="36"/>
        <v>241.18285512887638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1.8260706478069544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1.8260706478069544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132.80000000000007</v>
      </c>
      <c r="BE45" s="13">
        <f>BD45*VLOOKUP('Données projet'!$B$11,Paramètres!$A$1:$I$89,3,0)*VLOOKUP('Données projet'!$B$11,Paramètres!$A$1:$I$89,5,0)</f>
        <v>128.44416000000007</v>
      </c>
      <c r="BF45" s="13">
        <f t="shared" si="37"/>
        <v>33.636598855068954</v>
      </c>
      <c r="BG45" s="20">
        <f t="shared" si="7"/>
        <v>282.29065500591184</v>
      </c>
      <c r="BH45" s="57">
        <f t="shared" si="8"/>
        <v>575.62398833924522</v>
      </c>
      <c r="BI45" s="57">
        <f ca="1">AVERAGE(OFFSET($BH$3,0,0,'Données projet'!$E$11+1,1))-AVERAGE(OFFSET($H$3,0,0,'Données projet'!$E$11+1,1))</f>
        <v>396.44612884768748</v>
      </c>
      <c r="BJ45" s="57">
        <f t="shared" si="38"/>
        <v>244.451492444461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1.8560062321972324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1.8560062321972324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15.725555555555552</v>
      </c>
      <c r="BY45" s="12">
        <f>IF('Données projet'!$A$114&gt;35,BY44+BX45-CG44,IF(A45&lt;'Données projet'!$A$114,$BV$205^A45,IF(A45='Données projet'!$A$114,'Données projet'!$B$114,BY44+BX45-CG44)))</f>
        <v>244.13555555555564</v>
      </c>
      <c r="BZ45" s="13">
        <f>BY45*VLOOKUP('Données projet'!$B$12,Paramètres!$A$1:$I$89,3,0)*VLOOKUP('Données projet'!$B$12,Paramètres!$A$1:$I$89,5,0)</f>
        <v>145.99306222222228</v>
      </c>
      <c r="CA45" s="13">
        <f t="shared" si="39"/>
        <v>37.666564668799332</v>
      </c>
      <c r="CB45" s="20">
        <f t="shared" si="10"/>
        <v>319.87385016852932</v>
      </c>
      <c r="CC45" s="57">
        <f t="shared" si="11"/>
        <v>613.20718350186257</v>
      </c>
      <c r="CD45" s="57">
        <f ca="1">AVERAGE(OFFSET($CC$3,0,0,'Données projet'!$E$12+1,1))-AVERAGE(OFFSET($H$3,0,0,'Données projet'!$E$12+1,1))</f>
        <v>259.64096626089821</v>
      </c>
      <c r="CE45" s="57">
        <f t="shared" si="40"/>
        <v>258.1415293081597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18.078854573672</v>
      </c>
      <c r="CL45" s="21">
        <f>EXP(-LN(2)/25)*CL44+(1-EXP(-LN(2)/25))/(LN(2)/25)*Calculateur!CG45*Calculateur!CI45*VLOOKUP('Données projet'!$B$12,Paramètres!$A$1:$I$89,3,0)*0.475*44/12</f>
        <v>23.133120246838413</v>
      </c>
      <c r="CM45" s="21">
        <f>EXP(-LN(2)/2)*CM44+(1-EXP(-LN(2)/2))/(LN(2)/2)*CG45*CJ45*VLOOKUP('Données projet'!$B$12,Paramètres!$A$1:$I$89,3,0)*0.475*44/12</f>
        <v>9.432310731674832</v>
      </c>
      <c r="CN45" s="22">
        <f t="shared" si="12"/>
        <v>50.644285552185245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8.4</v>
      </c>
      <c r="CT45" s="12">
        <f>IF('Données projet'!$A$140&gt;35,CT44+CS45-DB44,IF(A45&lt;'Données projet'!$A$140,$CQ$205^A45,IF(A45='Données projet'!$A$140,'Données projet'!$B$140,CT44+CS45-DB44)))</f>
        <v>132.80000000000007</v>
      </c>
      <c r="CU45" s="17">
        <f>CT45*VLOOKUP('Données projet'!$B$13,Paramètres!$A$1:$I$89,3,0)*VLOOKUP('Données projet'!$B$13,Paramètres!$A$1:$I$89,5,0)</f>
        <v>142.94592000000006</v>
      </c>
      <c r="CV45" s="13">
        <f t="shared" si="41"/>
        <v>36.971054314096882</v>
      </c>
      <c r="CW45" s="20">
        <f t="shared" si="13"/>
        <v>313.3553969303855</v>
      </c>
      <c r="CX45" s="57">
        <f t="shared" si="14"/>
        <v>606.68873026371875</v>
      </c>
      <c r="CY45" s="57">
        <f ca="1">AVERAGE(OFFSET($CX$3,0,0,'Données projet'!$E$13+1,1))-AVERAGE(OFFSET($H$3,0,0,'Données projet'!$E$13+1,1))</f>
        <v>436.59978658837537</v>
      </c>
      <c r="CZ45" s="57">
        <f t="shared" si="42"/>
        <v>267.2998309535638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2.0655553229291774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2.0655553229291774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5.6</v>
      </c>
      <c r="DO45" s="12">
        <f>IF('Données projet'!$A$166&gt;35,DO44+DN45-DW44,IF(A45&lt;'Données projet'!$A$166,$DL$205^A45,IF(A45='Données projet'!$A$166,'Données projet'!$B$166,DO44+DN45-DW44)))</f>
        <v>90.2</v>
      </c>
      <c r="DP45" s="17">
        <f>DO45*VLOOKUP('Données projet'!$B$14,Paramètres!$A$1:$I$89,3,0)*VLOOKUP('Données projet'!$B$14,Paramètres!$A$1:$I$89,5,0)</f>
        <v>85.834320000000005</v>
      </c>
      <c r="DQ45" s="13">
        <f t="shared" si="43"/>
        <v>23.557809132261784</v>
      </c>
      <c r="DR45" s="20">
        <f t="shared" si="16"/>
        <v>190.52462490535595</v>
      </c>
      <c r="DS45" s="57">
        <f t="shared" si="17"/>
        <v>483.85795823868926</v>
      </c>
      <c r="DT45" s="57">
        <f ca="1">AVERAGE(OFFSET($DS$3,0,0,'Données projet'!$E$14+1,1))-AVERAGE(OFFSET($H$3,0,0,'Données projet'!$E$14+1,1))</f>
        <v>292.95981568144879</v>
      </c>
      <c r="DU45" s="57">
        <f t="shared" si="44"/>
        <v>152.23954167722536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1.2173804318713031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1.2173804318713031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7" t="e">
        <f t="shared" si="20"/>
        <v>#N/A</v>
      </c>
      <c r="EO45" s="57" t="e">
        <f ca="1">AVERAGE(OFFSET($EN$3,0,0,'Données projet'!$E$15+1,1))-AVERAGE(OFFSET($H$3,0,0,'Données projet'!$E$15+1,1))</f>
        <v>#N/A</v>
      </c>
      <c r="EP45" s="57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7" t="e">
        <f t="shared" si="23"/>
        <v>#N/A</v>
      </c>
      <c r="FJ45" s="57" t="e">
        <f ca="1">AVERAGE(OFFSET($FI$3,0,0,'Données projet'!$E$16+1,1))-AVERAGE(OFFSET($H$3,0,0,'Données projet'!$E$16+1,1))</f>
        <v>#N/A</v>
      </c>
      <c r="FK45" s="57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7" t="e">
        <f t="shared" si="26"/>
        <v>#N/A</v>
      </c>
      <c r="GE45" s="57" t="e">
        <f ca="1">AVERAGE(OFFSET($GD$3,0,0,'Données projet'!$E$17+1,1))-AVERAGE(OFFSET($H$3,0,0,'Données projet'!$E$17+1,1))</f>
        <v>#N/A</v>
      </c>
      <c r="GF45" s="57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7" t="e">
        <f t="shared" si="29"/>
        <v>#N/A</v>
      </c>
      <c r="GZ45" s="57" t="e">
        <f ca="1">AVERAGE(OFFSET($GY$3,0,0,'Données projet'!$E$18+1,1))-AVERAGE(OFFSET($H$3,0,0,'Données projet'!$E$18+1,1))</f>
        <v>#N/A</v>
      </c>
      <c r="HA45" s="57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1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5">
        <f t="shared" si="1"/>
        <v>256.66666666666669</v>
      </c>
      <c r="I46" s="6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141.20000000000007</v>
      </c>
      <c r="O46" s="13">
        <f>N46*VLOOKUP('Données projet'!$B$9,Paramètres!$A$1:$I$89,3,0)*VLOOKUP('Données projet'!$B$9,Paramètres!$A$1:$I$89,5,0)</f>
        <v>127.75776000000008</v>
      </c>
      <c r="P46" s="13">
        <f t="shared" si="33"/>
        <v>33.477720030956604</v>
      </c>
      <c r="Q46" s="20">
        <f t="shared" si="53"/>
        <v>280.81846105391622</v>
      </c>
      <c r="R46" s="57">
        <f t="shared" si="0"/>
        <v>574.15179438724954</v>
      </c>
      <c r="S46" s="57">
        <f ca="1">AVERAGE(OFFSET($R$3,0,0,'Données projet'!$E$9+1,1))-AVERAGE(OFFSET($H$3,0,0,'Données projet'!$E$9+1,1))</f>
        <v>373.45926089889866</v>
      </c>
      <c r="T46" s="57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1.7022168186787123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1.7022168186787123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141.20000000000007</v>
      </c>
      <c r="AJ46" s="13">
        <f>AI46*VLOOKUP('Données projet'!$B$10,Paramètres!$A$1:$I$89,3,0)*VLOOKUP('Données projet'!$B$10,Paramètres!$A$1:$I$89,5,0)</f>
        <v>134.36592000000007</v>
      </c>
      <c r="AK46" s="13">
        <f t="shared" si="35"/>
        <v>35.003247613199136</v>
      </c>
      <c r="AL46" s="20">
        <f t="shared" si="4"/>
        <v>294.98463359298859</v>
      </c>
      <c r="AM46" s="57">
        <f t="shared" si="5"/>
        <v>588.3179669263219</v>
      </c>
      <c r="AN46" s="57">
        <f ca="1">AVERAGE(OFFSET($AM$3,0,0,'Données projet'!$E$10+1,1))-AVERAGE(OFFSET($H$3,0,0,'Données projet'!$E$10+1,1))</f>
        <v>390.70240761116355</v>
      </c>
      <c r="AO46" s="57">
        <f t="shared" si="36"/>
        <v>241.18285512887638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1.7902625161965773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1.7902625161965773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141.20000000000007</v>
      </c>
      <c r="BE46" s="13">
        <f>BD46*VLOOKUP('Données projet'!$B$11,Paramètres!$A$1:$I$89,3,0)*VLOOKUP('Données projet'!$B$11,Paramètres!$A$1:$I$89,5,0)</f>
        <v>136.56864000000007</v>
      </c>
      <c r="BF46" s="13">
        <f t="shared" si="37"/>
        <v>35.509797430964738</v>
      </c>
      <c r="BG46" s="20">
        <f t="shared" si="7"/>
        <v>299.70327852559706</v>
      </c>
      <c r="BH46" s="57">
        <f t="shared" si="8"/>
        <v>593.03661185893043</v>
      </c>
      <c r="BI46" s="57">
        <f ca="1">AVERAGE(OFFSET($BH$3,0,0,'Données projet'!$E$11+1,1))-AVERAGE(OFFSET($H$3,0,0,'Données projet'!$E$11+1,1))</f>
        <v>396.44612884768748</v>
      </c>
      <c r="BJ46" s="57">
        <f t="shared" si="38"/>
        <v>244.451492444461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1.8196110820358655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1.8196110820358655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15.725555555555552</v>
      </c>
      <c r="BY46" s="12">
        <f>IF('Données projet'!$A$114&gt;35,BY45+BX46-CG45,IF(A46&lt;'Données projet'!$A$114,$BV$205^A46,IF(A46='Données projet'!$A$114,'Données projet'!$B$114,BY45+BX46-CG45)))</f>
        <v>259.8611111111112</v>
      </c>
      <c r="BZ46" s="13">
        <f>BY46*VLOOKUP('Données projet'!$B$12,Paramètres!$A$1:$I$89,3,0)*VLOOKUP('Données projet'!$B$12,Paramètres!$A$1:$I$89,5,0)</f>
        <v>155.3969444444445</v>
      </c>
      <c r="CA46" s="13">
        <f t="shared" si="39"/>
        <v>39.802526102363792</v>
      </c>
      <c r="CB46" s="20">
        <f t="shared" si="10"/>
        <v>339.97241120235776</v>
      </c>
      <c r="CC46" s="57">
        <f t="shared" si="11"/>
        <v>633.30574453569102</v>
      </c>
      <c r="CD46" s="57">
        <f ca="1">AVERAGE(OFFSET($CC$3,0,0,'Données projet'!$E$12+1,1))-AVERAGE(OFFSET($H$3,0,0,'Données projet'!$E$12+1,1))</f>
        <v>259.64096626089821</v>
      </c>
      <c r="CE46" s="57">
        <f t="shared" si="40"/>
        <v>258.1415293081597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17.724339262494755</v>
      </c>
      <c r="CL46" s="21">
        <f>EXP(-LN(2)/25)*CL45+(1-EXP(-LN(2)/25))/(LN(2)/25)*Calculateur!CG46*Calculateur!CI46*VLOOKUP('Données projet'!$B$12,Paramètres!$A$1:$I$89,3,0)*0.475*44/12</f>
        <v>22.500543857170694</v>
      </c>
      <c r="CM46" s="21">
        <f>EXP(-LN(2)/2)*CM45+(1-EXP(-LN(2)/2))/(LN(2)/2)*CG46*CJ46*VLOOKUP('Données projet'!$B$12,Paramètres!$A$1:$I$89,3,0)*0.475*44/12</f>
        <v>6.6696508806259196</v>
      </c>
      <c r="CN46" s="22">
        <f t="shared" si="12"/>
        <v>46.894534000291372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8.4</v>
      </c>
      <c r="CT46" s="12">
        <f>IF('Données projet'!$A$140&gt;35,CT45+CS46-DB45,IF(A46&lt;'Données projet'!$A$140,$CQ$205^A46,IF(A46='Données projet'!$A$140,'Données projet'!$B$140,CT45+CS46-DB45)))</f>
        <v>141.20000000000007</v>
      </c>
      <c r="CU46" s="17">
        <f>CT46*VLOOKUP('Données projet'!$B$13,Paramètres!$A$1:$I$89,3,0)*VLOOKUP('Données projet'!$B$13,Paramètres!$A$1:$I$89,5,0)</f>
        <v>151.98768000000007</v>
      </c>
      <c r="CV46" s="13">
        <f t="shared" si="41"/>
        <v>39.029946373574369</v>
      </c>
      <c r="CW46" s="20">
        <f t="shared" si="13"/>
        <v>332.68903260064212</v>
      </c>
      <c r="CX46" s="57">
        <f t="shared" si="14"/>
        <v>626.02236593397538</v>
      </c>
      <c r="CY46" s="57">
        <f ca="1">AVERAGE(OFFSET($CX$3,0,0,'Données projet'!$E$13+1,1))-AVERAGE(OFFSET($H$3,0,0,'Données projet'!$E$13+1,1))</f>
        <v>436.59978658837537</v>
      </c>
      <c r="CZ46" s="57">
        <f t="shared" si="42"/>
        <v>267.2998309535638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2.0250510429108819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2.0250510429108819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5.6</v>
      </c>
      <c r="DO46" s="12">
        <f>IF('Données projet'!$A$166&gt;35,DO45+DN46-DW45,IF(A46&lt;'Données projet'!$A$166,$DL$205^A46,IF(A46='Données projet'!$A$166,'Données projet'!$B$166,DO45+DN46-DW45)))</f>
        <v>95.8</v>
      </c>
      <c r="DP46" s="17">
        <f>DO46*VLOOKUP('Données projet'!$B$14,Paramètres!$A$1:$I$89,3,0)*VLOOKUP('Données projet'!$B$14,Paramètres!$A$1:$I$89,5,0)</f>
        <v>91.16328</v>
      </c>
      <c r="DQ46" s="13">
        <f t="shared" si="43"/>
        <v>24.84557007760694</v>
      </c>
      <c r="DR46" s="20">
        <f t="shared" si="16"/>
        <v>202.04874721849876</v>
      </c>
      <c r="DS46" s="57">
        <f t="shared" si="17"/>
        <v>495.38208055183208</v>
      </c>
      <c r="DT46" s="57">
        <f ca="1">AVERAGE(OFFSET($DS$3,0,0,'Données projet'!$E$14+1,1))-AVERAGE(OFFSET($H$3,0,0,'Données projet'!$E$14+1,1))</f>
        <v>292.95981568144879</v>
      </c>
      <c r="DU46" s="57">
        <f t="shared" si="44"/>
        <v>152.23954167722536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1.1935083441310517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1.1935083441310517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7" t="e">
        <f t="shared" si="20"/>
        <v>#N/A</v>
      </c>
      <c r="EO46" s="57" t="e">
        <f ca="1">AVERAGE(OFFSET($EN$3,0,0,'Données projet'!$E$15+1,1))-AVERAGE(OFFSET($H$3,0,0,'Données projet'!$E$15+1,1))</f>
        <v>#N/A</v>
      </c>
      <c r="EP46" s="57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7" t="e">
        <f t="shared" si="23"/>
        <v>#N/A</v>
      </c>
      <c r="FJ46" s="57" t="e">
        <f ca="1">AVERAGE(OFFSET($FI$3,0,0,'Données projet'!$E$16+1,1))-AVERAGE(OFFSET($H$3,0,0,'Données projet'!$E$16+1,1))</f>
        <v>#N/A</v>
      </c>
      <c r="FK46" s="57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7" t="e">
        <f t="shared" si="26"/>
        <v>#N/A</v>
      </c>
      <c r="GE46" s="57" t="e">
        <f ca="1">AVERAGE(OFFSET($GD$3,0,0,'Données projet'!$E$17+1,1))-AVERAGE(OFFSET($H$3,0,0,'Données projet'!$E$17+1,1))</f>
        <v>#N/A</v>
      </c>
      <c r="GF46" s="57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7" t="e">
        <f t="shared" si="29"/>
        <v>#N/A</v>
      </c>
      <c r="GZ46" s="57" t="e">
        <f ca="1">AVERAGE(OFFSET($GY$3,0,0,'Données projet'!$E$18+1,1))-AVERAGE(OFFSET($H$3,0,0,'Données projet'!$E$18+1,1))</f>
        <v>#N/A</v>
      </c>
      <c r="HA46" s="57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1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5">
        <f t="shared" si="1"/>
        <v>256.66666666666669</v>
      </c>
      <c r="I47" s="6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149.60000000000008</v>
      </c>
      <c r="O47" s="13">
        <f>N47*VLOOKUP('Données projet'!$B$9,Paramètres!$A$1:$I$89,3,0)*VLOOKUP('Données projet'!$B$9,Paramètres!$A$1:$I$89,5,0)</f>
        <v>135.35808000000009</v>
      </c>
      <c r="P47" s="13">
        <f t="shared" si="33"/>
        <v>35.231528980112863</v>
      </c>
      <c r="Q47" s="20">
        <f t="shared" si="53"/>
        <v>297.11023564036338</v>
      </c>
      <c r="R47" s="57">
        <f t="shared" si="0"/>
        <v>590.44356897369676</v>
      </c>
      <c r="S47" s="57">
        <f ca="1">AVERAGE(OFFSET($R$3,0,0,'Données projet'!$E$9+1,1))-AVERAGE(OFFSET($H$3,0,0,'Données projet'!$E$9+1,1))</f>
        <v>373.45926089889866</v>
      </c>
      <c r="T47" s="57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1.6688373851141636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1.6688373851141636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149.60000000000008</v>
      </c>
      <c r="AJ47" s="13">
        <f>AI47*VLOOKUP('Données projet'!$B$10,Paramètres!$A$1:$I$89,3,0)*VLOOKUP('Données projet'!$B$10,Paramètres!$A$1:$I$89,5,0)</f>
        <v>142.35936000000007</v>
      </c>
      <c r="AK47" s="13">
        <f t="shared" si="35"/>
        <v>36.836974905762489</v>
      </c>
      <c r="AL47" s="20">
        <f t="shared" si="4"/>
        <v>312.10028329420317</v>
      </c>
      <c r="AM47" s="57">
        <f t="shared" si="5"/>
        <v>605.43361662753648</v>
      </c>
      <c r="AN47" s="57">
        <f ca="1">AVERAGE(OFFSET($AM$3,0,0,'Données projet'!$E$10+1,1))-AVERAGE(OFFSET($H$3,0,0,'Données projet'!$E$10+1,1))</f>
        <v>390.70240761116355</v>
      </c>
      <c r="AO47" s="57">
        <f t="shared" si="36"/>
        <v>241.18285512887638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1.755156560206276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1.755156560206276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149.60000000000008</v>
      </c>
      <c r="BE47" s="13">
        <f>BD47*VLOOKUP('Données projet'!$B$11,Paramètres!$A$1:$I$89,3,0)*VLOOKUP('Données projet'!$B$11,Paramètres!$A$1:$I$89,5,0)</f>
        <v>144.69312000000008</v>
      </c>
      <c r="BF47" s="13">
        <f t="shared" si="37"/>
        <v>37.370061524802772</v>
      </c>
      <c r="BG47" s="20">
        <f t="shared" si="7"/>
        <v>317.09337448903159</v>
      </c>
      <c r="BH47" s="57">
        <f t="shared" si="8"/>
        <v>610.42670782236496</v>
      </c>
      <c r="BI47" s="57">
        <f ca="1">AVERAGE(OFFSET($BH$3,0,0,'Données projet'!$E$11+1,1))-AVERAGE(OFFSET($H$3,0,0,'Données projet'!$E$11+1,1))</f>
        <v>396.44612884768748</v>
      </c>
      <c r="BJ47" s="57">
        <f t="shared" si="38"/>
        <v>244.451492444461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1.7839296185703133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1.7839296185703133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15.725555555555552</v>
      </c>
      <c r="BY47" s="12">
        <f>IF('Données projet'!$A$114&gt;35,BY46+BX47-CG46,IF(A47&lt;'Données projet'!$A$114,$BV$205^A47,IF(A47='Données projet'!$A$114,'Données projet'!$B$114,BY46+BX47-CG46)))</f>
        <v>275.58666666666676</v>
      </c>
      <c r="BZ47" s="13">
        <f>BY47*VLOOKUP('Données projet'!$B$12,Paramètres!$A$1:$I$89,3,0)*VLOOKUP('Données projet'!$B$12,Paramètres!$A$1:$I$89,5,0)</f>
        <v>164.80082666666672</v>
      </c>
      <c r="CA47" s="13">
        <f t="shared" si="39"/>
        <v>41.923485083367765</v>
      </c>
      <c r="CB47" s="20">
        <f t="shared" si="10"/>
        <v>360.04484296464335</v>
      </c>
      <c r="CC47" s="57">
        <f t="shared" si="11"/>
        <v>653.37817629797667</v>
      </c>
      <c r="CD47" s="57">
        <f ca="1">AVERAGE(OFFSET($CC$3,0,0,'Données projet'!$E$12+1,1))-AVERAGE(OFFSET($H$3,0,0,'Données projet'!$E$12+1,1))</f>
        <v>259.64096626089821</v>
      </c>
      <c r="CE47" s="57">
        <f t="shared" si="40"/>
        <v>258.1415293081597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17.376775780336708</v>
      </c>
      <c r="CL47" s="21">
        <f>EXP(-LN(2)/25)*CL46+(1-EXP(-LN(2)/25))/(LN(2)/25)*Calculateur!CG47*Calculateur!CI47*VLOOKUP('Données projet'!$B$12,Paramètres!$A$1:$I$89,3,0)*0.475*44/12</f>
        <v>21.885265302144184</v>
      </c>
      <c r="CM47" s="21">
        <f>EXP(-LN(2)/2)*CM46+(1-EXP(-LN(2)/2))/(LN(2)/2)*CG47*CJ47*VLOOKUP('Données projet'!$B$12,Paramètres!$A$1:$I$89,3,0)*0.475*44/12</f>
        <v>4.716155365837416</v>
      </c>
      <c r="CN47" s="22">
        <f t="shared" si="12"/>
        <v>43.978196448318307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8.4</v>
      </c>
      <c r="CT47" s="12">
        <f>IF('Données projet'!$A$140&gt;35,CT46+CS47-DB46,IF(A47&lt;'Données projet'!$A$140,$CQ$205^A47,IF(A47='Données projet'!$A$140,'Données projet'!$B$140,CT46+CS47-DB46)))</f>
        <v>149.60000000000008</v>
      </c>
      <c r="CU47" s="17">
        <f>CT47*VLOOKUP('Données projet'!$B$13,Paramètres!$A$1:$I$89,3,0)*VLOOKUP('Données projet'!$B$13,Paramètres!$A$1:$I$89,5,0)</f>
        <v>161.02944000000008</v>
      </c>
      <c r="CV47" s="13">
        <f t="shared" si="41"/>
        <v>41.074621732940727</v>
      </c>
      <c r="CW47" s="20">
        <f t="shared" si="13"/>
        <v>351.99790751820524</v>
      </c>
      <c r="CX47" s="57">
        <f t="shared" si="14"/>
        <v>645.3312408515385</v>
      </c>
      <c r="CY47" s="57">
        <f ca="1">AVERAGE(OFFSET($CX$3,0,0,'Données projet'!$E$13+1,1))-AVERAGE(OFFSET($H$3,0,0,'Données projet'!$E$13+1,1))</f>
        <v>436.59978658837537</v>
      </c>
      <c r="CZ47" s="57">
        <f t="shared" si="42"/>
        <v>267.2998309535638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1.9853410271185739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1.9853410271185739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5.6</v>
      </c>
      <c r="DO47" s="12">
        <f>IF('Données projet'!$A$166&gt;35,DO46+DN47-DW46,IF(A47&lt;'Données projet'!$A$166,$DL$205^A47,IF(A47='Données projet'!$A$166,'Données projet'!$B$166,DO46+DN47-DW46)))</f>
        <v>101.39999999999999</v>
      </c>
      <c r="DP47" s="17">
        <f>DO47*VLOOKUP('Données projet'!$B$14,Paramètres!$A$1:$I$89,3,0)*VLOOKUP('Données projet'!$B$14,Paramètres!$A$1:$I$89,5,0)</f>
        <v>96.492239999999995</v>
      </c>
      <c r="DQ47" s="13">
        <f t="shared" si="43"/>
        <v>26.124593361596208</v>
      </c>
      <c r="DR47" s="20">
        <f t="shared" si="16"/>
        <v>213.55765143811337</v>
      </c>
      <c r="DS47" s="57">
        <f t="shared" si="17"/>
        <v>506.89098477144671</v>
      </c>
      <c r="DT47" s="57">
        <f ca="1">AVERAGE(OFFSET($DS$3,0,0,'Données projet'!$E$14+1,1))-AVERAGE(OFFSET($H$3,0,0,'Données projet'!$E$14+1,1))</f>
        <v>292.95981568144879</v>
      </c>
      <c r="DU47" s="57">
        <f t="shared" si="44"/>
        <v>152.23954167722536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1.1701043734708507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1.1701043734708507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7" t="e">
        <f t="shared" si="20"/>
        <v>#N/A</v>
      </c>
      <c r="EO47" s="57" t="e">
        <f ca="1">AVERAGE(OFFSET($EN$3,0,0,'Données projet'!$E$15+1,1))-AVERAGE(OFFSET($H$3,0,0,'Données projet'!$E$15+1,1))</f>
        <v>#N/A</v>
      </c>
      <c r="EP47" s="57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7" t="e">
        <f t="shared" si="23"/>
        <v>#N/A</v>
      </c>
      <c r="FJ47" s="57" t="e">
        <f ca="1">AVERAGE(OFFSET($FI$3,0,0,'Données projet'!$E$16+1,1))-AVERAGE(OFFSET($H$3,0,0,'Données projet'!$E$16+1,1))</f>
        <v>#N/A</v>
      </c>
      <c r="FK47" s="57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7" t="e">
        <f t="shared" si="26"/>
        <v>#N/A</v>
      </c>
      <c r="GE47" s="57" t="e">
        <f ca="1">AVERAGE(OFFSET($GD$3,0,0,'Données projet'!$E$17+1,1))-AVERAGE(OFFSET($H$3,0,0,'Données projet'!$E$17+1,1))</f>
        <v>#N/A</v>
      </c>
      <c r="GF47" s="57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7" t="e">
        <f t="shared" si="29"/>
        <v>#N/A</v>
      </c>
      <c r="GZ47" s="57" t="e">
        <f ca="1">AVERAGE(OFFSET($GY$3,0,0,'Données projet'!$E$18+1,1))-AVERAGE(OFFSET($H$3,0,0,'Données projet'!$E$18+1,1))</f>
        <v>#N/A</v>
      </c>
      <c r="HA47" s="57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1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5">
        <f t="shared" si="1"/>
        <v>256.66666666666669</v>
      </c>
      <c r="I48" s="6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158.00000000000009</v>
      </c>
      <c r="O48" s="13">
        <f>N48*VLOOKUP('Données projet'!$B$9,Paramètres!$A$1:$I$89,3,0)*VLOOKUP('Données projet'!$B$9,Paramètres!$A$1:$I$89,5,0)</f>
        <v>142.95840000000007</v>
      </c>
      <c r="P48" s="13">
        <f t="shared" si="33"/>
        <v>36.973906370811264</v>
      </c>
      <c r="Q48" s="20">
        <f t="shared" si="53"/>
        <v>313.38210026249641</v>
      </c>
      <c r="R48" s="57">
        <f t="shared" si="0"/>
        <v>606.71543359582972</v>
      </c>
      <c r="S48" s="57">
        <f ca="1">AVERAGE(OFFSET($R$3,0,0,'Données projet'!$E$9+1,1))-AVERAGE(OFFSET($H$3,0,0,'Données projet'!$E$9+1,1))</f>
        <v>373.45926089889866</v>
      </c>
      <c r="T48" s="57">
        <f t="shared" si="34"/>
        <v>231.36959598460686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3.4425271584013237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3.4425271584013237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158.00000000000009</v>
      </c>
      <c r="AJ48" s="13">
        <f>AI48*VLOOKUP('Données projet'!$B$10,Paramètres!$A$1:$I$89,3,0)*VLOOKUP('Données projet'!$B$10,Paramètres!$A$1:$I$89,5,0)</f>
        <v>150.35280000000009</v>
      </c>
      <c r="AK48" s="13">
        <f t="shared" si="35"/>
        <v>38.658749721546236</v>
      </c>
      <c r="AL48" s="20">
        <f t="shared" si="4"/>
        <v>329.19511576502651</v>
      </c>
      <c r="AM48" s="57">
        <f t="shared" si="5"/>
        <v>622.52844909835983</v>
      </c>
      <c r="AN48" s="57">
        <f ca="1">AVERAGE(OFFSET($AM$3,0,0,'Données projet'!$E$10+1,1))-AVERAGE(OFFSET($H$3,0,0,'Données projet'!$E$10+1,1))</f>
        <v>390.70240761116355</v>
      </c>
      <c r="AO48" s="57">
        <f t="shared" si="36"/>
        <v>241.18285512887638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3.6205889079738069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3.6205889079738069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158.00000000000009</v>
      </c>
      <c r="BE48" s="13">
        <f>BD48*VLOOKUP('Données projet'!$B$11,Paramètres!$A$1:$I$89,3,0)*VLOOKUP('Données projet'!$B$11,Paramètres!$A$1:$I$89,5,0)</f>
        <v>152.81760000000008</v>
      </c>
      <c r="BF48" s="13">
        <f t="shared" si="37"/>
        <v>39.218200171484227</v>
      </c>
      <c r="BG48" s="20">
        <f t="shared" si="7"/>
        <v>334.46235196533513</v>
      </c>
      <c r="BH48" s="57">
        <f t="shared" si="8"/>
        <v>627.79568529866845</v>
      </c>
      <c r="BI48" s="57">
        <f ca="1">AVERAGE(OFFSET($BH$3,0,0,'Données projet'!$E$11+1,1))-AVERAGE(OFFSET($H$3,0,0,'Données projet'!$E$11+1,1))</f>
        <v>396.44612884768748</v>
      </c>
      <c r="BJ48" s="57">
        <f t="shared" si="38"/>
        <v>244.451492444461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3.6799428244979673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3.6799428244979673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15.725555555555552</v>
      </c>
      <c r="BY48" s="12">
        <f>IF('Données projet'!$A$114&gt;35,BY47+BX48-CG47,IF(A48&lt;'Données projet'!$A$114,$BV$205^A48,IF(A48='Données projet'!$A$114,'Données projet'!$B$114,BY47+BX48-CG47)))</f>
        <v>291.31222222222232</v>
      </c>
      <c r="BZ48" s="13">
        <f>BY48*VLOOKUP('Données projet'!$B$12,Paramètres!$A$1:$I$89,3,0)*VLOOKUP('Données projet'!$B$12,Paramètres!$A$1:$I$89,5,0)</f>
        <v>174.20470888888897</v>
      </c>
      <c r="CA48" s="13">
        <f t="shared" si="39"/>
        <v>44.030395226989455</v>
      </c>
      <c r="CB48" s="20">
        <f t="shared" si="10"/>
        <v>380.09280633515488</v>
      </c>
      <c r="CC48" s="57">
        <f t="shared" si="11"/>
        <v>673.42613966848819</v>
      </c>
      <c r="CD48" s="57">
        <f ca="1">AVERAGE(OFFSET($CC$3,0,0,'Données projet'!$E$12+1,1))-AVERAGE(OFFSET($H$3,0,0,'Données projet'!$E$12+1,1))</f>
        <v>259.64096626089821</v>
      </c>
      <c r="CE48" s="57">
        <f t="shared" si="40"/>
        <v>258.1415293081597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17.036027806070987</v>
      </c>
      <c r="CL48" s="21">
        <f>EXP(-LN(2)/25)*CL47+(1-EXP(-LN(2)/25))/(LN(2)/25)*Calculateur!CG48*Calculateur!CI48*VLOOKUP('Données projet'!$B$12,Paramètres!$A$1:$I$89,3,0)*0.475*44/12</f>
        <v>21.286811571560968</v>
      </c>
      <c r="CM48" s="21">
        <f>EXP(-LN(2)/2)*CM47+(1-EXP(-LN(2)/2))/(LN(2)/2)*CG48*CJ48*VLOOKUP('Données projet'!$B$12,Paramètres!$A$1:$I$89,3,0)*0.475*44/12</f>
        <v>3.3348254403129598</v>
      </c>
      <c r="CN48" s="22">
        <f t="shared" si="12"/>
        <v>41.657664817944912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158</v>
      </c>
      <c r="CR48" s="12">
        <f>VLOOKUP(A48,'Données projet'!$A$139:$I$159,9,0)</f>
        <v>8.4</v>
      </c>
      <c r="CS48" s="12">
        <f t="array" ref="CS48">INDEX(CR:CR,MIN(IF(ISNUMBER(CR48:CR244),ROW(CR48:CR244),"")))</f>
        <v>8.4</v>
      </c>
      <c r="CT48" s="12">
        <f>IF('Données projet'!$A$140&gt;35,CT47+CS48-DB47,IF(A48&lt;'Données projet'!$A$140,$CQ$205^A48,IF(A48='Données projet'!$A$140,'Données projet'!$B$140,CT47+CS48-DB47)))</f>
        <v>158.00000000000009</v>
      </c>
      <c r="CU48" s="17">
        <f>CT48*VLOOKUP('Données projet'!$B$13,Paramètres!$A$1:$I$89,3,0)*VLOOKUP('Données projet'!$B$13,Paramètres!$A$1:$I$89,5,0)</f>
        <v>170.07120000000009</v>
      </c>
      <c r="CV48" s="13">
        <f t="shared" si="41"/>
        <v>43.10596962815594</v>
      </c>
      <c r="CW48" s="20">
        <f t="shared" si="13"/>
        <v>371.28357043570509</v>
      </c>
      <c r="CX48" s="57">
        <f t="shared" si="14"/>
        <v>664.61690376903834</v>
      </c>
      <c r="CY48" s="57">
        <f ca="1">AVERAGE(OFFSET($CX$3,0,0,'Données projet'!$E$13+1,1))-AVERAGE(OFFSET($H$3,0,0,'Données projet'!$E$13+1,1))</f>
        <v>436.59978658837537</v>
      </c>
      <c r="CZ48" s="57">
        <f t="shared" si="42"/>
        <v>267.2998309535638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21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4.0954202401670914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4.0954202401670914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107</v>
      </c>
      <c r="DM48" s="12">
        <f>VLOOKUP(A48,'Données projet'!$A$165:$I$185,9,0)</f>
        <v>5.6</v>
      </c>
      <c r="DN48" s="12">
        <f t="array" ref="DN48">INDEX(DM:DM,MIN(IF(ISNUMBER(DM48:DM244),ROW(DM48:DM244),"")))</f>
        <v>5.6</v>
      </c>
      <c r="DO48" s="12">
        <f>IF('Données projet'!$A$166&gt;35,DO47+DN48-DW47,IF(A48&lt;'Données projet'!$A$166,$DL$205^A48,IF(A48='Données projet'!$A$166,'Données projet'!$B$166,DO47+DN48-DW47)))</f>
        <v>106.99999999999999</v>
      </c>
      <c r="DP48" s="17">
        <f>DO48*VLOOKUP('Données projet'!$B$14,Paramètres!$A$1:$I$89,3,0)*VLOOKUP('Données projet'!$B$14,Paramètres!$A$1:$I$89,5,0)</f>
        <v>101.82119999999999</v>
      </c>
      <c r="DQ48" s="13">
        <f t="shared" si="43"/>
        <v>27.395416540066275</v>
      </c>
      <c r="DR48" s="20">
        <f t="shared" si="16"/>
        <v>225.05227380728206</v>
      </c>
      <c r="DS48" s="57">
        <f t="shared" si="17"/>
        <v>518.38560714061532</v>
      </c>
      <c r="DT48" s="57">
        <f ca="1">AVERAGE(OFFSET($DS$3,0,0,'Données projet'!$E$14+1,1))-AVERAGE(OFFSET($H$3,0,0,'Données projet'!$E$14+1,1))</f>
        <v>292.95981568144879</v>
      </c>
      <c r="DU48" s="57">
        <f t="shared" si="44"/>
        <v>152.23954167722536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14</v>
      </c>
      <c r="DX48" s="16">
        <f>IF(ISNA(VLOOKUP(A48,'Données projet'!$A$165:$I$185,5,0)),0%,VLOOKUP(A48,'Données projet'!$A$165:$I$185,5,0)*VLOOKUP('Données projet'!$B$14,Paramètres!$A$1:$I$89,7,0))</f>
        <v>8.6000000000000007E-2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2.4137259386492049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2.4137259386492049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7" t="e">
        <f t="shared" si="20"/>
        <v>#N/A</v>
      </c>
      <c r="EO48" s="57" t="e">
        <f ca="1">AVERAGE(OFFSET($EN$3,0,0,'Données projet'!$E$15+1,1))-AVERAGE(OFFSET($H$3,0,0,'Données projet'!$E$15+1,1))</f>
        <v>#N/A</v>
      </c>
      <c r="EP48" s="57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7" t="e">
        <f t="shared" si="23"/>
        <v>#N/A</v>
      </c>
      <c r="FJ48" s="57" t="e">
        <f ca="1">AVERAGE(OFFSET($FI$3,0,0,'Données projet'!$E$16+1,1))-AVERAGE(OFFSET($H$3,0,0,'Données projet'!$E$16+1,1))</f>
        <v>#N/A</v>
      </c>
      <c r="FK48" s="57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7" t="e">
        <f t="shared" si="26"/>
        <v>#N/A</v>
      </c>
      <c r="GE48" s="57" t="e">
        <f ca="1">AVERAGE(OFFSET($GD$3,0,0,'Données projet'!$E$17+1,1))-AVERAGE(OFFSET($H$3,0,0,'Données projet'!$E$17+1,1))</f>
        <v>#N/A</v>
      </c>
      <c r="GF48" s="57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7" t="e">
        <f t="shared" si="29"/>
        <v>#N/A</v>
      </c>
      <c r="GZ48" s="57" t="e">
        <f ca="1">AVERAGE(OFFSET($GY$3,0,0,'Données projet'!$E$18+1,1))-AVERAGE(OFFSET($H$3,0,0,'Données projet'!$E$18+1,1))</f>
        <v>#N/A</v>
      </c>
      <c r="HA48" s="57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1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5">
        <f t="shared" si="1"/>
        <v>256.66666666666669</v>
      </c>
      <c r="I49" s="6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145.20000000000007</v>
      </c>
      <c r="O49" s="13">
        <f>N49*VLOOKUP('Données projet'!$B$9,Paramètres!$A$1:$I$89,3,0)*VLOOKUP('Données projet'!$B$9,Paramètres!$A$1:$I$89,5,0)</f>
        <v>131.37696000000005</v>
      </c>
      <c r="P49" s="13">
        <f t="shared" si="33"/>
        <v>34.314338988223334</v>
      </c>
      <c r="Q49" s="20">
        <f t="shared" si="53"/>
        <v>288.57901240448905</v>
      </c>
      <c r="R49" s="57">
        <f t="shared" si="0"/>
        <v>581.91234573782231</v>
      </c>
      <c r="S49" s="57">
        <f ca="1">AVERAGE(OFFSET($R$3,0,0,'Données projet'!$E$9+1,1))-AVERAGE(OFFSET($H$3,0,0,'Données projet'!$E$9+1,1))</f>
        <v>373.45926089889866</v>
      </c>
      <c r="T49" s="57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3.3750213005593088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3.3750213005593088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145.20000000000007</v>
      </c>
      <c r="AJ49" s="13">
        <f>AI49*VLOOKUP('Données projet'!$B$10,Paramètres!$A$1:$I$89,3,0)*VLOOKUP('Données projet'!$B$10,Paramètres!$A$1:$I$89,5,0)</f>
        <v>138.17232000000007</v>
      </c>
      <c r="AK49" s="13">
        <f t="shared" si="35"/>
        <v>35.877989993863793</v>
      </c>
      <c r="AL49" s="20">
        <f t="shared" si="4"/>
        <v>303.13762323931292</v>
      </c>
      <c r="AM49" s="57">
        <f t="shared" si="5"/>
        <v>596.47095657264617</v>
      </c>
      <c r="AN49" s="57">
        <f ca="1">AVERAGE(OFFSET($AM$3,0,0,'Données projet'!$E$10+1,1))-AVERAGE(OFFSET($H$3,0,0,'Données projet'!$E$10+1,1))</f>
        <v>390.70240761116355</v>
      </c>
      <c r="AO49" s="57">
        <f t="shared" si="36"/>
        <v>241.18285512887638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3.5495913678296187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3.5495913678296187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145.20000000000007</v>
      </c>
      <c r="BE49" s="13">
        <f>BD49*VLOOKUP('Données projet'!$B$11,Paramètres!$A$1:$I$89,3,0)*VLOOKUP('Données projet'!$B$11,Paramètres!$A$1:$I$89,5,0)</f>
        <v>140.43744000000007</v>
      </c>
      <c r="BF49" s="13">
        <f t="shared" si="37"/>
        <v>36.397198653986358</v>
      </c>
      <c r="BG49" s="20">
        <f t="shared" si="7"/>
        <v>307.98699565569297</v>
      </c>
      <c r="BH49" s="57">
        <f t="shared" si="8"/>
        <v>601.32032898902628</v>
      </c>
      <c r="BI49" s="57">
        <f ca="1">AVERAGE(OFFSET($BH$3,0,0,'Données projet'!$E$11+1,1))-AVERAGE(OFFSET($H$3,0,0,'Données projet'!$E$11+1,1))</f>
        <v>396.44612884768748</v>
      </c>
      <c r="BJ49" s="57">
        <f t="shared" si="38"/>
        <v>244.451492444461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3.6077813902530549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3.6077813902530549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15.725555555555552</v>
      </c>
      <c r="BY49" s="12">
        <f>IF('Données projet'!$A$114&gt;35,BY48+BX49-CG48,IF(A49&lt;'Données projet'!$A$114,$BV$205^A49,IF(A49='Données projet'!$A$114,'Données projet'!$B$114,BY48+BX49-CG48)))</f>
        <v>307.03777777777788</v>
      </c>
      <c r="BZ49" s="13">
        <f>BY49*VLOOKUP('Données projet'!$B$12,Paramètres!$A$1:$I$89,3,0)*VLOOKUP('Données projet'!$B$12,Paramètres!$A$1:$I$89,5,0)</f>
        <v>183.60859111111117</v>
      </c>
      <c r="CA49" s="13">
        <f t="shared" si="39"/>
        <v>46.124101377958297</v>
      </c>
      <c r="CB49" s="20">
        <f t="shared" si="10"/>
        <v>400.11777275179594</v>
      </c>
      <c r="CC49" s="57">
        <f t="shared" si="11"/>
        <v>693.45110608512925</v>
      </c>
      <c r="CD49" s="57">
        <f ca="1">AVERAGE(OFFSET($CC$3,0,0,'Données projet'!$E$12+1,1))-AVERAGE(OFFSET($H$3,0,0,'Données projet'!$E$12+1,1))</f>
        <v>259.64096626089821</v>
      </c>
      <c r="CE49" s="57">
        <f t="shared" si="40"/>
        <v>258.1415293081597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16.701961691744874</v>
      </c>
      <c r="CL49" s="21">
        <f>EXP(-LN(2)/25)*CL48+(1-EXP(-LN(2)/25))/(LN(2)/25)*Calculateur!CG49*Calculateur!CI49*VLOOKUP('Données projet'!$B$12,Paramètres!$A$1:$I$89,3,0)*0.475*44/12</f>
        <v>20.704722589711864</v>
      </c>
      <c r="CM49" s="21">
        <f>EXP(-LN(2)/2)*CM48+(1-EXP(-LN(2)/2))/(LN(2)/2)*CG49*CJ49*VLOOKUP('Données projet'!$B$12,Paramètres!$A$1:$I$89,3,0)*0.475*44/12</f>
        <v>2.358077682918708</v>
      </c>
      <c r="CN49" s="22">
        <f t="shared" si="12"/>
        <v>39.764761964375438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8.1999999999999993</v>
      </c>
      <c r="CT49" s="12">
        <f>IF('Données projet'!$A$140&gt;35,CT48+CS49-DB48,IF(A49&lt;'Données projet'!$A$140,$CQ$205^A49,IF(A49='Données projet'!$A$140,'Données projet'!$B$140,CT48+CS49-DB48)))</f>
        <v>145.20000000000007</v>
      </c>
      <c r="CU49" s="17">
        <f>CT49*VLOOKUP('Données projet'!$B$13,Paramètres!$A$1:$I$89,3,0)*VLOOKUP('Données projet'!$B$13,Paramètres!$A$1:$I$89,5,0)</f>
        <v>156.29328000000007</v>
      </c>
      <c r="CV49" s="13">
        <f t="shared" si="41"/>
        <v>40.005317247308959</v>
      </c>
      <c r="CW49" s="20">
        <f t="shared" si="13"/>
        <v>341.88672353906321</v>
      </c>
      <c r="CX49" s="57">
        <f t="shared" si="14"/>
        <v>635.22005687239653</v>
      </c>
      <c r="CY49" s="57">
        <f ca="1">AVERAGE(OFFSET($CX$3,0,0,'Données projet'!$E$13+1,1))-AVERAGE(OFFSET($H$3,0,0,'Données projet'!$E$13+1,1))</f>
        <v>436.59978658837537</v>
      </c>
      <c r="CZ49" s="57">
        <f t="shared" si="42"/>
        <v>267.2998309535638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4.0151115472171082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4.0151115472171082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5.6</v>
      </c>
      <c r="DO49" s="12">
        <f>IF('Données projet'!$A$166&gt;35,DO48+DN49-DW48,IF(A49&lt;'Données projet'!$A$166,$DL$205^A49,IF(A49='Données projet'!$A$166,'Données projet'!$B$166,DO48+DN49-DW48)))</f>
        <v>98.59999999999998</v>
      </c>
      <c r="DP49" s="17">
        <f>DO49*VLOOKUP('Données projet'!$B$14,Paramètres!$A$1:$I$89,3,0)*VLOOKUP('Données projet'!$B$14,Paramètres!$A$1:$I$89,5,0)</f>
        <v>93.827759999999984</v>
      </c>
      <c r="DQ49" s="13">
        <f t="shared" si="43"/>
        <v>25.486138814422123</v>
      </c>
      <c r="DR49" s="20">
        <f t="shared" si="16"/>
        <v>207.80504043511849</v>
      </c>
      <c r="DS49" s="57">
        <f t="shared" si="17"/>
        <v>501.1383737684518</v>
      </c>
      <c r="DT49" s="57">
        <f ca="1">AVERAGE(OFFSET($DS$3,0,0,'Données projet'!$E$14+1,1))-AVERAGE(OFFSET($H$3,0,0,'Données projet'!$E$14+1,1))</f>
        <v>292.95981568144879</v>
      </c>
      <c r="DU49" s="57">
        <f t="shared" si="44"/>
        <v>152.23954167722536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2.3663942452197464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2.3663942452197464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7" t="e">
        <f t="shared" si="20"/>
        <v>#N/A</v>
      </c>
      <c r="EO49" s="57" t="e">
        <f ca="1">AVERAGE(OFFSET($EN$3,0,0,'Données projet'!$E$15+1,1))-AVERAGE(OFFSET($H$3,0,0,'Données projet'!$E$15+1,1))</f>
        <v>#N/A</v>
      </c>
      <c r="EP49" s="57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7" t="e">
        <f t="shared" si="23"/>
        <v>#N/A</v>
      </c>
      <c r="FJ49" s="57" t="e">
        <f ca="1">AVERAGE(OFFSET($FI$3,0,0,'Données projet'!$E$16+1,1))-AVERAGE(OFFSET($H$3,0,0,'Données projet'!$E$16+1,1))</f>
        <v>#N/A</v>
      </c>
      <c r="FK49" s="57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7" t="e">
        <f t="shared" si="26"/>
        <v>#N/A</v>
      </c>
      <c r="GE49" s="57" t="e">
        <f ca="1">AVERAGE(OFFSET($GD$3,0,0,'Données projet'!$E$17+1,1))-AVERAGE(OFFSET($H$3,0,0,'Données projet'!$E$17+1,1))</f>
        <v>#N/A</v>
      </c>
      <c r="GF49" s="57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7" t="e">
        <f t="shared" si="29"/>
        <v>#N/A</v>
      </c>
      <c r="GZ49" s="57" t="e">
        <f ca="1">AVERAGE(OFFSET($GY$3,0,0,'Données projet'!$E$18+1,1))-AVERAGE(OFFSET($H$3,0,0,'Données projet'!$E$18+1,1))</f>
        <v>#N/A</v>
      </c>
      <c r="HA49" s="57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1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5">
        <f t="shared" si="1"/>
        <v>256.66666666666669</v>
      </c>
      <c r="I50" s="6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153.40000000000006</v>
      </c>
      <c r="O50" s="13">
        <f>N50*VLOOKUP('Données projet'!$B$9,Paramètres!$A$1:$I$89,3,0)*VLOOKUP('Données projet'!$B$9,Paramètres!$A$1:$I$89,5,0)</f>
        <v>138.79632000000007</v>
      </c>
      <c r="P50" s="13">
        <f t="shared" si="33"/>
        <v>36.021120886354588</v>
      </c>
      <c r="Q50" s="20">
        <f t="shared" si="53"/>
        <v>304.47370954373434</v>
      </c>
      <c r="R50" s="57">
        <f t="shared" si="0"/>
        <v>597.80704287706772</v>
      </c>
      <c r="S50" s="57">
        <f ca="1">AVERAGE(OFFSET($R$3,0,0,'Données projet'!$E$9+1,1))-AVERAGE(OFFSET($H$3,0,0,'Données projet'!$E$9+1,1))</f>
        <v>373.45926089889866</v>
      </c>
      <c r="T50" s="57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3.3088391914150681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3.3088391914150681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153.40000000000006</v>
      </c>
      <c r="AJ50" s="13">
        <f>AI50*VLOOKUP('Données projet'!$B$10,Paramètres!$A$1:$I$89,3,0)*VLOOKUP('Données projet'!$B$10,Paramètres!$A$1:$I$89,5,0)</f>
        <v>145.97544000000008</v>
      </c>
      <c r="AK50" s="13">
        <f t="shared" si="35"/>
        <v>37.662547285900722</v>
      </c>
      <c r="AL50" s="20">
        <f t="shared" si="4"/>
        <v>319.83616118961055</v>
      </c>
      <c r="AM50" s="57">
        <f t="shared" si="5"/>
        <v>613.16949452294386</v>
      </c>
      <c r="AN50" s="57">
        <f ca="1">AVERAGE(OFFSET($AM$3,0,0,'Données projet'!$E$10+1,1))-AVERAGE(OFFSET($H$3,0,0,'Données projet'!$E$10+1,1))</f>
        <v>390.70240761116355</v>
      </c>
      <c r="AO50" s="57">
        <f t="shared" si="36"/>
        <v>241.18285512887638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3.4799860461434347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3.4799860461434347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153.40000000000006</v>
      </c>
      <c r="BE50" s="13">
        <f>BD50*VLOOKUP('Données projet'!$B$11,Paramètres!$A$1:$I$89,3,0)*VLOOKUP('Données projet'!$B$11,Paramètres!$A$1:$I$89,5,0)</f>
        <v>148.36848000000006</v>
      </c>
      <c r="BF50" s="13">
        <f t="shared" si="37"/>
        <v>38.207581183185937</v>
      </c>
      <c r="BG50" s="20">
        <f t="shared" si="7"/>
        <v>324.95330656071559</v>
      </c>
      <c r="BH50" s="57">
        <f t="shared" si="8"/>
        <v>618.2866398940489</v>
      </c>
      <c r="BI50" s="57">
        <f ca="1">AVERAGE(OFFSET($BH$3,0,0,'Données projet'!$E$11+1,1))-AVERAGE(OFFSET($H$3,0,0,'Données projet'!$E$11+1,1))</f>
        <v>396.44612884768748</v>
      </c>
      <c r="BJ50" s="57">
        <f t="shared" si="38"/>
        <v>244.451492444461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3.5370349977195561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3.5370349977195561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15.725555555555552</v>
      </c>
      <c r="BY50" s="12">
        <f>IF('Données projet'!$A$114&gt;35,BY49+BX50-CG49,IF(A50&lt;'Données projet'!$A$114,$BV$205^A50,IF(A50='Données projet'!$A$114,'Données projet'!$B$114,BY49+BX50-CG49)))</f>
        <v>322.76333333333343</v>
      </c>
      <c r="BZ50" s="13">
        <f>BY50*VLOOKUP('Données projet'!$B$12,Paramètres!$A$1:$I$89,3,0)*VLOOKUP('Données projet'!$B$12,Paramètres!$A$1:$I$89,5,0)</f>
        <v>193.01247333333342</v>
      </c>
      <c r="CA50" s="13">
        <f t="shared" si="39"/>
        <v>48.205356952003662</v>
      </c>
      <c r="CB50" s="20">
        <f t="shared" si="10"/>
        <v>420.12105441362866</v>
      </c>
      <c r="CC50" s="57">
        <f t="shared" si="11"/>
        <v>713.45438774696197</v>
      </c>
      <c r="CD50" s="57">
        <f ca="1">AVERAGE(OFFSET($CC$3,0,0,'Données projet'!$E$12+1,1))-AVERAGE(OFFSET($H$3,0,0,'Données projet'!$E$12+1,1))</f>
        <v>259.64096626089821</v>
      </c>
      <c r="CE50" s="57">
        <f t="shared" si="40"/>
        <v>258.1415293081597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16.374446410160488</v>
      </c>
      <c r="CL50" s="21">
        <f>EXP(-LN(2)/25)*CL49+(1-EXP(-LN(2)/25))/(LN(2)/25)*Calculateur!CG50*Calculateur!CI50*VLOOKUP('Données projet'!$B$12,Paramètres!$A$1:$I$89,3,0)*0.475*44/12</f>
        <v>20.138550861682152</v>
      </c>
      <c r="CM50" s="21">
        <f>EXP(-LN(2)/2)*CM49+(1-EXP(-LN(2)/2))/(LN(2)/2)*CG50*CJ50*VLOOKUP('Données projet'!$B$12,Paramètres!$A$1:$I$89,3,0)*0.475*44/12</f>
        <v>1.6674127201564799</v>
      </c>
      <c r="CN50" s="22">
        <f t="shared" si="12"/>
        <v>38.180409991999113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8.1999999999999993</v>
      </c>
      <c r="CT50" s="12">
        <f>IF('Données projet'!$A$140&gt;35,CT49+CS50-DB49,IF(A50&lt;'Données projet'!$A$140,$CQ$205^A50,IF(A50='Données projet'!$A$140,'Données projet'!$B$140,CT49+CS50-DB49)))</f>
        <v>153.40000000000006</v>
      </c>
      <c r="CU50" s="17">
        <f>CT50*VLOOKUP('Données projet'!$B$13,Paramètres!$A$1:$I$89,3,0)*VLOOKUP('Données projet'!$B$13,Paramètres!$A$1:$I$89,5,0)</f>
        <v>165.11976000000004</v>
      </c>
      <c r="CV50" s="13">
        <f t="shared" si="41"/>
        <v>41.995166194425131</v>
      </c>
      <c r="CW50" s="20">
        <f t="shared" si="13"/>
        <v>360.72516312195717</v>
      </c>
      <c r="CX50" s="57">
        <f t="shared" si="14"/>
        <v>654.05849645529042</v>
      </c>
      <c r="CY50" s="57">
        <f ca="1">AVERAGE(OFFSET($CX$3,0,0,'Données projet'!$E$13+1,1))-AVERAGE(OFFSET($H$3,0,0,'Données projet'!$E$13+1,1))</f>
        <v>436.59978658837537</v>
      </c>
      <c r="CZ50" s="57">
        <f t="shared" si="42"/>
        <v>267.2998309535638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3.936377658752408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3.936377658752408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5.6</v>
      </c>
      <c r="DO50" s="12">
        <f>IF('Données projet'!$A$166&gt;35,DO49+DN50-DW49,IF(A50&lt;'Données projet'!$A$166,$DL$205^A50,IF(A50='Données projet'!$A$166,'Données projet'!$B$166,DO49+DN50-DW49)))</f>
        <v>104.19999999999997</v>
      </c>
      <c r="DP50" s="17">
        <f>DO50*VLOOKUP('Données projet'!$B$14,Paramètres!$A$1:$I$89,3,0)*VLOOKUP('Données projet'!$B$14,Paramètres!$A$1:$I$89,5,0)</f>
        <v>99.156719999999979</v>
      </c>
      <c r="DQ50" s="13">
        <f t="shared" si="43"/>
        <v>26.7609988066732</v>
      </c>
      <c r="DR50" s="20">
        <f t="shared" si="16"/>
        <v>219.30669358828911</v>
      </c>
      <c r="DS50" s="57">
        <f t="shared" si="17"/>
        <v>512.64002692162239</v>
      </c>
      <c r="DT50" s="57">
        <f ca="1">AVERAGE(OFFSET($DS$3,0,0,'Données projet'!$E$14+1,1))-AVERAGE(OFFSET($H$3,0,0,'Données projet'!$E$14+1,1))</f>
        <v>292.95981568144879</v>
      </c>
      <c r="DU50" s="57">
        <f t="shared" si="44"/>
        <v>152.23954167722536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2.319990697428957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2.319990697428957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7" t="e">
        <f t="shared" si="20"/>
        <v>#N/A</v>
      </c>
      <c r="EO50" s="57" t="e">
        <f ca="1">AVERAGE(OFFSET($EN$3,0,0,'Données projet'!$E$15+1,1))-AVERAGE(OFFSET($H$3,0,0,'Données projet'!$E$15+1,1))</f>
        <v>#N/A</v>
      </c>
      <c r="EP50" s="57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7" t="e">
        <f t="shared" si="23"/>
        <v>#N/A</v>
      </c>
      <c r="FJ50" s="57" t="e">
        <f ca="1">AVERAGE(OFFSET($FI$3,0,0,'Données projet'!$E$16+1,1))-AVERAGE(OFFSET($H$3,0,0,'Données projet'!$E$16+1,1))</f>
        <v>#N/A</v>
      </c>
      <c r="FK50" s="57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7" t="e">
        <f t="shared" si="26"/>
        <v>#N/A</v>
      </c>
      <c r="GE50" s="57" t="e">
        <f ca="1">AVERAGE(OFFSET($GD$3,0,0,'Données projet'!$E$17+1,1))-AVERAGE(OFFSET($H$3,0,0,'Données projet'!$E$17+1,1))</f>
        <v>#N/A</v>
      </c>
      <c r="GF50" s="57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7" t="e">
        <f t="shared" si="29"/>
        <v>#N/A</v>
      </c>
      <c r="GZ50" s="57" t="e">
        <f ca="1">AVERAGE(OFFSET($GY$3,0,0,'Données projet'!$E$18+1,1))-AVERAGE(OFFSET($H$3,0,0,'Données projet'!$E$18+1,1))</f>
        <v>#N/A</v>
      </c>
      <c r="HA50" s="57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1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5">
        <f t="shared" si="1"/>
        <v>256.66666666666669</v>
      </c>
      <c r="I51" s="6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161.60000000000005</v>
      </c>
      <c r="O51" s="13">
        <f>N51*VLOOKUP('Données projet'!$B$9,Paramètres!$A$1:$I$89,3,0)*VLOOKUP('Données projet'!$B$9,Paramètres!$A$1:$I$89,5,0)</f>
        <v>146.21568000000005</v>
      </c>
      <c r="P51" s="13">
        <f t="shared" si="33"/>
        <v>37.717310552893402</v>
      </c>
      <c r="Q51" s="20">
        <f t="shared" si="53"/>
        <v>320.34995854628943</v>
      </c>
      <c r="R51" s="57">
        <f t="shared" si="0"/>
        <v>613.68329187962274</v>
      </c>
      <c r="S51" s="57">
        <f ca="1">AVERAGE(OFFSET($R$3,0,0,'Données projet'!$E$9+1,1))-AVERAGE(OFFSET($H$3,0,0,'Données projet'!$E$9+1,1))</f>
        <v>373.45926089889866</v>
      </c>
      <c r="T51" s="57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3.2439548730640455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3.2439548730640455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161.60000000000005</v>
      </c>
      <c r="AJ51" s="13">
        <f>AI51*VLOOKUP('Données projet'!$B$10,Paramètres!$A$1:$I$89,3,0)*VLOOKUP('Données projet'!$B$10,Paramètres!$A$1:$I$89,5,0)</f>
        <v>153.77856000000006</v>
      </c>
      <c r="AK51" s="13">
        <f t="shared" si="35"/>
        <v>39.436029674841947</v>
      </c>
      <c r="AL51" s="20">
        <f t="shared" si="4"/>
        <v>336.51541035034978</v>
      </c>
      <c r="AM51" s="57">
        <f t="shared" si="5"/>
        <v>629.8487436836831</v>
      </c>
      <c r="AN51" s="57">
        <f ca="1">AVERAGE(OFFSET($AM$3,0,0,'Données projet'!$E$10+1,1))-AVERAGE(OFFSET($H$3,0,0,'Données projet'!$E$10+1,1))</f>
        <v>390.70240761116355</v>
      </c>
      <c r="AO51" s="57">
        <f t="shared" si="36"/>
        <v>241.18285512887638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3.4117456423604624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3.4117456423604624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161.60000000000005</v>
      </c>
      <c r="BE51" s="13">
        <f>BD51*VLOOKUP('Données projet'!$B$11,Paramètres!$A$1:$I$89,3,0)*VLOOKUP('Données projet'!$B$11,Paramètres!$A$1:$I$89,5,0)</f>
        <v>156.29952000000006</v>
      </c>
      <c r="BF51" s="13">
        <f t="shared" si="37"/>
        <v>40.006728538728431</v>
      </c>
      <c r="BG51" s="20">
        <f t="shared" si="7"/>
        <v>341.90004953828543</v>
      </c>
      <c r="BH51" s="57">
        <f t="shared" si="8"/>
        <v>635.23338287161869</v>
      </c>
      <c r="BI51" s="57">
        <f ca="1">AVERAGE(OFFSET($BH$3,0,0,'Données projet'!$E$11+1,1))-AVERAGE(OFFSET($H$3,0,0,'Données projet'!$E$11+1,1))</f>
        <v>396.44612884768748</v>
      </c>
      <c r="BJ51" s="57">
        <f t="shared" si="38"/>
        <v>244.451492444461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3.4676758987926006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3.4676758987926006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15.725555555555552</v>
      </c>
      <c r="BY51" s="12">
        <f>IF('Données projet'!$A$114&gt;35,BY50+BX51-CG50,IF(A51&lt;'Données projet'!$A$114,$BV$205^A51,IF(A51='Données projet'!$A$114,'Données projet'!$B$114,BY50+BX51-CG50)))</f>
        <v>338.48888888888899</v>
      </c>
      <c r="BZ51" s="13">
        <f>BY51*VLOOKUP('Données projet'!$B$12,Paramètres!$A$1:$I$89,3,0)*VLOOKUP('Données projet'!$B$12,Paramètres!$A$1:$I$89,5,0)</f>
        <v>202.41635555555564</v>
      </c>
      <c r="CA51" s="13">
        <f t="shared" si="39"/>
        <v>50.274837801805468</v>
      </c>
      <c r="CB51" s="20">
        <f t="shared" si="10"/>
        <v>440.10382843073722</v>
      </c>
      <c r="CC51" s="57">
        <f t="shared" si="11"/>
        <v>733.43716176407054</v>
      </c>
      <c r="CD51" s="57">
        <f ca="1">AVERAGE(OFFSET($CC$3,0,0,'Données projet'!$E$12+1,1))-AVERAGE(OFFSET($H$3,0,0,'Données projet'!$E$12+1,1))</f>
        <v>259.64096626089821</v>
      </c>
      <c r="CE51" s="57">
        <f t="shared" si="40"/>
        <v>258.1415293081597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16.053353503483375</v>
      </c>
      <c r="CL51" s="21">
        <f>EXP(-LN(2)/25)*CL50+(1-EXP(-LN(2)/25))/(LN(2)/25)*Calculateur!CG51*Calculateur!CI51*VLOOKUP('Données projet'!$B$12,Paramètres!$A$1:$I$89,3,0)*0.475*44/12</f>
        <v>19.587861129329092</v>
      </c>
      <c r="CM51" s="21">
        <f>EXP(-LN(2)/2)*CM50+(1-EXP(-LN(2)/2))/(LN(2)/2)*CG51*CJ51*VLOOKUP('Données projet'!$B$12,Paramètres!$A$1:$I$89,3,0)*0.475*44/12</f>
        <v>1.179038841459354</v>
      </c>
      <c r="CN51" s="22">
        <f t="shared" si="12"/>
        <v>36.820253474271816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8.1999999999999993</v>
      </c>
      <c r="CT51" s="12">
        <f>IF('Données projet'!$A$140&gt;35,CT50+CS51-DB50,IF(A51&lt;'Données projet'!$A$140,$CQ$205^A51,IF(A51='Données projet'!$A$140,'Données projet'!$B$140,CT50+CS51-DB50)))</f>
        <v>161.60000000000005</v>
      </c>
      <c r="CU51" s="17">
        <f>CT51*VLOOKUP('Données projet'!$B$13,Paramètres!$A$1:$I$89,3,0)*VLOOKUP('Données projet'!$B$13,Paramètres!$A$1:$I$89,5,0)</f>
        <v>173.94624000000005</v>
      </c>
      <c r="CV51" s="13">
        <f t="shared" si="41"/>
        <v>43.972666205274265</v>
      </c>
      <c r="CW51" s="20">
        <f t="shared" si="13"/>
        <v>379.54209497418606</v>
      </c>
      <c r="CX51" s="57">
        <f t="shared" si="14"/>
        <v>672.87542830751931</v>
      </c>
      <c r="CY51" s="57">
        <f ca="1">AVERAGE(OFFSET($CX$3,0,0,'Données projet'!$E$13+1,1))-AVERAGE(OFFSET($H$3,0,0,'Données projet'!$E$13+1,1))</f>
        <v>436.59978658837537</v>
      </c>
      <c r="CZ51" s="57">
        <f t="shared" si="42"/>
        <v>267.2998309535638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3.8591876938175704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3.8591876938175704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5.6</v>
      </c>
      <c r="DO51" s="12">
        <f>IF('Données projet'!$A$166&gt;35,DO50+DN51-DW50,IF(A51&lt;'Données projet'!$A$166,$DL$205^A51,IF(A51='Données projet'!$A$166,'Données projet'!$B$166,DO50+DN51-DW50)))</f>
        <v>109.79999999999997</v>
      </c>
      <c r="DP51" s="17">
        <f>DO51*VLOOKUP('Données projet'!$B$14,Paramètres!$A$1:$I$89,3,0)*VLOOKUP('Données projet'!$B$14,Paramètres!$A$1:$I$89,5,0)</f>
        <v>104.48567999999997</v>
      </c>
      <c r="DQ51" s="13">
        <f t="shared" si="43"/>
        <v>28.027904556241349</v>
      </c>
      <c r="DR51" s="20">
        <f t="shared" si="16"/>
        <v>230.7944931021203</v>
      </c>
      <c r="DS51" s="57">
        <f t="shared" si="17"/>
        <v>524.12782643545358</v>
      </c>
      <c r="DT51" s="57">
        <f ca="1">AVERAGE(OFFSET($DS$3,0,0,'Données projet'!$E$14+1,1))-AVERAGE(OFFSET($H$3,0,0,'Données projet'!$E$14+1,1))</f>
        <v>292.95981568144879</v>
      </c>
      <c r="DU51" s="57">
        <f t="shared" si="44"/>
        <v>152.23954167722536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2.2744970949069754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2.2744970949069754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7" t="e">
        <f t="shared" si="20"/>
        <v>#N/A</v>
      </c>
      <c r="EO51" s="57" t="e">
        <f ca="1">AVERAGE(OFFSET($EN$3,0,0,'Données projet'!$E$15+1,1))-AVERAGE(OFFSET($H$3,0,0,'Données projet'!$E$15+1,1))</f>
        <v>#N/A</v>
      </c>
      <c r="EP51" s="57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7" t="e">
        <f t="shared" si="23"/>
        <v>#N/A</v>
      </c>
      <c r="FJ51" s="57" t="e">
        <f ca="1">AVERAGE(OFFSET($FI$3,0,0,'Données projet'!$E$16+1,1))-AVERAGE(OFFSET($H$3,0,0,'Données projet'!$E$16+1,1))</f>
        <v>#N/A</v>
      </c>
      <c r="FK51" s="57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7" t="e">
        <f t="shared" si="26"/>
        <v>#N/A</v>
      </c>
      <c r="GE51" s="57" t="e">
        <f ca="1">AVERAGE(OFFSET($GD$3,0,0,'Données projet'!$E$17+1,1))-AVERAGE(OFFSET($H$3,0,0,'Données projet'!$E$17+1,1))</f>
        <v>#N/A</v>
      </c>
      <c r="GF51" s="57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7" t="e">
        <f t="shared" si="29"/>
        <v>#N/A</v>
      </c>
      <c r="GZ51" s="57" t="e">
        <f ca="1">AVERAGE(OFFSET($GY$3,0,0,'Données projet'!$E$18+1,1))-AVERAGE(OFFSET($H$3,0,0,'Données projet'!$E$18+1,1))</f>
        <v>#N/A</v>
      </c>
      <c r="HA51" s="57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1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5">
        <f t="shared" si="1"/>
        <v>256.66666666666669</v>
      </c>
      <c r="I52" s="6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169.80000000000004</v>
      </c>
      <c r="O52" s="13">
        <f>N52*VLOOKUP('Données projet'!$B$9,Paramètres!$A$1:$I$89,3,0)*VLOOKUP('Données projet'!$B$9,Paramètres!$A$1:$I$89,5,0)</f>
        <v>153.63504000000003</v>
      </c>
      <c r="P52" s="13">
        <f t="shared" si="33"/>
        <v>39.403506785222667</v>
      </c>
      <c r="Q52" s="20">
        <f t="shared" si="53"/>
        <v>336.20880231759622</v>
      </c>
      <c r="R52" s="57">
        <f t="shared" si="0"/>
        <v>629.54213565092959</v>
      </c>
      <c r="S52" s="57">
        <f ca="1">AVERAGE(OFFSET($R$3,0,0,'Données projet'!$E$9+1,1))-AVERAGE(OFFSET($H$3,0,0,'Données projet'!$E$9+1,1))</f>
        <v>373.45926089889866</v>
      </c>
      <c r="T52" s="57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3.1803428966203597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3.1803428966203597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169.80000000000004</v>
      </c>
      <c r="AJ52" s="13">
        <f>AI52*VLOOKUP('Données projet'!$B$10,Paramètres!$A$1:$I$89,3,0)*VLOOKUP('Données projet'!$B$10,Paramètres!$A$1:$I$89,5,0)</f>
        <v>161.58168000000003</v>
      </c>
      <c r="AK52" s="13">
        <f t="shared" si="35"/>
        <v>41.199063244334951</v>
      </c>
      <c r="AL52" s="20">
        <f t="shared" si="4"/>
        <v>353.17646115055004</v>
      </c>
      <c r="AM52" s="57">
        <f t="shared" si="5"/>
        <v>646.5097944838833</v>
      </c>
      <c r="AN52" s="57">
        <f ca="1">AVERAGE(OFFSET($AM$3,0,0,'Données projet'!$E$10+1,1))-AVERAGE(OFFSET($H$3,0,0,'Données projet'!$E$10+1,1))</f>
        <v>390.70240761116355</v>
      </c>
      <c r="AO52" s="57">
        <f t="shared" si="36"/>
        <v>241.18285512887638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3.3448433912731379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3.3448433912731379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169.80000000000004</v>
      </c>
      <c r="BE52" s="13">
        <f>BD52*VLOOKUP('Données projet'!$B$11,Paramètres!$A$1:$I$89,3,0)*VLOOKUP('Données projet'!$B$11,Paramètres!$A$1:$I$89,5,0)</f>
        <v>164.23056000000005</v>
      </c>
      <c r="BF52" s="13">
        <f t="shared" si="37"/>
        <v>41.795275864636551</v>
      </c>
      <c r="BG52" s="20">
        <f t="shared" si="7"/>
        <v>358.82833079757546</v>
      </c>
      <c r="BH52" s="57">
        <f t="shared" si="8"/>
        <v>652.16166413090878</v>
      </c>
      <c r="BI52" s="57">
        <f ca="1">AVERAGE(OFFSET($BH$3,0,0,'Données projet'!$E$11+1,1))-AVERAGE(OFFSET($H$3,0,0,'Données projet'!$E$11+1,1))</f>
        <v>396.44612884768748</v>
      </c>
      <c r="BJ52" s="57">
        <f t="shared" si="38"/>
        <v>244.451492444461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3.3996768894907299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3.3996768894907299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15.725555555555552</v>
      </c>
      <c r="BY52" s="12">
        <f>IF('Données projet'!$A$114&gt;35,BY51+BX52-CG51,IF(A52&lt;'Données projet'!$A$114,$BV$205^A52,IF(A52='Données projet'!$A$114,'Données projet'!$B$114,BY51+BX52-CG51)))</f>
        <v>354.21444444444455</v>
      </c>
      <c r="BZ52" s="13">
        <f>BY52*VLOOKUP('Données projet'!$B$12,Paramètres!$A$1:$I$89,3,0)*VLOOKUP('Données projet'!$B$12,Paramètres!$A$1:$I$89,5,0)</f>
        <v>211.82023777777783</v>
      </c>
      <c r="CA52" s="13">
        <f t="shared" si="39"/>
        <v>52.333153433287507</v>
      </c>
      <c r="CB52" s="20">
        <f t="shared" si="10"/>
        <v>460.06715635927213</v>
      </c>
      <c r="CC52" s="57">
        <f t="shared" si="11"/>
        <v>753.40048969260545</v>
      </c>
      <c r="CD52" s="57">
        <f ca="1">AVERAGE(OFFSET($CC$3,0,0,'Données projet'!$E$12+1,1))-AVERAGE(OFFSET($H$3,0,0,'Données projet'!$E$12+1,1))</f>
        <v>259.64096626089821</v>
      </c>
      <c r="CE52" s="57">
        <f t="shared" si="40"/>
        <v>258.1415293081597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15.738557032858866</v>
      </c>
      <c r="CL52" s="21">
        <f>EXP(-LN(2)/25)*CL51+(1-EXP(-LN(2)/25))/(LN(2)/25)*Calculateur!CG52*Calculateur!CI52*VLOOKUP('Données projet'!$B$12,Paramètres!$A$1:$I$89,3,0)*0.475*44/12</f>
        <v>19.052230036666739</v>
      </c>
      <c r="CM52" s="21">
        <f>EXP(-LN(2)/2)*CM51+(1-EXP(-LN(2)/2))/(LN(2)/2)*CG52*CJ52*VLOOKUP('Données projet'!$B$12,Paramètres!$A$1:$I$89,3,0)*0.475*44/12</f>
        <v>0.83370636007823995</v>
      </c>
      <c r="CN52" s="22">
        <f t="shared" si="12"/>
        <v>35.624493429603845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8.1999999999999993</v>
      </c>
      <c r="CT52" s="12">
        <f>IF('Données projet'!$A$140&gt;35,CT51+CS52-DB51,IF(A52&lt;'Données projet'!$A$140,$CQ$205^A52,IF(A52='Données projet'!$A$140,'Données projet'!$B$140,CT51+CS52-DB51)))</f>
        <v>169.80000000000004</v>
      </c>
      <c r="CU52" s="17">
        <f>CT52*VLOOKUP('Données projet'!$B$13,Paramètres!$A$1:$I$89,3,0)*VLOOKUP('Données projet'!$B$13,Paramètres!$A$1:$I$89,5,0)</f>
        <v>182.77272000000005</v>
      </c>
      <c r="CV52" s="13">
        <f t="shared" si="41"/>
        <v>45.938515386827838</v>
      </c>
      <c r="CW52" s="20">
        <f t="shared" si="13"/>
        <v>398.33873496539189</v>
      </c>
      <c r="CX52" s="57">
        <f t="shared" si="14"/>
        <v>691.67206829872521</v>
      </c>
      <c r="CY52" s="57">
        <f ca="1">AVERAGE(OFFSET($CX$3,0,0,'Données projet'!$E$13+1,1))-AVERAGE(OFFSET($H$3,0,0,'Données projet'!$E$13+1,1))</f>
        <v>436.59978658837537</v>
      </c>
      <c r="CZ52" s="57">
        <f t="shared" si="42"/>
        <v>267.2998309535638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3.7835113770138755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3.7835113770138755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5.6</v>
      </c>
      <c r="DO52" s="12">
        <f>IF('Données projet'!$A$166&gt;35,DO51+DN52-DW51,IF(A52&lt;'Données projet'!$A$166,$DL$205^A52,IF(A52='Données projet'!$A$166,'Données projet'!$B$166,DO51+DN52-DW51)))</f>
        <v>115.39999999999996</v>
      </c>
      <c r="DP52" s="17">
        <f>DO52*VLOOKUP('Données projet'!$B$14,Paramètres!$A$1:$I$89,3,0)*VLOOKUP('Données projet'!$B$14,Paramètres!$A$1:$I$89,5,0)</f>
        <v>109.81463999999997</v>
      </c>
      <c r="DQ52" s="13">
        <f t="shared" si="43"/>
        <v>29.287308025077461</v>
      </c>
      <c r="DR52" s="20">
        <f t="shared" si="16"/>
        <v>242.26922614367652</v>
      </c>
      <c r="DS52" s="57">
        <f t="shared" si="17"/>
        <v>535.60255947700989</v>
      </c>
      <c r="DT52" s="57">
        <f ca="1">AVERAGE(OFFSET($DS$3,0,0,'Données projet'!$E$14+1,1))-AVERAGE(OFFSET($H$3,0,0,'Données projet'!$E$14+1,1))</f>
        <v>292.95981568144879</v>
      </c>
      <c r="DU52" s="57">
        <f t="shared" si="44"/>
        <v>152.23954167722536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2.2298955941820924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2.2298955941820924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7" t="e">
        <f t="shared" si="20"/>
        <v>#N/A</v>
      </c>
      <c r="EO52" s="57" t="e">
        <f ca="1">AVERAGE(OFFSET($EN$3,0,0,'Données projet'!$E$15+1,1))-AVERAGE(OFFSET($H$3,0,0,'Données projet'!$E$15+1,1))</f>
        <v>#N/A</v>
      </c>
      <c r="EP52" s="57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7" t="e">
        <f t="shared" si="23"/>
        <v>#N/A</v>
      </c>
      <c r="FJ52" s="57" t="e">
        <f ca="1">AVERAGE(OFFSET($FI$3,0,0,'Données projet'!$E$16+1,1))-AVERAGE(OFFSET($H$3,0,0,'Données projet'!$E$16+1,1))</f>
        <v>#N/A</v>
      </c>
      <c r="FK52" s="57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7" t="e">
        <f t="shared" si="26"/>
        <v>#N/A</v>
      </c>
      <c r="GE52" s="57" t="e">
        <f ca="1">AVERAGE(OFFSET($GD$3,0,0,'Données projet'!$E$17+1,1))-AVERAGE(OFFSET($H$3,0,0,'Données projet'!$E$17+1,1))</f>
        <v>#N/A</v>
      </c>
      <c r="GF52" s="57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7" t="e">
        <f t="shared" si="29"/>
        <v>#N/A</v>
      </c>
      <c r="GZ52" s="57" t="e">
        <f ca="1">AVERAGE(OFFSET($GY$3,0,0,'Données projet'!$E$18+1,1))-AVERAGE(OFFSET($H$3,0,0,'Données projet'!$E$18+1,1))</f>
        <v>#N/A</v>
      </c>
      <c r="HA52" s="57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1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5">
        <f t="shared" si="1"/>
        <v>256.66666666666669</v>
      </c>
      <c r="I53" s="6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178.00000000000003</v>
      </c>
      <c r="O53" s="13">
        <f>N53*VLOOKUP('Données projet'!$B$9,Paramètres!$A$1:$I$89,3,0)*VLOOKUP('Données projet'!$B$9,Paramètres!$A$1:$I$89,5,0)</f>
        <v>161.05440000000002</v>
      </c>
      <c r="P53" s="13">
        <f t="shared" si="33"/>
        <v>41.080247278685491</v>
      </c>
      <c r="Q53" s="20">
        <f t="shared" si="53"/>
        <v>352.05117734371061</v>
      </c>
      <c r="R53" s="57">
        <f t="shared" si="0"/>
        <v>645.38451067704386</v>
      </c>
      <c r="S53" s="57">
        <f ca="1">AVERAGE(OFFSET($R$3,0,0,'Données projet'!$E$9+1,1))-AVERAGE(OFFSET($H$3,0,0,'Données projet'!$E$9+1,1))</f>
        <v>373.45926089889866</v>
      </c>
      <c r="T53" s="57">
        <f t="shared" si="34"/>
        <v>231.36959598460686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5.8276002970136886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5.8276002970136886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178.00000000000003</v>
      </c>
      <c r="AJ53" s="13">
        <f>AI53*VLOOKUP('Données projet'!$B$10,Paramètres!$A$1:$I$89,3,0)*VLOOKUP('Données projet'!$B$10,Paramètres!$A$1:$I$89,5,0)</f>
        <v>169.38480000000001</v>
      </c>
      <c r="AK53" s="13">
        <f t="shared" si="35"/>
        <v>42.952210191662466</v>
      </c>
      <c r="AL53" s="20">
        <f t="shared" si="4"/>
        <v>369.82029275047876</v>
      </c>
      <c r="AM53" s="57">
        <f t="shared" si="5"/>
        <v>663.15362608381201</v>
      </c>
      <c r="AN53" s="57">
        <f ca="1">AVERAGE(OFFSET($AM$3,0,0,'Données projet'!$E$10+1,1))-AVERAGE(OFFSET($H$3,0,0,'Données projet'!$E$10+1,1))</f>
        <v>390.70240761116355</v>
      </c>
      <c r="AO53" s="57">
        <f t="shared" si="36"/>
        <v>241.18285512887638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6.1290278985833631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6.1290278985833631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178.00000000000003</v>
      </c>
      <c r="BE53" s="13">
        <f>BD53*VLOOKUP('Données projet'!$B$11,Paramètres!$A$1:$I$89,3,0)*VLOOKUP('Données projet'!$B$11,Paramètres!$A$1:$I$89,5,0)</f>
        <v>172.16160000000002</v>
      </c>
      <c r="BF53" s="13">
        <f t="shared" si="37"/>
        <v>43.57379349403616</v>
      </c>
      <c r="BG53" s="20">
        <f t="shared" si="7"/>
        <v>375.73914366877966</v>
      </c>
      <c r="BH53" s="57">
        <f t="shared" si="8"/>
        <v>669.07247700211292</v>
      </c>
      <c r="BI53" s="57">
        <f ca="1">AVERAGE(OFFSET($BH$3,0,0,'Données projet'!$E$11+1,1))-AVERAGE(OFFSET($H$3,0,0,'Données projet'!$E$11+1,1))</f>
        <v>396.44612884768748</v>
      </c>
      <c r="BJ53" s="57">
        <f t="shared" si="38"/>
        <v>244.451492444461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6.2295037657732539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6.2295037657732539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369.94</v>
      </c>
      <c r="BW53" s="12">
        <f>VLOOKUP(A53,'Données projet'!$A$113:$I$133,9,0)</f>
        <v>15.725555555555552</v>
      </c>
      <c r="BX53" s="12">
        <f t="array" ref="BX53">INDEX(BW:BW,MIN(IF(ISNUMBER(BW53:BW249),ROW(BW53:BW249),"")))</f>
        <v>15.725555555555552</v>
      </c>
      <c r="BY53" s="12">
        <f>IF('Données projet'!$A$114&gt;35,BY52+BX53-CG52,IF(A53&lt;'Données projet'!$A$114,$BV$205^A53,IF(A53='Données projet'!$A$114,'Données projet'!$B$114,BY52+BX53-CG52)))</f>
        <v>369.94000000000011</v>
      </c>
      <c r="BZ53" s="13">
        <f>BY53*VLOOKUP('Données projet'!$B$12,Paramètres!$A$1:$I$89,3,0)*VLOOKUP('Données projet'!$B$12,Paramètres!$A$1:$I$89,5,0)</f>
        <v>221.22412000000008</v>
      </c>
      <c r="CA53" s="13">
        <f t="shared" si="39"/>
        <v>54.380856173847832</v>
      </c>
      <c r="CB53" s="20">
        <f t="shared" si="10"/>
        <v>480.01200016945177</v>
      </c>
      <c r="CC53" s="57">
        <f t="shared" si="11"/>
        <v>773.34533350278502</v>
      </c>
      <c r="CD53" s="57">
        <f ca="1">AVERAGE(OFFSET($CC$3,0,0,'Données projet'!$E$12+1,1))-AVERAGE(OFFSET($H$3,0,0,'Données projet'!$E$12+1,1))</f>
        <v>259.64096626089821</v>
      </c>
      <c r="CE53" s="57">
        <f t="shared" si="40"/>
        <v>258.1415293081597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70</v>
      </c>
      <c r="CH53" s="16">
        <f>IF(ISNA(VLOOKUP(A53,'Données projet'!$A$113:$I$133,5,0)),0%,VLOOKUP(A53,'Données projet'!$A$113:$I$133,5,0)*VLOOKUP('Données projet'!$B$12,Paramètres!$A$1:$I$89,7,0))</f>
        <v>0.27</v>
      </c>
      <c r="CI53" s="16">
        <f>IF(ISNA(VLOOKUP(A53,'Données projet'!$A$113:$I$133,6,0)),0%,VLOOKUP(A53,'Données projet'!$A$113:$I$133,6,0)*VLOOKUP('Données projet'!$B$12,Paramètres!$A$1:$I$89,7,0))</f>
        <v>9.9000000000000005E-2</v>
      </c>
      <c r="CJ53" s="16">
        <f>IF(ISNA(VLOOKUP(A53,'Données projet'!$A$113:$I$133,7,0)),0%,VLOOKUP(A53,'Données projet'!$A$113:$I$133,7,0))</f>
        <v>0.18</v>
      </c>
      <c r="CK53" s="21">
        <f>EXP(-LN(2)/35)*CK52+(1-EXP(-LN(2)/35))/(LN(2)/35)*CG53*CH53*VLOOKUP('Données projet'!$B$12,Paramètres!$A$1:$I$89,3,0)*0.475*44/12</f>
        <v>30.423030317285189</v>
      </c>
      <c r="CL53" s="21">
        <f>EXP(-LN(2)/25)*CL52+(1-EXP(-LN(2)/25))/(LN(2)/25)*Calculateur!CG53*Calculateur!CI53*VLOOKUP('Données projet'!$B$12,Paramètres!$A$1:$I$89,3,0)*0.475*44/12</f>
        <v>24.007068997312576</v>
      </c>
      <c r="CM53" s="21">
        <f>EXP(-LN(2)/2)*CM52+(1-EXP(-LN(2)/2))/(LN(2)/2)*CG53*CJ53*VLOOKUP('Données projet'!$B$12,Paramètres!$A$1:$I$89,3,0)*0.475*44/12</f>
        <v>9.1206633361320932</v>
      </c>
      <c r="CN53" s="22">
        <f t="shared" si="12"/>
        <v>63.550762650729865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178</v>
      </c>
      <c r="CR53" s="12">
        <f>VLOOKUP(A53,'Données projet'!$A$139:$I$159,9,0)</f>
        <v>8.1999999999999993</v>
      </c>
      <c r="CS53" s="12">
        <f t="array" ref="CS53">INDEX(CR:CR,MIN(IF(ISNUMBER(CR53:CR249),ROW(CR53:CR249),"")))</f>
        <v>8.1999999999999993</v>
      </c>
      <c r="CT53" s="12">
        <f>IF('Données projet'!$A$140&gt;35,CT52+CS53-DB52,IF(A53&lt;'Données projet'!$A$140,$CQ$205^A53,IF(A53='Données projet'!$A$140,'Données projet'!$B$140,CT52+CS53-DB52)))</f>
        <v>178.00000000000003</v>
      </c>
      <c r="CU53" s="17">
        <f>CT53*VLOOKUP('Données projet'!$B$13,Paramètres!$A$1:$I$89,3,0)*VLOOKUP('Données projet'!$B$13,Paramètres!$A$1:$I$89,5,0)</f>
        <v>191.59920000000002</v>
      </c>
      <c r="CV53" s="13">
        <f t="shared" si="41"/>
        <v>47.893340610341859</v>
      </c>
      <c r="CW53" s="20">
        <f t="shared" si="13"/>
        <v>417.11617489634546</v>
      </c>
      <c r="CX53" s="57">
        <f t="shared" si="14"/>
        <v>710.44950822967871</v>
      </c>
      <c r="CY53" s="57">
        <f ca="1">AVERAGE(OFFSET($CX$3,0,0,'Données projet'!$E$13+1,1))-AVERAGE(OFFSET($H$3,0,0,'Données projet'!$E$13+1,1))</f>
        <v>436.59978658837537</v>
      </c>
      <c r="CZ53" s="57">
        <f t="shared" si="42"/>
        <v>267.2998309535638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6.932834836102491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6.932834836102491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121</v>
      </c>
      <c r="DM53" s="12">
        <f>VLOOKUP(A53,'Données projet'!$A$165:$I$185,9,0)</f>
        <v>5.6</v>
      </c>
      <c r="DN53" s="12">
        <f t="array" ref="DN53">INDEX(DM:DM,MIN(IF(ISNUMBER(DM53:DM249),ROW(DM53:DM249),"")))</f>
        <v>5.6</v>
      </c>
      <c r="DO53" s="12">
        <f>IF('Données projet'!$A$166&gt;35,DO52+DN53-DW52,IF(A53&lt;'Données projet'!$A$166,$DL$205^A53,IF(A53='Données projet'!$A$166,'Données projet'!$B$166,DO52+DN53-DW52)))</f>
        <v>120.99999999999996</v>
      </c>
      <c r="DP53" s="17">
        <f>DO53*VLOOKUP('Données projet'!$B$14,Paramètres!$A$1:$I$89,3,0)*VLOOKUP('Données projet'!$B$14,Paramètres!$A$1:$I$89,5,0)</f>
        <v>115.14359999999996</v>
      </c>
      <c r="DQ53" s="13">
        <f t="shared" si="43"/>
        <v>30.539614832250223</v>
      </c>
      <c r="DR53" s="20">
        <f t="shared" si="16"/>
        <v>253.7315991661691</v>
      </c>
      <c r="DS53" s="57">
        <f t="shared" si="17"/>
        <v>547.06493249950245</v>
      </c>
      <c r="DT53" s="57">
        <f ca="1">AVERAGE(OFFSET($DS$3,0,0,'Données projet'!$E$14+1,1))-AVERAGE(OFFSET($H$3,0,0,'Données projet'!$E$14+1,1))</f>
        <v>292.95981568144879</v>
      </c>
      <c r="DU53" s="57">
        <f t="shared" si="44"/>
        <v>152.23954167722536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14</v>
      </c>
      <c r="DX53" s="16">
        <f>IF(ISNA(VLOOKUP(A53,'Données projet'!$A$165:$I$185,5,0)),0%,VLOOKUP(A53,'Données projet'!$A$165:$I$185,5,0)*VLOOKUP('Données projet'!$B$14,Paramètres!$A$1:$I$89,7,0))</f>
        <v>8.6000000000000007E-2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3.4527352999311161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3.4527352999311161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7" t="e">
        <f t="shared" si="20"/>
        <v>#N/A</v>
      </c>
      <c r="EO53" s="57" t="e">
        <f ca="1">AVERAGE(OFFSET($EN$3,0,0,'Données projet'!$E$15+1,1))-AVERAGE(OFFSET($H$3,0,0,'Données projet'!$E$15+1,1))</f>
        <v>#N/A</v>
      </c>
      <c r="EP53" s="57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7" t="e">
        <f t="shared" si="23"/>
        <v>#N/A</v>
      </c>
      <c r="FJ53" s="57" t="e">
        <f ca="1">AVERAGE(OFFSET($FI$3,0,0,'Données projet'!$E$16+1,1))-AVERAGE(OFFSET($H$3,0,0,'Données projet'!$E$16+1,1))</f>
        <v>#N/A</v>
      </c>
      <c r="FK53" s="57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7" t="e">
        <f t="shared" si="26"/>
        <v>#N/A</v>
      </c>
      <c r="GE53" s="57" t="e">
        <f ca="1">AVERAGE(OFFSET($GD$3,0,0,'Données projet'!$E$17+1,1))-AVERAGE(OFFSET($H$3,0,0,'Données projet'!$E$17+1,1))</f>
        <v>#N/A</v>
      </c>
      <c r="GF53" s="57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7" t="e">
        <f t="shared" si="29"/>
        <v>#N/A</v>
      </c>
      <c r="GZ53" s="57" t="e">
        <f ca="1">AVERAGE(OFFSET($GY$3,0,0,'Données projet'!$E$18+1,1))-AVERAGE(OFFSET($H$3,0,0,'Données projet'!$E$18+1,1))</f>
        <v>#N/A</v>
      </c>
      <c r="HA53" s="57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1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5">
        <f t="shared" si="1"/>
        <v>256.66666666666669</v>
      </c>
      <c r="I54" s="6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165.00000000000003</v>
      </c>
      <c r="O54" s="13">
        <f>N54*VLOOKUP('Données projet'!$B$9,Paramètres!$A$1:$I$89,3,0)*VLOOKUP('Données projet'!$B$9,Paramètres!$A$1:$I$89,5,0)</f>
        <v>149.292</v>
      </c>
      <c r="P54" s="13">
        <f t="shared" si="33"/>
        <v>38.417645803815446</v>
      </c>
      <c r="Q54" s="20">
        <f t="shared" si="53"/>
        <v>326.92763310831185</v>
      </c>
      <c r="R54" s="57">
        <f t="shared" si="0"/>
        <v>620.26096644164522</v>
      </c>
      <c r="S54" s="57">
        <f ca="1">AVERAGE(OFFSET($R$3,0,0,'Données projet'!$E$9+1,1))-AVERAGE(OFFSET($H$3,0,0,'Données projet'!$E$9+1,1))</f>
        <v>373.45926089889866</v>
      </c>
      <c r="T54" s="57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5.713324609674455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5.713324609674455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165.00000000000003</v>
      </c>
      <c r="AJ54" s="13">
        <f>AI54*VLOOKUP('Données projet'!$B$10,Paramètres!$A$1:$I$89,3,0)*VLOOKUP('Données projet'!$B$10,Paramètres!$A$1:$I$89,5,0)</f>
        <v>157.01400000000004</v>
      </c>
      <c r="AK54" s="13">
        <f t="shared" si="35"/>
        <v>40.168278112836184</v>
      </c>
      <c r="AL54" s="20">
        <f t="shared" si="4"/>
        <v>343.42580104652308</v>
      </c>
      <c r="AM54" s="57">
        <f t="shared" si="5"/>
        <v>636.75913437985639</v>
      </c>
      <c r="AN54" s="57">
        <f ca="1">AVERAGE(OFFSET($AM$3,0,0,'Données projet'!$E$10+1,1))-AVERAGE(OFFSET($H$3,0,0,'Données projet'!$E$10+1,1))</f>
        <v>390.70240761116355</v>
      </c>
      <c r="AO54" s="57">
        <f t="shared" si="36"/>
        <v>241.18285512887638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6.0088413998300316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6.0088413998300316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165.00000000000003</v>
      </c>
      <c r="BE54" s="13">
        <f>BD54*VLOOKUP('Données projet'!$B$11,Paramètres!$A$1:$I$89,3,0)*VLOOKUP('Données projet'!$B$11,Paramètres!$A$1:$I$89,5,0)</f>
        <v>159.58800000000002</v>
      </c>
      <c r="BF54" s="13">
        <f t="shared" si="37"/>
        <v>40.74957371668588</v>
      </c>
      <c r="BG54" s="20">
        <f t="shared" si="7"/>
        <v>348.92127422322795</v>
      </c>
      <c r="BH54" s="57">
        <f t="shared" si="8"/>
        <v>642.25460755656127</v>
      </c>
      <c r="BI54" s="57">
        <f ca="1">AVERAGE(OFFSET($BH$3,0,0,'Données projet'!$E$11+1,1))-AVERAGE(OFFSET($H$3,0,0,'Données projet'!$E$11+1,1))</f>
        <v>396.44612884768748</v>
      </c>
      <c r="BJ54" s="57">
        <f t="shared" si="38"/>
        <v>244.451492444461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6.1073469965485563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6.1073469965485563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14.1</v>
      </c>
      <c r="BY54" s="12">
        <f>IF('Données projet'!$A$114&gt;35,BY53+BX54-CG53,IF(A54&lt;'Données projet'!$A$114,$BV$205^A54,IF(A54='Données projet'!$A$114,'Données projet'!$B$114,BY53+BX54-CG53)))</f>
        <v>314.04000000000013</v>
      </c>
      <c r="BZ54" s="13">
        <f>BY54*VLOOKUP('Données projet'!$B$12,Paramètres!$A$1:$I$89,3,0)*VLOOKUP('Données projet'!$B$12,Paramètres!$A$1:$I$89,5,0)</f>
        <v>187.79592000000011</v>
      </c>
      <c r="CA54" s="13">
        <f t="shared" si="39"/>
        <v>47.052331636519533</v>
      </c>
      <c r="CB54" s="20">
        <f t="shared" si="10"/>
        <v>409.02737160027169</v>
      </c>
      <c r="CC54" s="57">
        <f t="shared" si="11"/>
        <v>702.36070493360501</v>
      </c>
      <c r="CD54" s="57">
        <f ca="1">AVERAGE(OFFSET($CC$3,0,0,'Données projet'!$E$12+1,1))-AVERAGE(OFFSET($H$3,0,0,'Données projet'!$E$12+1,1))</f>
        <v>259.64096626089821</v>
      </c>
      <c r="CE54" s="57">
        <f t="shared" si="40"/>
        <v>258.1415293081597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29.826453248979448</v>
      </c>
      <c r="CL54" s="21">
        <f>EXP(-LN(2)/25)*CL53+(1-EXP(-LN(2)/25))/(LN(2)/25)*Calculateur!CG54*Calculateur!CI54*VLOOKUP('Données projet'!$B$12,Paramètres!$A$1:$I$89,3,0)*0.475*44/12</f>
        <v>23.350594433104174</v>
      </c>
      <c r="CM54" s="21">
        <f>EXP(-LN(2)/2)*CM53+(1-EXP(-LN(2)/2))/(LN(2)/2)*CG54*CJ54*VLOOKUP('Données projet'!$B$12,Paramètres!$A$1:$I$89,3,0)*0.475*44/12</f>
        <v>6.4492828938985234</v>
      </c>
      <c r="CN54" s="22">
        <f t="shared" si="12"/>
        <v>59.626330575982152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</v>
      </c>
      <c r="CT54" s="12">
        <f>IF('Données projet'!$A$140&gt;35,CT53+CS54-DB53,IF(A54&lt;'Données projet'!$A$140,$CQ$205^A54,IF(A54='Données projet'!$A$140,'Données projet'!$B$140,CT53+CS54-DB53)))</f>
        <v>165.00000000000003</v>
      </c>
      <c r="CU54" s="17">
        <f>CT54*VLOOKUP('Données projet'!$B$13,Paramètres!$A$1:$I$89,3,0)*VLOOKUP('Données projet'!$B$13,Paramètres!$A$1:$I$89,5,0)</f>
        <v>177.60600000000002</v>
      </c>
      <c r="CV54" s="13">
        <f t="shared" si="41"/>
        <v>44.789150937858665</v>
      </c>
      <c r="CW54" s="20">
        <f t="shared" si="13"/>
        <v>387.33822121677053</v>
      </c>
      <c r="CX54" s="57">
        <f t="shared" si="14"/>
        <v>680.67155455010379</v>
      </c>
      <c r="CY54" s="57">
        <f ca="1">AVERAGE(OFFSET($CX$3,0,0,'Données projet'!$E$13+1,1))-AVERAGE(OFFSET($H$3,0,0,'Données projet'!$E$13+1,1))</f>
        <v>436.59978658837537</v>
      </c>
      <c r="CZ54" s="57">
        <f t="shared" si="42"/>
        <v>267.2998309535638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6.7968861735782307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6.7968861735782307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5.6</v>
      </c>
      <c r="DO54" s="12">
        <f>IF('Données projet'!$A$166&gt;35,DO53+DN54-DW53,IF(A54&lt;'Données projet'!$A$166,$DL$205^A54,IF(A54='Données projet'!$A$166,'Données projet'!$B$166,DO53+DN54-DW53)))</f>
        <v>112.59999999999995</v>
      </c>
      <c r="DP54" s="17">
        <f>DO54*VLOOKUP('Données projet'!$B$14,Paramètres!$A$1:$I$89,3,0)*VLOOKUP('Données projet'!$B$14,Paramètres!$A$1:$I$89,5,0)</f>
        <v>107.15015999999994</v>
      </c>
      <c r="DQ54" s="13">
        <f t="shared" si="43"/>
        <v>28.658517723314318</v>
      </c>
      <c r="DR54" s="20">
        <f t="shared" si="16"/>
        <v>236.53344703477231</v>
      </c>
      <c r="DS54" s="57">
        <f t="shared" si="17"/>
        <v>529.86678036810565</v>
      </c>
      <c r="DT54" s="57">
        <f ca="1">AVERAGE(OFFSET($DS$3,0,0,'Données projet'!$E$14+1,1))-AVERAGE(OFFSET($H$3,0,0,'Données projet'!$E$14+1,1))</f>
        <v>292.95981568144879</v>
      </c>
      <c r="DU54" s="57">
        <f t="shared" si="44"/>
        <v>152.23954167722536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3.3850292666600534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3.3850292666600534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7" t="e">
        <f t="shared" si="20"/>
        <v>#N/A</v>
      </c>
      <c r="EO54" s="57" t="e">
        <f ca="1">AVERAGE(OFFSET($EN$3,0,0,'Données projet'!$E$15+1,1))-AVERAGE(OFFSET($H$3,0,0,'Données projet'!$E$15+1,1))</f>
        <v>#N/A</v>
      </c>
      <c r="EP54" s="57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7" t="e">
        <f t="shared" si="23"/>
        <v>#N/A</v>
      </c>
      <c r="FJ54" s="57" t="e">
        <f ca="1">AVERAGE(OFFSET($FI$3,0,0,'Données projet'!$E$16+1,1))-AVERAGE(OFFSET($H$3,0,0,'Données projet'!$E$16+1,1))</f>
        <v>#N/A</v>
      </c>
      <c r="FK54" s="57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7" t="e">
        <f t="shared" si="26"/>
        <v>#N/A</v>
      </c>
      <c r="GE54" s="57" t="e">
        <f ca="1">AVERAGE(OFFSET($GD$3,0,0,'Données projet'!$E$17+1,1))-AVERAGE(OFFSET($H$3,0,0,'Données projet'!$E$17+1,1))</f>
        <v>#N/A</v>
      </c>
      <c r="GF54" s="57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7" t="e">
        <f t="shared" si="29"/>
        <v>#N/A</v>
      </c>
      <c r="GZ54" s="57" t="e">
        <f ca="1">AVERAGE(OFFSET($GY$3,0,0,'Données projet'!$E$18+1,1))-AVERAGE(OFFSET($H$3,0,0,'Données projet'!$E$18+1,1))</f>
        <v>#N/A</v>
      </c>
      <c r="HA54" s="57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1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5">
        <f t="shared" si="1"/>
        <v>256.66666666666669</v>
      </c>
      <c r="I55" s="6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173.00000000000003</v>
      </c>
      <c r="O55" s="13">
        <f>N55*VLOOKUP('Données projet'!$B$9,Paramètres!$A$1:$I$89,3,0)*VLOOKUP('Données projet'!$B$9,Paramètres!$A$1:$I$89,5,0)</f>
        <v>156.53040000000001</v>
      </c>
      <c r="P55" s="13">
        <f t="shared" si="33"/>
        <v>40.058941713182037</v>
      </c>
      <c r="Q55" s="20">
        <f t="shared" si="53"/>
        <v>342.39310348379212</v>
      </c>
      <c r="R55" s="57">
        <f t="shared" si="0"/>
        <v>635.72643681712543</v>
      </c>
      <c r="S55" s="57">
        <f ca="1">AVERAGE(OFFSET($R$3,0,0,'Données projet'!$E$9+1,1))-AVERAGE(OFFSET($H$3,0,0,'Données projet'!$E$9+1,1))</f>
        <v>373.45926089889866</v>
      </c>
      <c r="T55" s="57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5.6012897988626573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5.6012897988626573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173.00000000000003</v>
      </c>
      <c r="AJ55" s="13">
        <f>AI55*VLOOKUP('Données projet'!$B$10,Paramètres!$A$1:$I$89,3,0)*VLOOKUP('Données projet'!$B$10,Paramètres!$A$1:$I$89,5,0)</f>
        <v>164.62680000000003</v>
      </c>
      <c r="AK55" s="13">
        <f t="shared" si="35"/>
        <v>41.884365321551869</v>
      </c>
      <c r="AL55" s="20">
        <f t="shared" si="4"/>
        <v>359.67361293503626</v>
      </c>
      <c r="AM55" s="57">
        <f t="shared" si="5"/>
        <v>653.00694626836957</v>
      </c>
      <c r="AN55" s="57">
        <f ca="1">AVERAGE(OFFSET($AM$3,0,0,'Données projet'!$E$10+1,1))-AVERAGE(OFFSET($H$3,0,0,'Données projet'!$E$10+1,1))</f>
        <v>390.70240761116355</v>
      </c>
      <c r="AO55" s="57">
        <f t="shared" si="36"/>
        <v>241.18285512887638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5.891011685010727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5.891011685010727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173.00000000000003</v>
      </c>
      <c r="BE55" s="13">
        <f>BD55*VLOOKUP('Données projet'!$B$11,Paramètres!$A$1:$I$89,3,0)*VLOOKUP('Données projet'!$B$11,Paramètres!$A$1:$I$89,5,0)</f>
        <v>167.32560000000004</v>
      </c>
      <c r="BF55" s="13">
        <f t="shared" si="37"/>
        <v>42.490495297127609</v>
      </c>
      <c r="BG55" s="20">
        <f t="shared" si="7"/>
        <v>365.42969930916394</v>
      </c>
      <c r="BH55" s="57">
        <f t="shared" si="8"/>
        <v>658.76303264249725</v>
      </c>
      <c r="BI55" s="57">
        <f ca="1">AVERAGE(OFFSET($BH$3,0,0,'Données projet'!$E$11+1,1))-AVERAGE(OFFSET($H$3,0,0,'Données projet'!$E$11+1,1))</f>
        <v>396.44612884768748</v>
      </c>
      <c r="BJ55" s="57">
        <f t="shared" si="38"/>
        <v>244.451492444461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5.9875856470600821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5.9875856470600821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14.1</v>
      </c>
      <c r="BY55" s="12">
        <f>IF('Données projet'!$A$114&gt;35,BY54+BX55-CG54,IF(A55&lt;'Données projet'!$A$114,$BV$205^A55,IF(A55='Données projet'!$A$114,'Données projet'!$B$114,BY54+BX55-CG54)))</f>
        <v>328.14000000000016</v>
      </c>
      <c r="BZ55" s="13">
        <f>BY55*VLOOKUP('Données projet'!$B$12,Paramètres!$A$1:$I$89,3,0)*VLOOKUP('Données projet'!$B$12,Paramètres!$A$1:$I$89,5,0)</f>
        <v>196.22772000000012</v>
      </c>
      <c r="CA55" s="13">
        <f t="shared" si="39"/>
        <v>48.914218247539303</v>
      </c>
      <c r="CB55" s="20">
        <f t="shared" si="10"/>
        <v>426.95554244779782</v>
      </c>
      <c r="CC55" s="57">
        <f t="shared" si="11"/>
        <v>720.28887578113108</v>
      </c>
      <c r="CD55" s="57">
        <f ca="1">AVERAGE(OFFSET($CC$3,0,0,'Données projet'!$E$12+1,1))-AVERAGE(OFFSET($H$3,0,0,'Données projet'!$E$12+1,1))</f>
        <v>259.64096626089821</v>
      </c>
      <c r="CE55" s="57">
        <f t="shared" si="40"/>
        <v>258.1415293081597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29.241574693107097</v>
      </c>
      <c r="CL55" s="21">
        <f>EXP(-LN(2)/25)*CL54+(1-EXP(-LN(2)/25))/(LN(2)/25)*Calculateur!CG55*Calculateur!CI55*VLOOKUP('Données projet'!$B$12,Paramètres!$A$1:$I$89,3,0)*0.475*44/12</f>
        <v>22.712071200376549</v>
      </c>
      <c r="CM55" s="21">
        <f>EXP(-LN(2)/2)*CM54+(1-EXP(-LN(2)/2))/(LN(2)/2)*CG55*CJ55*VLOOKUP('Données projet'!$B$12,Paramètres!$A$1:$I$89,3,0)*0.475*44/12</f>
        <v>4.5603316680660475</v>
      </c>
      <c r="CN55" s="22">
        <f t="shared" si="12"/>
        <v>56.513977561549694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</v>
      </c>
      <c r="CT55" s="12">
        <f>IF('Données projet'!$A$140&gt;35,CT54+CS55-DB54,IF(A55&lt;'Données projet'!$A$140,$CQ$205^A55,IF(A55='Données projet'!$A$140,'Données projet'!$B$140,CT54+CS55-DB54)))</f>
        <v>173.00000000000003</v>
      </c>
      <c r="CU55" s="17">
        <f>CT55*VLOOKUP('Données projet'!$B$13,Paramètres!$A$1:$I$89,3,0)*VLOOKUP('Données projet'!$B$13,Paramètres!$A$1:$I$89,5,0)</f>
        <v>186.21720000000002</v>
      </c>
      <c r="CV55" s="13">
        <f t="shared" si="41"/>
        <v>46.702653149673253</v>
      </c>
      <c r="CW55" s="20">
        <f t="shared" si="13"/>
        <v>405.66874423568089</v>
      </c>
      <c r="CX55" s="57">
        <f t="shared" si="14"/>
        <v>699.0020775690142</v>
      </c>
      <c r="CY55" s="57">
        <f ca="1">AVERAGE(OFFSET($CX$3,0,0,'Données projet'!$E$13+1,1))-AVERAGE(OFFSET($H$3,0,0,'Données projet'!$E$13+1,1))</f>
        <v>436.59978658837537</v>
      </c>
      <c r="CZ55" s="57">
        <f t="shared" si="42"/>
        <v>267.2998309535638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6.6636033814055748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6.6636033814055748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5.6</v>
      </c>
      <c r="DO55" s="12">
        <f>IF('Données projet'!$A$166&gt;35,DO54+DN55-DW54,IF(A55&lt;'Données projet'!$A$166,$DL$205^A55,IF(A55='Données projet'!$A$166,'Données projet'!$B$166,DO54+DN55-DW54)))</f>
        <v>118.19999999999995</v>
      </c>
      <c r="DP55" s="17">
        <f>DO55*VLOOKUP('Données projet'!$B$14,Paramètres!$A$1:$I$89,3,0)*VLOOKUP('Données projet'!$B$14,Paramètres!$A$1:$I$89,5,0)</f>
        <v>112.47911999999994</v>
      </c>
      <c r="DQ55" s="13">
        <f t="shared" si="43"/>
        <v>29.914324778874605</v>
      </c>
      <c r="DR55" s="20">
        <f t="shared" si="16"/>
        <v>248.00191632320647</v>
      </c>
      <c r="DS55" s="57">
        <f t="shared" si="17"/>
        <v>541.33524965653976</v>
      </c>
      <c r="DT55" s="57">
        <f ca="1">AVERAGE(OFFSET($DS$3,0,0,'Données projet'!$E$14+1,1))-AVERAGE(OFFSET($H$3,0,0,'Données projet'!$E$14+1,1))</f>
        <v>292.95981568144879</v>
      </c>
      <c r="DU55" s="57">
        <f t="shared" si="44"/>
        <v>152.23954167722536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3.3186509074048338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3.3186509074048338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7" t="e">
        <f t="shared" si="20"/>
        <v>#N/A</v>
      </c>
      <c r="EO55" s="57" t="e">
        <f ca="1">AVERAGE(OFFSET($EN$3,0,0,'Données projet'!$E$15+1,1))-AVERAGE(OFFSET($H$3,0,0,'Données projet'!$E$15+1,1))</f>
        <v>#N/A</v>
      </c>
      <c r="EP55" s="57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7" t="e">
        <f t="shared" si="23"/>
        <v>#N/A</v>
      </c>
      <c r="FJ55" s="57" t="e">
        <f ca="1">AVERAGE(OFFSET($FI$3,0,0,'Données projet'!$E$16+1,1))-AVERAGE(OFFSET($H$3,0,0,'Données projet'!$E$16+1,1))</f>
        <v>#N/A</v>
      </c>
      <c r="FK55" s="57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7" t="e">
        <f t="shared" si="26"/>
        <v>#N/A</v>
      </c>
      <c r="GE55" s="57" t="e">
        <f ca="1">AVERAGE(OFFSET($GD$3,0,0,'Données projet'!$E$17+1,1))-AVERAGE(OFFSET($H$3,0,0,'Données projet'!$E$17+1,1))</f>
        <v>#N/A</v>
      </c>
      <c r="GF55" s="57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7" t="e">
        <f t="shared" si="29"/>
        <v>#N/A</v>
      </c>
      <c r="GZ55" s="57" t="e">
        <f ca="1">AVERAGE(OFFSET($GY$3,0,0,'Données projet'!$E$18+1,1))-AVERAGE(OFFSET($H$3,0,0,'Données projet'!$E$18+1,1))</f>
        <v>#N/A</v>
      </c>
      <c r="HA55" s="57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1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5">
        <f t="shared" si="1"/>
        <v>256.66666666666669</v>
      </c>
      <c r="I56" s="6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181.00000000000003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7">
        <f t="shared" si="0"/>
        <v>651.17655593527957</v>
      </c>
      <c r="S56" s="57">
        <f ca="1">AVERAGE(OFFSET($R$3,0,0,'Données projet'!$E$9+1,1))-AVERAGE(OFFSET($H$3,0,0,'Données projet'!$E$9+1,1))</f>
        <v>373.45926089889866</v>
      </c>
      <c r="T56" s="57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5.4914519223563918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5.4914519223563918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181.00000000000003</v>
      </c>
      <c r="AJ56" s="13">
        <f>AI56*VLOOKUP('Données projet'!$B$10,Paramètres!$A$1:$I$89,3,0)*VLOOKUP('Données projet'!$B$10,Paramètres!$A$1:$I$89,5,0)</f>
        <v>172.23960000000002</v>
      </c>
      <c r="AK56" s="13">
        <f t="shared" si="35"/>
        <v>43.591236765546377</v>
      </c>
      <c r="AL56" s="20">
        <f t="shared" si="4"/>
        <v>375.90537403332661</v>
      </c>
      <c r="AM56" s="57">
        <f t="shared" si="5"/>
        <v>669.23870736665992</v>
      </c>
      <c r="AN56" s="57">
        <f ca="1">AVERAGE(OFFSET($AM$3,0,0,'Données projet'!$E$10+1,1))-AVERAGE(OFFSET($H$3,0,0,'Données projet'!$E$10+1,1))</f>
        <v>390.70240761116355</v>
      </c>
      <c r="AO56" s="57">
        <f t="shared" si="36"/>
        <v>241.18285512887638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5.7754925390299992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5.7754925390299992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181.00000000000003</v>
      </c>
      <c r="BE56" s="13">
        <f>BD56*VLOOKUP('Données projet'!$B$11,Paramètres!$A$1:$I$89,3,0)*VLOOKUP('Données projet'!$B$11,Paramètres!$A$1:$I$89,5,0)</f>
        <v>175.06320000000002</v>
      </c>
      <c r="BF56" s="13">
        <f t="shared" si="37"/>
        <v>44.222067746824763</v>
      </c>
      <c r="BG56" s="20">
        <f t="shared" si="7"/>
        <v>381.92184132571987</v>
      </c>
      <c r="BH56" s="57">
        <f t="shared" si="8"/>
        <v>675.25517465905318</v>
      </c>
      <c r="BI56" s="57">
        <f ca="1">AVERAGE(OFFSET($BH$3,0,0,'Données projet'!$E$11+1,1))-AVERAGE(OFFSET($H$3,0,0,'Données projet'!$E$11+1,1))</f>
        <v>396.44612884768748</v>
      </c>
      <c r="BJ56" s="57">
        <f t="shared" si="38"/>
        <v>244.451492444461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5.8701727445878671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5.8701727445878671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14.1</v>
      </c>
      <c r="BY56" s="12">
        <f>IF('Données projet'!$A$114&gt;35,BY55+BX56-CG55,IF(A56&lt;'Données projet'!$A$114,$BV$205^A56,IF(A56='Données projet'!$A$114,'Données projet'!$B$114,BY55+BX56-CG55)))</f>
        <v>342.24000000000018</v>
      </c>
      <c r="BZ56" s="13">
        <f>BY56*VLOOKUP('Données projet'!$B$12,Paramètres!$A$1:$I$89,3,0)*VLOOKUP('Données projet'!$B$12,Paramètres!$A$1:$I$89,5,0)</f>
        <v>204.6595200000001</v>
      </c>
      <c r="CA56" s="13">
        <f t="shared" si="39"/>
        <v>50.766812591921394</v>
      </c>
      <c r="CB56" s="20">
        <f t="shared" si="10"/>
        <v>444.86752926426328</v>
      </c>
      <c r="CC56" s="57">
        <f t="shared" si="11"/>
        <v>738.2008625975966</v>
      </c>
      <c r="CD56" s="57">
        <f ca="1">AVERAGE(OFFSET($CC$3,0,0,'Données projet'!$E$12+1,1))-AVERAGE(OFFSET($H$3,0,0,'Données projet'!$E$12+1,1))</f>
        <v>259.64096626089821</v>
      </c>
      <c r="CE56" s="57">
        <f t="shared" si="40"/>
        <v>258.1415293081597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28.668165248974709</v>
      </c>
      <c r="CL56" s="21">
        <f>EXP(-LN(2)/25)*CL55+(1-EXP(-LN(2)/25))/(LN(2)/25)*Calculateur!CG56*Calculateur!CI56*VLOOKUP('Données projet'!$B$12,Paramètres!$A$1:$I$89,3,0)*0.475*44/12</f>
        <v>22.091008419026338</v>
      </c>
      <c r="CM56" s="21">
        <f>EXP(-LN(2)/2)*CM55+(1-EXP(-LN(2)/2))/(LN(2)/2)*CG56*CJ56*VLOOKUP('Données projet'!$B$12,Paramètres!$A$1:$I$89,3,0)*0.475*44/12</f>
        <v>3.2246414469492621</v>
      </c>
      <c r="CN56" s="22">
        <f t="shared" si="12"/>
        <v>53.98381511495031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</v>
      </c>
      <c r="CT56" s="12">
        <f>IF('Données projet'!$A$140&gt;35,CT55+CS56-DB55,IF(A56&lt;'Données projet'!$A$140,$CQ$205^A56,IF(A56='Données projet'!$A$140,'Données projet'!$B$140,CT55+CS56-DB55)))</f>
        <v>181.00000000000003</v>
      </c>
      <c r="CU56" s="17">
        <f>CT56*VLOOKUP('Données projet'!$B$13,Paramètres!$A$1:$I$89,3,0)*VLOOKUP('Données projet'!$B$13,Paramètres!$A$1:$I$89,5,0)</f>
        <v>194.82840000000002</v>
      </c>
      <c r="CV56" s="13">
        <f t="shared" si="41"/>
        <v>48.605879434898533</v>
      </c>
      <c r="CW56" s="20">
        <f t="shared" si="13"/>
        <v>423.98137001578158</v>
      </c>
      <c r="CX56" s="57">
        <f t="shared" si="14"/>
        <v>717.31470334911489</v>
      </c>
      <c r="CY56" s="57">
        <f ca="1">AVERAGE(OFFSET($CX$3,0,0,'Données projet'!$E$13+1,1))-AVERAGE(OFFSET($H$3,0,0,'Données projet'!$E$13+1,1))</f>
        <v>436.59978658837537</v>
      </c>
      <c r="CZ56" s="57">
        <f t="shared" si="42"/>
        <v>267.2998309535638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6.532934183492948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6.532934183492948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5.6</v>
      </c>
      <c r="DO56" s="12">
        <f>IF('Données projet'!$A$166&gt;35,DO55+DN56-DW55,IF(A56&lt;'Données projet'!$A$166,$DL$205^A56,IF(A56='Données projet'!$A$166,'Données projet'!$B$166,DO55+DN56-DW55)))</f>
        <v>123.79999999999994</v>
      </c>
      <c r="DP56" s="17">
        <f>DO56*VLOOKUP('Données projet'!$B$14,Paramètres!$A$1:$I$89,3,0)*VLOOKUP('Données projet'!$B$14,Paramètres!$A$1:$I$89,5,0)</f>
        <v>117.80807999999993</v>
      </c>
      <c r="DQ56" s="13">
        <f t="shared" si="43"/>
        <v>31.163222740883338</v>
      </c>
      <c r="DR56" s="20">
        <f t="shared" si="16"/>
        <v>259.45835227370497</v>
      </c>
      <c r="DS56" s="57">
        <f t="shared" si="17"/>
        <v>552.79168560703829</v>
      </c>
      <c r="DT56" s="57">
        <f ca="1">AVERAGE(OFFSET($DS$3,0,0,'Données projet'!$E$14+1,1))-AVERAGE(OFFSET($H$3,0,0,'Données projet'!$E$14+1,1))</f>
        <v>292.95981568144879</v>
      </c>
      <c r="DU56" s="57">
        <f t="shared" si="44"/>
        <v>152.23954167722536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3.2535741872878075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3.2535741872878075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7" t="e">
        <f t="shared" si="20"/>
        <v>#N/A</v>
      </c>
      <c r="EO56" s="57" t="e">
        <f ca="1">AVERAGE(OFFSET($EN$3,0,0,'Données projet'!$E$15+1,1))-AVERAGE(OFFSET($H$3,0,0,'Données projet'!$E$15+1,1))</f>
        <v>#N/A</v>
      </c>
      <c r="EP56" s="57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7" t="e">
        <f t="shared" si="23"/>
        <v>#N/A</v>
      </c>
      <c r="FJ56" s="57" t="e">
        <f ca="1">AVERAGE(OFFSET($FI$3,0,0,'Données projet'!$E$16+1,1))-AVERAGE(OFFSET($H$3,0,0,'Données projet'!$E$16+1,1))</f>
        <v>#N/A</v>
      </c>
      <c r="FK56" s="57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7" t="e">
        <f t="shared" si="26"/>
        <v>#N/A</v>
      </c>
      <c r="GE56" s="57" t="e">
        <f ca="1">AVERAGE(OFFSET($GD$3,0,0,'Données projet'!$E$17+1,1))-AVERAGE(OFFSET($H$3,0,0,'Données projet'!$E$17+1,1))</f>
        <v>#N/A</v>
      </c>
      <c r="GF56" s="57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7" t="e">
        <f t="shared" si="29"/>
        <v>#N/A</v>
      </c>
      <c r="GZ56" s="57" t="e">
        <f ca="1">AVERAGE(OFFSET($GY$3,0,0,'Données projet'!$E$18+1,1))-AVERAGE(OFFSET($H$3,0,0,'Données projet'!$E$18+1,1))</f>
        <v>#N/A</v>
      </c>
      <c r="HA56" s="57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1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5">
        <f t="shared" si="1"/>
        <v>256.66666666666669</v>
      </c>
      <c r="I57" s="6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189.00000000000003</v>
      </c>
      <c r="O57" s="13">
        <f>N57*VLOOKUP('Données projet'!$B$9,Paramètres!$A$1:$I$89,3,0)*VLOOKUP('Données projet'!$B$9,Paramètres!$A$1:$I$89,5,0)</f>
        <v>171.00720000000001</v>
      </c>
      <c r="P57" s="13">
        <f t="shared" si="33"/>
        <v>43.315525267338089</v>
      </c>
      <c r="Q57" s="20">
        <f t="shared" si="53"/>
        <v>373.27874650728057</v>
      </c>
      <c r="R57" s="57">
        <f t="shared" si="0"/>
        <v>666.61207984061389</v>
      </c>
      <c r="S57" s="57">
        <f ca="1">AVERAGE(OFFSET($R$3,0,0,'Données projet'!$E$9+1,1))-AVERAGE(OFFSET($H$3,0,0,'Données projet'!$E$9+1,1))</f>
        <v>373.45926089889866</v>
      </c>
      <c r="T57" s="57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5.3837678996139244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5.3837678996139244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189.00000000000003</v>
      </c>
      <c r="AJ57" s="13">
        <f>AI57*VLOOKUP('Données projet'!$B$10,Paramètres!$A$1:$I$89,3,0)*VLOOKUP('Données projet'!$B$10,Paramètres!$A$1:$I$89,5,0)</f>
        <v>179.85240000000005</v>
      </c>
      <c r="AK57" s="13">
        <f t="shared" si="35"/>
        <v>45.289346318280131</v>
      </c>
      <c r="AL57" s="20">
        <f t="shared" si="4"/>
        <v>392.12187483767133</v>
      </c>
      <c r="AM57" s="57">
        <f t="shared" si="5"/>
        <v>685.45520817100464</v>
      </c>
      <c r="AN57" s="57">
        <f ca="1">AVERAGE(OFFSET($AM$3,0,0,'Données projet'!$E$10+1,1))-AVERAGE(OFFSET($H$3,0,0,'Données projet'!$E$10+1,1))</f>
        <v>390.70240761116355</v>
      </c>
      <c r="AO57" s="57">
        <f t="shared" si="36"/>
        <v>241.18285512887638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5.6622386530422313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5.6622386530422313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189.00000000000003</v>
      </c>
      <c r="BE57" s="13">
        <f>BD57*VLOOKUP('Données projet'!$B$11,Paramètres!$A$1:$I$89,3,0)*VLOOKUP('Données projet'!$B$11,Paramètres!$A$1:$I$89,5,0)</f>
        <v>182.80080000000004</v>
      </c>
      <c r="BF57" s="13">
        <f t="shared" si="37"/>
        <v>45.9447515074717</v>
      </c>
      <c r="BG57" s="20">
        <f t="shared" si="7"/>
        <v>398.39850220884659</v>
      </c>
      <c r="BH57" s="57">
        <f t="shared" si="8"/>
        <v>691.73183554217985</v>
      </c>
      <c r="BI57" s="57">
        <f ca="1">AVERAGE(OFFSET($BH$3,0,0,'Données projet'!$E$11+1,1))-AVERAGE(OFFSET($H$3,0,0,'Données projet'!$E$11+1,1))</f>
        <v>396.44612884768748</v>
      </c>
      <c r="BJ57" s="57">
        <f t="shared" si="38"/>
        <v>244.451492444461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5.7550622375183327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5.7550622375183327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14.1</v>
      </c>
      <c r="BY57" s="12">
        <f>IF('Données projet'!$A$114&gt;35,BY56+BX57-CG56,IF(A57&lt;'Données projet'!$A$114,$BV$205^A57,IF(A57='Données projet'!$A$114,'Données projet'!$B$114,BY56+BX57-CG56)))</f>
        <v>356.3400000000002</v>
      </c>
      <c r="BZ57" s="13">
        <f>BY57*VLOOKUP('Données projet'!$B$12,Paramètres!$A$1:$I$89,3,0)*VLOOKUP('Données projet'!$B$12,Paramètres!$A$1:$I$89,5,0)</f>
        <v>213.09132000000014</v>
      </c>
      <c r="CA57" s="13">
        <f t="shared" si="39"/>
        <v>52.610541287982016</v>
      </c>
      <c r="CB57" s="20">
        <f t="shared" si="10"/>
        <v>462.76407507656899</v>
      </c>
      <c r="CC57" s="57">
        <f t="shared" si="11"/>
        <v>756.0974084099023</v>
      </c>
      <c r="CD57" s="57">
        <f ca="1">AVERAGE(OFFSET($CC$3,0,0,'Données projet'!$E$12+1,1))-AVERAGE(OFFSET($H$3,0,0,'Données projet'!$E$12+1,1))</f>
        <v>259.64096626089821</v>
      </c>
      <c r="CE57" s="57">
        <f t="shared" si="40"/>
        <v>258.1415293081597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28.106000014296534</v>
      </c>
      <c r="CL57" s="21">
        <f>EXP(-LN(2)/25)*CL56+(1-EXP(-LN(2)/25))/(LN(2)/25)*Calculateur!CG57*Calculateur!CI57*VLOOKUP('Données projet'!$B$12,Paramètres!$A$1:$I$89,3,0)*0.475*44/12</f>
        <v>21.486928632092418</v>
      </c>
      <c r="CM57" s="21">
        <f>EXP(-LN(2)/2)*CM56+(1-EXP(-LN(2)/2))/(LN(2)/2)*CG57*CJ57*VLOOKUP('Données projet'!$B$12,Paramètres!$A$1:$I$89,3,0)*0.475*44/12</f>
        <v>2.2801658340330242</v>
      </c>
      <c r="CN57" s="22">
        <f t="shared" si="12"/>
        <v>51.873094480421983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</v>
      </c>
      <c r="CT57" s="12">
        <f>IF('Données projet'!$A$140&gt;35,CT56+CS57-DB56,IF(A57&lt;'Données projet'!$A$140,$CQ$205^A57,IF(A57='Données projet'!$A$140,'Données projet'!$B$140,CT56+CS57-DB56)))</f>
        <v>189.00000000000003</v>
      </c>
      <c r="CU57" s="17">
        <f>CT57*VLOOKUP('Données projet'!$B$13,Paramètres!$A$1:$I$89,3,0)*VLOOKUP('Données projet'!$B$13,Paramètres!$A$1:$I$89,5,0)</f>
        <v>203.43960000000001</v>
      </c>
      <c r="CV57" s="13">
        <f t="shared" si="41"/>
        <v>50.499335879627459</v>
      </c>
      <c r="CW57" s="20">
        <f t="shared" si="13"/>
        <v>442.27697999035109</v>
      </c>
      <c r="CX57" s="57">
        <f t="shared" si="14"/>
        <v>735.61031332368441</v>
      </c>
      <c r="CY57" s="57">
        <f ca="1">AVERAGE(OFFSET($CX$3,0,0,'Données projet'!$E$13+1,1))-AVERAGE(OFFSET($H$3,0,0,'Données projet'!$E$13+1,1))</f>
        <v>436.59978658837537</v>
      </c>
      <c r="CZ57" s="57">
        <f t="shared" si="42"/>
        <v>267.2998309535638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6.4048273288510469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6.4048273288510469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5.6</v>
      </c>
      <c r="DO57" s="12">
        <f>IF('Données projet'!$A$166&gt;35,DO56+DN57-DW56,IF(A57&lt;'Données projet'!$A$166,$DL$205^A57,IF(A57='Données projet'!$A$166,'Données projet'!$B$166,DO56+DN57-DW56)))</f>
        <v>129.39999999999995</v>
      </c>
      <c r="DP57" s="17">
        <f>DO57*VLOOKUP('Données projet'!$B$14,Paramètres!$A$1:$I$89,3,0)*VLOOKUP('Données projet'!$B$14,Paramètres!$A$1:$I$89,5,0)</f>
        <v>123.13703999999996</v>
      </c>
      <c r="DQ57" s="13">
        <f t="shared" si="43"/>
        <v>32.40555984092714</v>
      </c>
      <c r="DR57" s="20">
        <f t="shared" si="16"/>
        <v>270.9033613896147</v>
      </c>
      <c r="DS57" s="57">
        <f t="shared" si="17"/>
        <v>564.23669472294796</v>
      </c>
      <c r="DT57" s="57">
        <f ca="1">AVERAGE(OFFSET($DS$3,0,0,'Données projet'!$E$14+1,1))-AVERAGE(OFFSET($H$3,0,0,'Données projet'!$E$14+1,1))</f>
        <v>292.95981568144879</v>
      </c>
      <c r="DU57" s="57">
        <f t="shared" si="44"/>
        <v>152.23954167722536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3.1897735819593964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3.1897735819593964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7" t="e">
        <f t="shared" si="20"/>
        <v>#N/A</v>
      </c>
      <c r="EO57" s="57" t="e">
        <f ca="1">AVERAGE(OFFSET($EN$3,0,0,'Données projet'!$E$15+1,1))-AVERAGE(OFFSET($H$3,0,0,'Données projet'!$E$15+1,1))</f>
        <v>#N/A</v>
      </c>
      <c r="EP57" s="57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7" t="e">
        <f t="shared" si="23"/>
        <v>#N/A</v>
      </c>
      <c r="FJ57" s="57" t="e">
        <f ca="1">AVERAGE(OFFSET($FI$3,0,0,'Données projet'!$E$16+1,1))-AVERAGE(OFFSET($H$3,0,0,'Données projet'!$E$16+1,1))</f>
        <v>#N/A</v>
      </c>
      <c r="FK57" s="57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7" t="e">
        <f t="shared" si="26"/>
        <v>#N/A</v>
      </c>
      <c r="GE57" s="57" t="e">
        <f ca="1">AVERAGE(OFFSET($GD$3,0,0,'Données projet'!$E$17+1,1))-AVERAGE(OFFSET($H$3,0,0,'Données projet'!$E$17+1,1))</f>
        <v>#N/A</v>
      </c>
      <c r="GF57" s="57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7" t="e">
        <f t="shared" si="29"/>
        <v>#N/A</v>
      </c>
      <c r="GZ57" s="57" t="e">
        <f ca="1">AVERAGE(OFFSET($GY$3,0,0,'Données projet'!$E$18+1,1))-AVERAGE(OFFSET($H$3,0,0,'Données projet'!$E$18+1,1))</f>
        <v>#N/A</v>
      </c>
      <c r="HA57" s="57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1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5">
        <f t="shared" si="1"/>
        <v>256.66666666666669</v>
      </c>
      <c r="I58" s="6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197.00000000000003</v>
      </c>
      <c r="O58" s="13">
        <f>N58*VLOOKUP('Données projet'!$B$9,Paramètres!$A$1:$I$89,3,0)*VLOOKUP('Données projet'!$B$9,Paramètres!$A$1:$I$89,5,0)</f>
        <v>178.24560000000002</v>
      </c>
      <c r="P58" s="13">
        <f t="shared" si="33"/>
        <v>44.931642269910427</v>
      </c>
      <c r="Q58" s="20">
        <f t="shared" si="53"/>
        <v>388.70036362009404</v>
      </c>
      <c r="R58" s="57">
        <f t="shared" si="0"/>
        <v>682.03369695342735</v>
      </c>
      <c r="S58" s="57">
        <f ca="1">AVERAGE(OFFSET($R$3,0,0,'Données projet'!$E$9+1,1))-AVERAGE(OFFSET($H$3,0,0,'Données projet'!$E$9+1,1))</f>
        <v>373.45926089889866</v>
      </c>
      <c r="T58" s="57">
        <f t="shared" si="34"/>
        <v>231.36959598460686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7.9878174796550976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7.9878174796550976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197.00000000000003</v>
      </c>
      <c r="AJ58" s="13">
        <f>AI58*VLOOKUP('Données projet'!$B$10,Paramètres!$A$1:$I$89,3,0)*VLOOKUP('Données projet'!$B$10,Paramètres!$A$1:$I$89,5,0)</f>
        <v>187.46520000000004</v>
      </c>
      <c r="AK58" s="13">
        <f t="shared" si="35"/>
        <v>46.979107256618605</v>
      </c>
      <c r="AL58" s="20">
        <f t="shared" si="4"/>
        <v>408.32383513861078</v>
      </c>
      <c r="AM58" s="57">
        <f t="shared" si="5"/>
        <v>701.65716847194403</v>
      </c>
      <c r="AN58" s="57">
        <f ca="1">AVERAGE(OFFSET($AM$3,0,0,'Données projet'!$E$10+1,1))-AVERAGE(OFFSET($H$3,0,0,'Données projet'!$E$10+1,1))</f>
        <v>390.70240761116355</v>
      </c>
      <c r="AO58" s="57">
        <f t="shared" si="36"/>
        <v>241.18285512887638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8.4009804527407059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8.4009804527407059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197.00000000000003</v>
      </c>
      <c r="BE58" s="13">
        <f>BD58*VLOOKUP('Données projet'!$B$11,Paramètres!$A$1:$I$89,3,0)*VLOOKUP('Données projet'!$B$11,Paramètres!$A$1:$I$89,5,0)</f>
        <v>190.53840000000002</v>
      </c>
      <c r="BF58" s="13">
        <f t="shared" si="37"/>
        <v>47.658965836673829</v>
      </c>
      <c r="BG58" s="20">
        <f t="shared" si="7"/>
        <v>414.86041216554025</v>
      </c>
      <c r="BH58" s="57">
        <f t="shared" si="8"/>
        <v>708.19374549887357</v>
      </c>
      <c r="BI58" s="57">
        <f ca="1">AVERAGE(OFFSET($BH$3,0,0,'Données projet'!$E$11+1,1))-AVERAGE(OFFSET($H$3,0,0,'Données projet'!$E$11+1,1))</f>
        <v>396.44612884768748</v>
      </c>
      <c r="BJ58" s="57">
        <f t="shared" si="38"/>
        <v>244.451492444461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8.5387014437692415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8.5387014437692415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14.1</v>
      </c>
      <c r="BY58" s="12">
        <f>IF('Données projet'!$A$114&gt;35,BY57+BX58-CG57,IF(A58&lt;'Données projet'!$A$114,$BV$205^A58,IF(A58='Données projet'!$A$114,'Données projet'!$B$114,BY57+BX58-CG57)))</f>
        <v>370.44000000000023</v>
      </c>
      <c r="BZ58" s="13">
        <f>BY58*VLOOKUP('Données projet'!$B$12,Paramètres!$A$1:$I$89,3,0)*VLOOKUP('Données projet'!$B$12,Paramètres!$A$1:$I$89,5,0)</f>
        <v>221.52312000000015</v>
      </c>
      <c r="CA58" s="13">
        <f t="shared" si="39"/>
        <v>54.445795281083775</v>
      </c>
      <c r="CB58" s="20">
        <f t="shared" si="10"/>
        <v>480.64586078122107</v>
      </c>
      <c r="CC58" s="57">
        <f t="shared" si="11"/>
        <v>773.97919411455439</v>
      </c>
      <c r="CD58" s="57">
        <f ca="1">AVERAGE(OFFSET($CC$3,0,0,'Données projet'!$E$12+1,1))-AVERAGE(OFFSET($H$3,0,0,'Données projet'!$E$12+1,1))</f>
        <v>259.64096626089821</v>
      </c>
      <c r="CE58" s="57">
        <f t="shared" si="40"/>
        <v>258.1415293081597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27.55485849698346</v>
      </c>
      <c r="CL58" s="21">
        <f>EXP(-LN(2)/25)*CL57+(1-EXP(-LN(2)/25))/(LN(2)/25)*Calculateur!CG58*Calculateur!CI58*VLOOKUP('Données projet'!$B$12,Paramètres!$A$1:$I$89,3,0)*0.475*44/12</f>
        <v>20.899367438699382</v>
      </c>
      <c r="CM58" s="21">
        <f>EXP(-LN(2)/2)*CM57+(1-EXP(-LN(2)/2))/(LN(2)/2)*CG58*CJ58*VLOOKUP('Données projet'!$B$12,Paramètres!$A$1:$I$89,3,0)*0.475*44/12</f>
        <v>1.6123207234746313</v>
      </c>
      <c r="CN58" s="22">
        <f t="shared" si="12"/>
        <v>50.066546659157474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197</v>
      </c>
      <c r="CR58" s="12">
        <f>VLOOKUP(A58,'Données projet'!$A$139:$I$159,9,0)</f>
        <v>8</v>
      </c>
      <c r="CS58" s="12">
        <f t="array" ref="CS58">INDEX(CR:CR,MIN(IF(ISNUMBER(CR58:CR254),ROW(CR58:CR254),"")))</f>
        <v>8</v>
      </c>
      <c r="CT58" s="12">
        <f>IF('Données projet'!$A$140&gt;35,CT57+CS58-DB57,IF(A58&lt;'Données projet'!$A$140,$CQ$205^A58,IF(A58='Données projet'!$A$140,'Données projet'!$B$140,CT57+CS58-DB57)))</f>
        <v>197.00000000000003</v>
      </c>
      <c r="CU58" s="17">
        <f>CT58*VLOOKUP('Données projet'!$B$13,Paramètres!$A$1:$I$89,3,0)*VLOOKUP('Données projet'!$B$13,Paramètres!$A$1:$I$89,5,0)</f>
        <v>212.05080000000001</v>
      </c>
      <c r="CV58" s="13">
        <f t="shared" si="41"/>
        <v>52.383483303212302</v>
      </c>
      <c r="CW58" s="20">
        <f t="shared" si="13"/>
        <v>460.55637675309475</v>
      </c>
      <c r="CX58" s="57">
        <f t="shared" si="14"/>
        <v>753.88971008642807</v>
      </c>
      <c r="CY58" s="57">
        <f ca="1">AVERAGE(OFFSET($CX$3,0,0,'Données projet'!$E$13+1,1))-AVERAGE(OFFSET($H$3,0,0,'Données projet'!$E$13+1,1))</f>
        <v>436.59978658837537</v>
      </c>
      <c r="CZ58" s="57">
        <f t="shared" si="42"/>
        <v>267.2998309535638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21</v>
      </c>
      <c r="DC58" s="16">
        <f>IF(ISNA(VLOOKUP(A58,'Données projet'!$A$139:$I$159,5,0)),0%,VLOOKUP(A58,'Données projet'!$A$139:$I$159,5,0)*VLOOKUP('Données projet'!$B$13,Paramètres!$A$1:$I$89,7,0))</f>
        <v>0.129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9.5027483809689937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9.5027483809689937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135</v>
      </c>
      <c r="DM58" s="12">
        <f>VLOOKUP(A58,'Données projet'!$A$165:$I$185,9,0)</f>
        <v>5.6</v>
      </c>
      <c r="DN58" s="12">
        <f t="array" ref="DN58">INDEX(DM:DM,MIN(IF(ISNUMBER(DM58:DM254),ROW(DM58:DM254),"")))</f>
        <v>5.6</v>
      </c>
      <c r="DO58" s="12">
        <f>IF('Données projet'!$A$166&gt;35,DO57+DN58-DW57,IF(A58&lt;'Données projet'!$A$166,$DL$205^A58,IF(A58='Données projet'!$A$166,'Données projet'!$B$166,DO57+DN58-DW57)))</f>
        <v>134.99999999999994</v>
      </c>
      <c r="DP58" s="17">
        <f>DO58*VLOOKUP('Données projet'!$B$14,Paramètres!$A$1:$I$89,3,0)*VLOOKUP('Données projet'!$B$14,Paramètres!$A$1:$I$89,5,0)</f>
        <v>128.46599999999995</v>
      </c>
      <c r="DQ58" s="13">
        <f t="shared" si="43"/>
        <v>33.64165246545825</v>
      </c>
      <c r="DR58" s="20">
        <f t="shared" si="16"/>
        <v>282.33749471067301</v>
      </c>
      <c r="DS58" s="57">
        <f t="shared" si="17"/>
        <v>575.67082804400638</v>
      </c>
      <c r="DT58" s="57">
        <f ca="1">AVERAGE(OFFSET($DS$3,0,0,'Données projet'!$E$14+1,1))-AVERAGE(OFFSET($H$3,0,0,'Données projet'!$E$14+1,1))</f>
        <v>292.95981568144879</v>
      </c>
      <c r="DU58" s="57">
        <f t="shared" si="44"/>
        <v>152.23954167722536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14</v>
      </c>
      <c r="DX58" s="16">
        <f>IF(ISNA(VLOOKUP(A58,'Données projet'!$A$165:$I$185,5,0)),0%,VLOOKUP(A58,'Données projet'!$A$165:$I$185,5,0)*VLOOKUP('Données projet'!$B$14,Paramètres!$A$1:$I$89,7,0))</f>
        <v>0.129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5.0270739649603291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5.0270739649603291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7" t="e">
        <f t="shared" si="20"/>
        <v>#N/A</v>
      </c>
      <c r="EO58" s="57" t="e">
        <f ca="1">AVERAGE(OFFSET($EN$3,0,0,'Données projet'!$E$15+1,1))-AVERAGE(OFFSET($H$3,0,0,'Données projet'!$E$15+1,1))</f>
        <v>#N/A</v>
      </c>
      <c r="EP58" s="57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7" t="e">
        <f t="shared" si="23"/>
        <v>#N/A</v>
      </c>
      <c r="FJ58" s="57" t="e">
        <f ca="1">AVERAGE(OFFSET($FI$3,0,0,'Données projet'!$E$16+1,1))-AVERAGE(OFFSET($H$3,0,0,'Données projet'!$E$16+1,1))</f>
        <v>#N/A</v>
      </c>
      <c r="FK58" s="57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7" t="e">
        <f t="shared" si="26"/>
        <v>#N/A</v>
      </c>
      <c r="GE58" s="57" t="e">
        <f ca="1">AVERAGE(OFFSET($GD$3,0,0,'Données projet'!$E$17+1,1))-AVERAGE(OFFSET($H$3,0,0,'Données projet'!$E$17+1,1))</f>
        <v>#N/A</v>
      </c>
      <c r="GF58" s="57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7" t="e">
        <f t="shared" si="29"/>
        <v>#N/A</v>
      </c>
      <c r="GZ58" s="57" t="e">
        <f ca="1">AVERAGE(OFFSET($GY$3,0,0,'Données projet'!$E$18+1,1))-AVERAGE(OFFSET($H$3,0,0,'Données projet'!$E$18+1,1))</f>
        <v>#N/A</v>
      </c>
      <c r="HA58" s="57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1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5">
        <f t="shared" si="1"/>
        <v>256.66666666666669</v>
      </c>
      <c r="I59" s="6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183.60000000000002</v>
      </c>
      <c r="O59" s="13">
        <f>N59*VLOOKUP('Données projet'!$B$9,Paramètres!$A$1:$I$89,3,0)*VLOOKUP('Données projet'!$B$9,Paramètres!$A$1:$I$89,5,0)</f>
        <v>166.12128000000001</v>
      </c>
      <c r="P59" s="13">
        <f t="shared" si="33"/>
        <v>42.220155874487318</v>
      </c>
      <c r="Q59" s="20">
        <f t="shared" si="53"/>
        <v>362.86133414806545</v>
      </c>
      <c r="R59" s="57">
        <f t="shared" si="0"/>
        <v>656.19466748139871</v>
      </c>
      <c r="S59" s="57">
        <f ca="1">AVERAGE(OFFSET($R$3,0,0,'Données projet'!$E$9+1,1))-AVERAGE(OFFSET($H$3,0,0,'Données projet'!$E$9+1,1))</f>
        <v>373.45926089889866</v>
      </c>
      <c r="T59" s="57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7.8311812509666447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7.8311812509666447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183.60000000000002</v>
      </c>
      <c r="AJ59" s="13">
        <f>AI59*VLOOKUP('Données projet'!$B$10,Paramètres!$A$1:$I$89,3,0)*VLOOKUP('Données projet'!$B$10,Paramètres!$A$1:$I$89,5,0)</f>
        <v>174.71376000000001</v>
      </c>
      <c r="AK59" s="13">
        <f t="shared" si="35"/>
        <v>44.144062647515817</v>
      </c>
      <c r="AL59" s="20">
        <f t="shared" si="4"/>
        <v>381.17737444442338</v>
      </c>
      <c r="AM59" s="57">
        <f t="shared" si="5"/>
        <v>674.51070777775669</v>
      </c>
      <c r="AN59" s="57">
        <f ca="1">AVERAGE(OFFSET($AM$3,0,0,'Données projet'!$E$10+1,1))-AVERAGE(OFFSET($H$3,0,0,'Données projet'!$E$10+1,1))</f>
        <v>390.70240761116355</v>
      </c>
      <c r="AO59" s="57">
        <f t="shared" si="36"/>
        <v>241.18285512887638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8.2362423501545745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8.2362423501545745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183.60000000000002</v>
      </c>
      <c r="BE59" s="13">
        <f>BD59*VLOOKUP('Données projet'!$B$11,Paramètres!$A$1:$I$89,3,0)*VLOOKUP('Données projet'!$B$11,Paramètres!$A$1:$I$89,5,0)</f>
        <v>177.57792000000001</v>
      </c>
      <c r="BF59" s="13">
        <f t="shared" si="37"/>
        <v>44.782893853597976</v>
      </c>
      <c r="BG59" s="20">
        <f t="shared" si="7"/>
        <v>387.27841746168315</v>
      </c>
      <c r="BH59" s="57">
        <f t="shared" si="8"/>
        <v>680.61175079501641</v>
      </c>
      <c r="BI59" s="57">
        <f ca="1">AVERAGE(OFFSET($BH$3,0,0,'Données projet'!$E$11+1,1))-AVERAGE(OFFSET($H$3,0,0,'Données projet'!$E$11+1,1))</f>
        <v>396.44612884768748</v>
      </c>
      <c r="BJ59" s="57">
        <f t="shared" si="38"/>
        <v>244.451492444461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8.3712627165505502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8.3712627165505502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14.1</v>
      </c>
      <c r="BY59" s="12">
        <f>IF('Données projet'!$A$114&gt;35,BY58+BX59-CG58,IF(A59&lt;'Données projet'!$A$114,$BV$205^A59,IF(A59='Données projet'!$A$114,'Données projet'!$B$114,BY58+BX59-CG58)))</f>
        <v>384.54000000000025</v>
      </c>
      <c r="BZ59" s="13">
        <f>BY59*VLOOKUP('Données projet'!$B$12,Paramètres!$A$1:$I$89,3,0)*VLOOKUP('Données projet'!$B$12,Paramètres!$A$1:$I$89,5,0)</f>
        <v>229.95492000000019</v>
      </c>
      <c r="CA59" s="13">
        <f t="shared" si="39"/>
        <v>56.272934069972386</v>
      </c>
      <c r="CB59" s="20">
        <f t="shared" si="10"/>
        <v>498.51351250520219</v>
      </c>
      <c r="CC59" s="57">
        <f t="shared" si="11"/>
        <v>791.8468458385355</v>
      </c>
      <c r="CD59" s="57">
        <f ca="1">AVERAGE(OFFSET($CC$3,0,0,'Données projet'!$E$12+1,1))-AVERAGE(OFFSET($H$3,0,0,'Données projet'!$E$12+1,1))</f>
        <v>259.64096626089821</v>
      </c>
      <c r="CE59" s="57">
        <f t="shared" si="40"/>
        <v>258.1415293081597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27.014524528661763</v>
      </c>
      <c r="CL59" s="21">
        <f>EXP(-LN(2)/25)*CL58+(1-EXP(-LN(2)/25))/(LN(2)/25)*Calculateur!CG59*Calculateur!CI59*VLOOKUP('Données projet'!$B$12,Paramètres!$A$1:$I$89,3,0)*0.475*44/12</f>
        <v>20.327873137038182</v>
      </c>
      <c r="CM59" s="21">
        <f>EXP(-LN(2)/2)*CM58+(1-EXP(-LN(2)/2))/(LN(2)/2)*CG59*CJ59*VLOOKUP('Données projet'!$B$12,Paramètres!$A$1:$I$89,3,0)*0.475*44/12</f>
        <v>1.1400829170165121</v>
      </c>
      <c r="CN59" s="22">
        <f t="shared" si="12"/>
        <v>48.482480582716462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7.6</v>
      </c>
      <c r="CT59" s="12">
        <f>IF('Données projet'!$A$140&gt;35,CT58+CS59-DB58,IF(A59&lt;'Données projet'!$A$140,$CQ$205^A59,IF(A59='Données projet'!$A$140,'Données projet'!$B$140,CT58+CS59-DB58)))</f>
        <v>183.60000000000002</v>
      </c>
      <c r="CU59" s="17">
        <f>CT59*VLOOKUP('Données projet'!$B$13,Paramètres!$A$1:$I$89,3,0)*VLOOKUP('Données projet'!$B$13,Paramètres!$A$1:$I$89,5,0)</f>
        <v>197.62704000000002</v>
      </c>
      <c r="CV59" s="13">
        <f t="shared" si="41"/>
        <v>49.222301224260057</v>
      </c>
      <c r="CW59" s="20">
        <f t="shared" si="13"/>
        <v>429.92926929891956</v>
      </c>
      <c r="CX59" s="57">
        <f t="shared" si="14"/>
        <v>723.26260263225288</v>
      </c>
      <c r="CY59" s="57">
        <f ca="1">AVERAGE(OFFSET($CX$3,0,0,'Données projet'!$E$13+1,1))-AVERAGE(OFFSET($H$3,0,0,'Données projet'!$E$13+1,1))</f>
        <v>436.59978658837537</v>
      </c>
      <c r="CZ59" s="57">
        <f t="shared" si="42"/>
        <v>267.2998309535638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9.3164052813223872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9.3164052813223872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5.4</v>
      </c>
      <c r="DO59" s="12">
        <f>IF('Données projet'!$A$166&gt;35,DO58+DN59-DW58,IF(A59&lt;'Données projet'!$A$166,$DL$205^A59,IF(A59='Données projet'!$A$166,'Données projet'!$B$166,DO58+DN59-DW58)))</f>
        <v>126.39999999999995</v>
      </c>
      <c r="DP59" s="17">
        <f>DO59*VLOOKUP('Données projet'!$B$14,Paramètres!$A$1:$I$89,3,0)*VLOOKUP('Données projet'!$B$14,Paramètres!$A$1:$I$89,5,0)</f>
        <v>120.28223999999996</v>
      </c>
      <c r="DQ59" s="13">
        <f t="shared" si="43"/>
        <v>31.74081813615641</v>
      </c>
      <c r="DR59" s="20">
        <f t="shared" si="16"/>
        <v>264.77349292047239</v>
      </c>
      <c r="DS59" s="57">
        <f t="shared" si="17"/>
        <v>558.10682625380571</v>
      </c>
      <c r="DT59" s="57">
        <f ca="1">AVERAGE(OFFSET($DS$3,0,0,'Données projet'!$E$14+1,1))-AVERAGE(OFFSET($H$3,0,0,'Données projet'!$E$14+1,1))</f>
        <v>292.95981568144879</v>
      </c>
      <c r="DU59" s="57">
        <f t="shared" si="44"/>
        <v>152.23954167722536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4.928496110719812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4.928496110719812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7" t="e">
        <f t="shared" si="20"/>
        <v>#N/A</v>
      </c>
      <c r="EO59" s="57" t="e">
        <f ca="1">AVERAGE(OFFSET($EN$3,0,0,'Données projet'!$E$15+1,1))-AVERAGE(OFFSET($H$3,0,0,'Données projet'!$E$15+1,1))</f>
        <v>#N/A</v>
      </c>
      <c r="EP59" s="57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7" t="e">
        <f t="shared" si="23"/>
        <v>#N/A</v>
      </c>
      <c r="FJ59" s="57" t="e">
        <f ca="1">AVERAGE(OFFSET($FI$3,0,0,'Données projet'!$E$16+1,1))-AVERAGE(OFFSET($H$3,0,0,'Données projet'!$E$16+1,1))</f>
        <v>#N/A</v>
      </c>
      <c r="FK59" s="57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7" t="e">
        <f t="shared" si="26"/>
        <v>#N/A</v>
      </c>
      <c r="GE59" s="57" t="e">
        <f ca="1">AVERAGE(OFFSET($GD$3,0,0,'Données projet'!$E$17+1,1))-AVERAGE(OFFSET($H$3,0,0,'Données projet'!$E$17+1,1))</f>
        <v>#N/A</v>
      </c>
      <c r="GF59" s="57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7" t="e">
        <f t="shared" si="29"/>
        <v>#N/A</v>
      </c>
      <c r="GZ59" s="57" t="e">
        <f ca="1">AVERAGE(OFFSET($GY$3,0,0,'Données projet'!$E$18+1,1))-AVERAGE(OFFSET($H$3,0,0,'Données projet'!$E$18+1,1))</f>
        <v>#N/A</v>
      </c>
      <c r="HA59" s="57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1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5">
        <f t="shared" si="1"/>
        <v>256.66666666666669</v>
      </c>
      <c r="I60" s="6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191.20000000000002</v>
      </c>
      <c r="O60" s="13">
        <f>N60*VLOOKUP('Données projet'!$B$9,Paramètres!$A$1:$I$89,3,0)*VLOOKUP('Données projet'!$B$9,Paramètres!$A$1:$I$89,5,0)</f>
        <v>172.99776</v>
      </c>
      <c r="P60" s="13">
        <f t="shared" si="33"/>
        <v>43.760737531919609</v>
      </c>
      <c r="Q60" s="20">
        <f t="shared" si="53"/>
        <v>377.52104986809331</v>
      </c>
      <c r="R60" s="57">
        <f t="shared" si="0"/>
        <v>670.85438320142657</v>
      </c>
      <c r="S60" s="57">
        <f ca="1">AVERAGE(OFFSET($R$3,0,0,'Données projet'!$E$9+1,1))-AVERAGE(OFFSET($H$3,0,0,'Données projet'!$E$9+1,1))</f>
        <v>373.45926089889866</v>
      </c>
      <c r="T60" s="57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7.6776165631841069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7.6776165631841069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191.20000000000002</v>
      </c>
      <c r="AJ60" s="13">
        <f>AI60*VLOOKUP('Données projet'!$B$10,Paramètres!$A$1:$I$89,3,0)*VLOOKUP('Données projet'!$B$10,Paramètres!$A$1:$I$89,5,0)</f>
        <v>181.94592</v>
      </c>
      <c r="AK60" s="13">
        <f t="shared" si="35"/>
        <v>45.754846212632849</v>
      </c>
      <c r="AL60" s="20">
        <f t="shared" si="4"/>
        <v>396.57883448700221</v>
      </c>
      <c r="AM60" s="57">
        <f t="shared" si="5"/>
        <v>689.91216782033553</v>
      </c>
      <c r="AN60" s="57">
        <f ca="1">AVERAGE(OFFSET($AM$3,0,0,'Données projet'!$E$10+1,1))-AVERAGE(OFFSET($H$3,0,0,'Données projet'!$E$10+1,1))</f>
        <v>390.70240761116355</v>
      </c>
      <c r="AO60" s="57">
        <f t="shared" si="36"/>
        <v>241.18285512887638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8.0747346612798356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8.0747346612798356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191.20000000000002</v>
      </c>
      <c r="BE60" s="13">
        <f>BD60*VLOOKUP('Données projet'!$B$11,Paramètres!$A$1:$I$89,3,0)*VLOOKUP('Données projet'!$B$11,Paramètres!$A$1:$I$89,5,0)</f>
        <v>184.92864000000003</v>
      </c>
      <c r="BF60" s="13">
        <f t="shared" si="37"/>
        <v>46.416987887800268</v>
      </c>
      <c r="BG60" s="20">
        <f t="shared" si="7"/>
        <v>402.92696857125219</v>
      </c>
      <c r="BH60" s="57">
        <f t="shared" si="8"/>
        <v>696.2603019045855</v>
      </c>
      <c r="BI60" s="57">
        <f ca="1">AVERAGE(OFFSET($BH$3,0,0,'Données projet'!$E$11+1,1))-AVERAGE(OFFSET($H$3,0,0,'Données projet'!$E$11+1,1))</f>
        <v>396.44612884768748</v>
      </c>
      <c r="BJ60" s="57">
        <f t="shared" si="38"/>
        <v>244.451492444461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8.2071073606450788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8.2071073606450788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14.1</v>
      </c>
      <c r="BY60" s="12">
        <f>IF('Données projet'!$A$114&gt;35,BY59+BX60-CG59,IF(A60&lt;'Données projet'!$A$114,$BV$205^A60,IF(A60='Données projet'!$A$114,'Données projet'!$B$114,BY59+BX60-CG59)))</f>
        <v>398.64000000000027</v>
      </c>
      <c r="BZ60" s="13">
        <f>BY60*VLOOKUP('Données projet'!$B$12,Paramètres!$A$1:$I$89,3,0)*VLOOKUP('Données projet'!$B$12,Paramètres!$A$1:$I$89,5,0)</f>
        <v>238.38672000000017</v>
      </c>
      <c r="CA60" s="13">
        <f t="shared" si="39"/>
        <v>58.092289295817736</v>
      </c>
      <c r="CB60" s="20">
        <f t="shared" si="10"/>
        <v>516.36760785688273</v>
      </c>
      <c r="CC60" s="57">
        <f t="shared" si="11"/>
        <v>809.7009411902161</v>
      </c>
      <c r="CD60" s="57">
        <f ca="1">AVERAGE(OFFSET($CC$3,0,0,'Données projet'!$E$12+1,1))-AVERAGE(OFFSET($H$3,0,0,'Données projet'!$E$12+1,1))</f>
        <v>259.64096626089821</v>
      </c>
      <c r="CE60" s="57">
        <f t="shared" si="40"/>
        <v>258.1415293081597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26.484786179887678</v>
      </c>
      <c r="CL60" s="21">
        <f>EXP(-LN(2)/25)*CL59+(1-EXP(-LN(2)/25))/(LN(2)/25)*Calculateur!CG60*Calculateur!CI60*VLOOKUP('Données projet'!$B$12,Paramètres!$A$1:$I$89,3,0)*0.475*44/12</f>
        <v>19.772006377109484</v>
      </c>
      <c r="CM60" s="21">
        <f>EXP(-LN(2)/2)*CM59+(1-EXP(-LN(2)/2))/(LN(2)/2)*CG60*CJ60*VLOOKUP('Données projet'!$B$12,Paramètres!$A$1:$I$89,3,0)*0.475*44/12</f>
        <v>0.80616036173731564</v>
      </c>
      <c r="CN60" s="22">
        <f t="shared" si="12"/>
        <v>47.062952918734474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7.6</v>
      </c>
      <c r="CT60" s="12">
        <f>IF('Données projet'!$A$140&gt;35,CT59+CS60-DB59,IF(A60&lt;'Données projet'!$A$140,$CQ$205^A60,IF(A60='Données projet'!$A$140,'Données projet'!$B$140,CT59+CS60-DB59)))</f>
        <v>191.20000000000002</v>
      </c>
      <c r="CU60" s="17">
        <f>CT60*VLOOKUP('Données projet'!$B$13,Paramètres!$A$1:$I$89,3,0)*VLOOKUP('Données projet'!$B$13,Paramètres!$A$1:$I$89,5,0)</f>
        <v>205.80768</v>
      </c>
      <c r="CV60" s="13">
        <f t="shared" si="41"/>
        <v>51.018385886479962</v>
      </c>
      <c r="CW60" s="20">
        <f t="shared" si="13"/>
        <v>447.30539808561929</v>
      </c>
      <c r="CX60" s="57">
        <f t="shared" si="14"/>
        <v>740.6387314189526</v>
      </c>
      <c r="CY60" s="57">
        <f ca="1">AVERAGE(OFFSET($CX$3,0,0,'Données projet'!$E$13+1,1))-AVERAGE(OFFSET($H$3,0,0,'Données projet'!$E$13+1,1))</f>
        <v>436.59978658837537</v>
      </c>
      <c r="CZ60" s="57">
        <f t="shared" si="42"/>
        <v>267.2998309535638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9.1337162562017813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9.1337162562017813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5.4</v>
      </c>
      <c r="DO60" s="12">
        <f>IF('Données projet'!$A$166&gt;35,DO59+DN60-DW59,IF(A60&lt;'Données projet'!$A$166,$DL$205^A60,IF(A60='Données projet'!$A$166,'Données projet'!$B$166,DO59+DN60-DW59)))</f>
        <v>131.79999999999995</v>
      </c>
      <c r="DP60" s="17">
        <f>DO60*VLOOKUP('Données projet'!$B$14,Paramètres!$A$1:$I$89,3,0)*VLOOKUP('Données projet'!$B$14,Paramètres!$A$1:$I$89,5,0)</f>
        <v>125.42087999999995</v>
      </c>
      <c r="DQ60" s="13">
        <f t="shared" si="43"/>
        <v>32.936061027273531</v>
      </c>
      <c r="DR60" s="20">
        <f t="shared" si="16"/>
        <v>275.80500562250131</v>
      </c>
      <c r="DS60" s="57">
        <f t="shared" si="17"/>
        <v>569.13833895583457</v>
      </c>
      <c r="DT60" s="57">
        <f ca="1">AVERAGE(OFFSET($DS$3,0,0,'Données projet'!$E$14+1,1))-AVERAGE(OFFSET($H$3,0,0,'Données projet'!$E$14+1,1))</f>
        <v>292.95981568144879</v>
      </c>
      <c r="DU60" s="57">
        <f t="shared" si="44"/>
        <v>152.23954167722536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4.8318513080743974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4.8318513080743974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7" t="e">
        <f t="shared" si="20"/>
        <v>#N/A</v>
      </c>
      <c r="EO60" s="57" t="e">
        <f ca="1">AVERAGE(OFFSET($EN$3,0,0,'Données projet'!$E$15+1,1))-AVERAGE(OFFSET($H$3,0,0,'Données projet'!$E$15+1,1))</f>
        <v>#N/A</v>
      </c>
      <c r="EP60" s="57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7" t="e">
        <f t="shared" si="23"/>
        <v>#N/A</v>
      </c>
      <c r="FJ60" s="57" t="e">
        <f ca="1">AVERAGE(OFFSET($FI$3,0,0,'Données projet'!$E$16+1,1))-AVERAGE(OFFSET($H$3,0,0,'Données projet'!$E$16+1,1))</f>
        <v>#N/A</v>
      </c>
      <c r="FK60" s="57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7" t="e">
        <f t="shared" si="26"/>
        <v>#N/A</v>
      </c>
      <c r="GE60" s="57" t="e">
        <f ca="1">AVERAGE(OFFSET($GD$3,0,0,'Données projet'!$E$17+1,1))-AVERAGE(OFFSET($H$3,0,0,'Données projet'!$E$17+1,1))</f>
        <v>#N/A</v>
      </c>
      <c r="GF60" s="57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7" t="e">
        <f t="shared" si="29"/>
        <v>#N/A</v>
      </c>
      <c r="GZ60" s="57" t="e">
        <f ca="1">AVERAGE(OFFSET($GY$3,0,0,'Données projet'!$E$18+1,1))-AVERAGE(OFFSET($H$3,0,0,'Données projet'!$E$18+1,1))</f>
        <v>#N/A</v>
      </c>
      <c r="HA60" s="57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1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5">
        <f t="shared" si="1"/>
        <v>256.66666666666669</v>
      </c>
      <c r="I61" s="6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198.8</v>
      </c>
      <c r="O61" s="13">
        <f>N61*VLOOKUP('Données projet'!$B$9,Paramètres!$A$1:$I$89,3,0)*VLOOKUP('Données projet'!$B$9,Paramètres!$A$1:$I$89,5,0)</f>
        <v>179.87424000000001</v>
      </c>
      <c r="P61" s="13">
        <f t="shared" si="33"/>
        <v>45.294205745553846</v>
      </c>
      <c r="Q61" s="20">
        <f t="shared" si="53"/>
        <v>392.16837634017293</v>
      </c>
      <c r="R61" s="57">
        <f t="shared" si="0"/>
        <v>685.50170967350618</v>
      </c>
      <c r="S61" s="57">
        <f ca="1">AVERAGE(OFFSET($R$3,0,0,'Données projet'!$E$9+1,1))-AVERAGE(OFFSET($H$3,0,0,'Données projet'!$E$9+1,1))</f>
        <v>373.45926089889866</v>
      </c>
      <c r="T61" s="57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7.5270631852637742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7.5270631852637742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198.8</v>
      </c>
      <c r="AJ61" s="13">
        <f>AI61*VLOOKUP('Données projet'!$B$10,Paramètres!$A$1:$I$89,3,0)*VLOOKUP('Données projet'!$B$10,Paramètres!$A$1:$I$89,5,0)</f>
        <v>189.17807999999999</v>
      </c>
      <c r="AK61" s="13">
        <f t="shared" si="35"/>
        <v>47.358192185392497</v>
      </c>
      <c r="AL61" s="20">
        <f t="shared" si="4"/>
        <v>411.96734072289183</v>
      </c>
      <c r="AM61" s="57">
        <f t="shared" si="5"/>
        <v>705.30067405622515</v>
      </c>
      <c r="AN61" s="57">
        <f ca="1">AVERAGE(OFFSET($AM$3,0,0,'Données projet'!$E$10+1,1))-AVERAGE(OFFSET($H$3,0,0,'Données projet'!$E$10+1,1))</f>
        <v>390.70240761116355</v>
      </c>
      <c r="AO61" s="57">
        <f t="shared" si="36"/>
        <v>241.18285512887638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7.9163940396739676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7.9163940396739676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198.8</v>
      </c>
      <c r="BE61" s="13">
        <f>BD61*VLOOKUP('Données projet'!$B$11,Paramètres!$A$1:$I$89,3,0)*VLOOKUP('Données projet'!$B$11,Paramètres!$A$1:$I$89,5,0)</f>
        <v>192.27936</v>
      </c>
      <c r="BF61" s="13">
        <f t="shared" si="37"/>
        <v>48.04353669645932</v>
      </c>
      <c r="BG61" s="20">
        <f t="shared" si="7"/>
        <v>418.56237841299998</v>
      </c>
      <c r="BH61" s="57">
        <f t="shared" si="8"/>
        <v>711.89571174633329</v>
      </c>
      <c r="BI61" s="57">
        <f ca="1">AVERAGE(OFFSET($BH$3,0,0,'Données projet'!$E$11+1,1))-AVERAGE(OFFSET($H$3,0,0,'Données projet'!$E$11+1,1))</f>
        <v>396.44612884768748</v>
      </c>
      <c r="BJ61" s="57">
        <f t="shared" si="38"/>
        <v>244.451492444461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8.0461709911440327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8.0461709911440327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14.1</v>
      </c>
      <c r="BY61" s="12">
        <f>IF('Données projet'!$A$114&gt;35,BY60+BX61-CG60,IF(A61&lt;'Données projet'!$A$114,$BV$205^A61,IF(A61='Données projet'!$A$114,'Données projet'!$B$114,BY60+BX61-CG60)))</f>
        <v>412.74000000000029</v>
      </c>
      <c r="BZ61" s="13">
        <f>BY61*VLOOKUP('Données projet'!$B$12,Paramètres!$A$1:$I$89,3,0)*VLOOKUP('Données projet'!$B$12,Paramètres!$A$1:$I$89,5,0)</f>
        <v>246.81852000000018</v>
      </c>
      <c r="CA61" s="13">
        <f t="shared" si="39"/>
        <v>59.90416780920566</v>
      </c>
      <c r="CB61" s="20">
        <f t="shared" si="10"/>
        <v>534.20868126770017</v>
      </c>
      <c r="CC61" s="57">
        <f t="shared" si="11"/>
        <v>827.54201460103354</v>
      </c>
      <c r="CD61" s="57">
        <f ca="1">AVERAGE(OFFSET($CC$3,0,0,'Données projet'!$E$12+1,1))-AVERAGE(OFFSET($H$3,0,0,'Données projet'!$E$12+1,1))</f>
        <v>259.64096626089821</v>
      </c>
      <c r="CE61" s="57">
        <f t="shared" si="40"/>
        <v>258.1415293081597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25.965435677024562</v>
      </c>
      <c r="CL61" s="21">
        <f>EXP(-LN(2)/25)*CL60+(1-EXP(-LN(2)/25))/(LN(2)/25)*Calculateur!CG61*Calculateur!CI61*VLOOKUP('Données projet'!$B$12,Paramètres!$A$1:$I$89,3,0)*0.475*44/12</f>
        <v>19.231339822962799</v>
      </c>
      <c r="CM61" s="21">
        <f>EXP(-LN(2)/2)*CM60+(1-EXP(-LN(2)/2))/(LN(2)/2)*CG61*CJ61*VLOOKUP('Données projet'!$B$12,Paramètres!$A$1:$I$89,3,0)*0.475*44/12</f>
        <v>0.57004145850825605</v>
      </c>
      <c r="CN61" s="22">
        <f t="shared" si="12"/>
        <v>45.766816958495617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7.6</v>
      </c>
      <c r="CT61" s="12">
        <f>IF('Données projet'!$A$140&gt;35,CT60+CS61-DB60,IF(A61&lt;'Données projet'!$A$140,$CQ$205^A61,IF(A61='Données projet'!$A$140,'Données projet'!$B$140,CT60+CS61-DB60)))</f>
        <v>198.8</v>
      </c>
      <c r="CU61" s="17">
        <f>CT61*VLOOKUP('Données projet'!$B$13,Paramètres!$A$1:$I$89,3,0)*VLOOKUP('Données projet'!$B$13,Paramètres!$A$1:$I$89,5,0)</f>
        <v>213.98832000000002</v>
      </c>
      <c r="CV61" s="13">
        <f t="shared" si="41"/>
        <v>52.806177351621038</v>
      </c>
      <c r="CW61" s="20">
        <f t="shared" si="13"/>
        <v>464.66708288740665</v>
      </c>
      <c r="CX61" s="57">
        <f t="shared" si="14"/>
        <v>758.00041622073991</v>
      </c>
      <c r="CY61" s="57">
        <f ca="1">AVERAGE(OFFSET($CX$3,0,0,'Données projet'!$E$13+1,1))-AVERAGE(OFFSET($H$3,0,0,'Données projet'!$E$13+1,1))</f>
        <v>436.59978658837537</v>
      </c>
      <c r="CZ61" s="57">
        <f t="shared" si="42"/>
        <v>267.2998309535638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8.9546096514344882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8.9546096514344882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5.4</v>
      </c>
      <c r="DO61" s="12">
        <f>IF('Données projet'!$A$166&gt;35,DO60+DN61-DW60,IF(A61&lt;'Données projet'!$A$166,$DL$205^A61,IF(A61='Données projet'!$A$166,'Données projet'!$B$166,DO60+DN61-DW60)))</f>
        <v>137.19999999999996</v>
      </c>
      <c r="DP61" s="17">
        <f>DO61*VLOOKUP('Données projet'!$B$14,Paramètres!$A$1:$I$89,3,0)*VLOOKUP('Données projet'!$B$14,Paramètres!$A$1:$I$89,5,0)</f>
        <v>130.55951999999996</v>
      </c>
      <c r="DQ61" s="13">
        <f t="shared" si="43"/>
        <v>34.125615642317207</v>
      </c>
      <c r="DR61" s="20">
        <f t="shared" si="16"/>
        <v>286.82661124370242</v>
      </c>
      <c r="DS61" s="57">
        <f t="shared" si="17"/>
        <v>580.15994457703573</v>
      </c>
      <c r="DT61" s="57">
        <f ca="1">AVERAGE(OFFSET($DS$3,0,0,'Données projet'!$E$14+1,1))-AVERAGE(OFFSET($H$3,0,0,'Données projet'!$E$14+1,1))</f>
        <v>292.95981568144879</v>
      </c>
      <c r="DU61" s="57">
        <f t="shared" si="44"/>
        <v>152.23954167722536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4.7371016510613506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4.7371016510613506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7" t="e">
        <f t="shared" si="20"/>
        <v>#N/A</v>
      </c>
      <c r="EO61" s="57" t="e">
        <f ca="1">AVERAGE(OFFSET($EN$3,0,0,'Données projet'!$E$15+1,1))-AVERAGE(OFFSET($H$3,0,0,'Données projet'!$E$15+1,1))</f>
        <v>#N/A</v>
      </c>
      <c r="EP61" s="57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7" t="e">
        <f t="shared" si="23"/>
        <v>#N/A</v>
      </c>
      <c r="FJ61" s="57" t="e">
        <f ca="1">AVERAGE(OFFSET($FI$3,0,0,'Données projet'!$E$16+1,1))-AVERAGE(OFFSET($H$3,0,0,'Données projet'!$E$16+1,1))</f>
        <v>#N/A</v>
      </c>
      <c r="FK61" s="57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7" t="e">
        <f t="shared" si="26"/>
        <v>#N/A</v>
      </c>
      <c r="GE61" s="57" t="e">
        <f ca="1">AVERAGE(OFFSET($GD$3,0,0,'Données projet'!$E$17+1,1))-AVERAGE(OFFSET($H$3,0,0,'Données projet'!$E$17+1,1))</f>
        <v>#N/A</v>
      </c>
      <c r="GF61" s="57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7" t="e">
        <f t="shared" si="29"/>
        <v>#N/A</v>
      </c>
      <c r="GZ61" s="57" t="e">
        <f ca="1">AVERAGE(OFFSET($GY$3,0,0,'Données projet'!$E$18+1,1))-AVERAGE(OFFSET($H$3,0,0,'Données projet'!$E$18+1,1))</f>
        <v>#N/A</v>
      </c>
      <c r="HA61" s="57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1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5">
        <f t="shared" si="1"/>
        <v>256.66666666666669</v>
      </c>
      <c r="I62" s="6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206.4</v>
      </c>
      <c r="O62" s="13">
        <f>N62*VLOOKUP('Données projet'!$B$9,Paramètres!$A$1:$I$89,3,0)*VLOOKUP('Données projet'!$B$9,Paramètres!$A$1:$I$89,5,0)</f>
        <v>186.75072</v>
      </c>
      <c r="P62" s="13">
        <f t="shared" si="33"/>
        <v>46.820863587839391</v>
      </c>
      <c r="Q62" s="20">
        <f t="shared" si="53"/>
        <v>406.80384141548689</v>
      </c>
      <c r="R62" s="57">
        <f t="shared" si="0"/>
        <v>700.13717474882014</v>
      </c>
      <c r="S62" s="57">
        <f ca="1">AVERAGE(OFFSET($R$3,0,0,'Données projet'!$E$9+1,1))-AVERAGE(OFFSET($H$3,0,0,'Données projet'!$E$9+1,1))</f>
        <v>373.45926089889866</v>
      </c>
      <c r="T62" s="57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7.3794620672559654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7.3794620672559654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206.4</v>
      </c>
      <c r="AJ62" s="13">
        <f>AI62*VLOOKUP('Données projet'!$B$10,Paramètres!$A$1:$I$89,3,0)*VLOOKUP('Données projet'!$B$10,Paramètres!$A$1:$I$89,5,0)</f>
        <v>196.41023999999999</v>
      </c>
      <c r="AK62" s="13">
        <f t="shared" si="35"/>
        <v>48.954417448783772</v>
      </c>
      <c r="AL62" s="20">
        <f t="shared" si="4"/>
        <v>427.34344505663171</v>
      </c>
      <c r="AM62" s="57">
        <f t="shared" si="5"/>
        <v>720.67677838996497</v>
      </c>
      <c r="AN62" s="57">
        <f ca="1">AVERAGE(OFFSET($AM$3,0,0,'Données projet'!$E$10+1,1))-AVERAGE(OFFSET($H$3,0,0,'Données projet'!$E$10+1,1))</f>
        <v>390.70240761116355</v>
      </c>
      <c r="AO62" s="57">
        <f t="shared" si="36"/>
        <v>241.18285512887638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7.7611583810795484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7.7611583810795484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206.4</v>
      </c>
      <c r="BE62" s="13">
        <f>BD62*VLOOKUP('Données projet'!$B$11,Paramètres!$A$1:$I$89,3,0)*VLOOKUP('Données projet'!$B$11,Paramètres!$A$1:$I$89,5,0)</f>
        <v>199.63008000000002</v>
      </c>
      <c r="BF62" s="13">
        <f t="shared" si="37"/>
        <v>49.662861748339331</v>
      </c>
      <c r="BG62" s="20">
        <f t="shared" si="7"/>
        <v>434.18520687835775</v>
      </c>
      <c r="BH62" s="57">
        <f t="shared" si="8"/>
        <v>727.51854021169106</v>
      </c>
      <c r="BI62" s="57">
        <f ca="1">AVERAGE(OFFSET($BH$3,0,0,'Données projet'!$E$11+1,1))-AVERAGE(OFFSET($H$3,0,0,'Données projet'!$E$11+1,1))</f>
        <v>396.44612884768748</v>
      </c>
      <c r="BJ62" s="57">
        <f t="shared" si="38"/>
        <v>244.451492444461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7.8883904856874096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7.8883904856874096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14.1</v>
      </c>
      <c r="BY62" s="12">
        <f>IF('Données projet'!$A$114&gt;35,BY61+BX62-CG61,IF(A62&lt;'Données projet'!$A$114,$BV$205^A62,IF(A62='Données projet'!$A$114,'Données projet'!$B$114,BY61+BX62-CG61)))</f>
        <v>426.84000000000032</v>
      </c>
      <c r="BZ62" s="13">
        <f>BY62*VLOOKUP('Données projet'!$B$12,Paramètres!$A$1:$I$89,3,0)*VLOOKUP('Données projet'!$B$12,Paramètres!$A$1:$I$89,5,0)</f>
        <v>255.25032000000022</v>
      </c>
      <c r="CA62" s="13">
        <f t="shared" si="39"/>
        <v>61.708854306258495</v>
      </c>
      <c r="CB62" s="20">
        <f t="shared" si="10"/>
        <v>552.03722858340063</v>
      </c>
      <c r="CC62" s="57">
        <f t="shared" si="11"/>
        <v>845.370561916734</v>
      </c>
      <c r="CD62" s="57">
        <f ca="1">AVERAGE(OFFSET($CC$3,0,0,'Données projet'!$E$12+1,1))-AVERAGE(OFFSET($H$3,0,0,'Données projet'!$E$12+1,1))</f>
        <v>259.64096626089821</v>
      </c>
      <c r="CE62" s="57">
        <f t="shared" si="40"/>
        <v>258.1415293081597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25.456269320750064</v>
      </c>
      <c r="CL62" s="21">
        <f>EXP(-LN(2)/25)*CL61+(1-EXP(-LN(2)/25))/(LN(2)/25)*Calculateur!CG62*Calculateur!CI62*VLOOKUP('Données projet'!$B$12,Paramètres!$A$1:$I$89,3,0)*0.475*44/12</f>
        <v>18.705457824171674</v>
      </c>
      <c r="CM62" s="21">
        <f>EXP(-LN(2)/2)*CM61+(1-EXP(-LN(2)/2))/(LN(2)/2)*CG62*CJ62*VLOOKUP('Données projet'!$B$12,Paramètres!$A$1:$I$89,3,0)*0.475*44/12</f>
        <v>0.40308018086865782</v>
      </c>
      <c r="CN62" s="22">
        <f t="shared" si="12"/>
        <v>44.564807325790397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7.6</v>
      </c>
      <c r="CT62" s="12">
        <f>IF('Données projet'!$A$140&gt;35,CT61+CS62-DB61,IF(A62&lt;'Données projet'!$A$140,$CQ$205^A62,IF(A62='Données projet'!$A$140,'Données projet'!$B$140,CT61+CS62-DB61)))</f>
        <v>206.4</v>
      </c>
      <c r="CU62" s="17">
        <f>CT62*VLOOKUP('Données projet'!$B$13,Paramètres!$A$1:$I$89,3,0)*VLOOKUP('Données projet'!$B$13,Paramètres!$A$1:$I$89,5,0)</f>
        <v>222.16896</v>
      </c>
      <c r="CV62" s="13">
        <f t="shared" si="41"/>
        <v>54.586028956213688</v>
      </c>
      <c r="CW62" s="20">
        <f t="shared" si="13"/>
        <v>482.01493909873881</v>
      </c>
      <c r="CX62" s="57">
        <f t="shared" si="14"/>
        <v>775.34827243207212</v>
      </c>
      <c r="CY62" s="57">
        <f ca="1">AVERAGE(OFFSET($CX$3,0,0,'Données projet'!$E$13+1,1))-AVERAGE(OFFSET($H$3,0,0,'Données projet'!$E$13+1,1))</f>
        <v>436.59978658837537</v>
      </c>
      <c r="CZ62" s="57">
        <f t="shared" si="42"/>
        <v>267.2998309535638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8.7790152179424403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8.7790152179424403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5.4</v>
      </c>
      <c r="DO62" s="12">
        <f>IF('Données projet'!$A$166&gt;35,DO61+DN62-DW61,IF(A62&lt;'Données projet'!$A$166,$DL$205^A62,IF(A62='Données projet'!$A$166,'Données projet'!$B$166,DO61+DN62-DW61)))</f>
        <v>142.59999999999997</v>
      </c>
      <c r="DP62" s="17">
        <f>DO62*VLOOKUP('Données projet'!$B$14,Paramètres!$A$1:$I$89,3,0)*VLOOKUP('Données projet'!$B$14,Paramètres!$A$1:$I$89,5,0)</f>
        <v>135.69815999999997</v>
      </c>
      <c r="DQ62" s="13">
        <f t="shared" si="43"/>
        <v>35.309731483374598</v>
      </c>
      <c r="DR62" s="20">
        <f t="shared" si="16"/>
        <v>297.83874433354407</v>
      </c>
      <c r="DS62" s="57">
        <f t="shared" si="17"/>
        <v>591.17207766687739</v>
      </c>
      <c r="DT62" s="57">
        <f ca="1">AVERAGE(OFFSET($DS$3,0,0,'Données projet'!$E$14+1,1))-AVERAGE(OFFSET($H$3,0,0,'Données projet'!$E$14+1,1))</f>
        <v>292.95981568144879</v>
      </c>
      <c r="DU62" s="57">
        <f t="shared" si="44"/>
        <v>152.23954167722536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4.6442099770307452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4.6442099770307452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7" t="e">
        <f t="shared" si="20"/>
        <v>#N/A</v>
      </c>
      <c r="EO62" s="57" t="e">
        <f ca="1">AVERAGE(OFFSET($EN$3,0,0,'Données projet'!$E$15+1,1))-AVERAGE(OFFSET($H$3,0,0,'Données projet'!$E$15+1,1))</f>
        <v>#N/A</v>
      </c>
      <c r="EP62" s="57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7" t="e">
        <f t="shared" si="23"/>
        <v>#N/A</v>
      </c>
      <c r="FJ62" s="57" t="e">
        <f ca="1">AVERAGE(OFFSET($FI$3,0,0,'Données projet'!$E$16+1,1))-AVERAGE(OFFSET($H$3,0,0,'Données projet'!$E$16+1,1))</f>
        <v>#N/A</v>
      </c>
      <c r="FK62" s="57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7" t="e">
        <f t="shared" si="26"/>
        <v>#N/A</v>
      </c>
      <c r="GE62" s="57" t="e">
        <f ca="1">AVERAGE(OFFSET($GD$3,0,0,'Données projet'!$E$17+1,1))-AVERAGE(OFFSET($H$3,0,0,'Données projet'!$E$17+1,1))</f>
        <v>#N/A</v>
      </c>
      <c r="GF62" s="57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7" t="e">
        <f t="shared" si="29"/>
        <v>#N/A</v>
      </c>
      <c r="GZ62" s="57" t="e">
        <f ca="1">AVERAGE(OFFSET($GY$3,0,0,'Données projet'!$E$18+1,1))-AVERAGE(OFFSET($H$3,0,0,'Données projet'!$E$18+1,1))</f>
        <v>#N/A</v>
      </c>
      <c r="HA62" s="57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1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5">
        <f t="shared" si="1"/>
        <v>256.66666666666669</v>
      </c>
      <c r="I63" s="6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214</v>
      </c>
      <c r="O63" s="13">
        <f>N63*VLOOKUP('Données projet'!$B$9,Paramètres!$A$1:$I$89,3,0)*VLOOKUP('Données projet'!$B$9,Paramètres!$A$1:$I$89,5,0)</f>
        <v>193.62719999999999</v>
      </c>
      <c r="P63" s="13">
        <f t="shared" si="33"/>
        <v>48.340990547231193</v>
      </c>
      <c r="Q63" s="20">
        <f t="shared" si="53"/>
        <v>421.42793186976093</v>
      </c>
      <c r="R63" s="57">
        <f t="shared" si="0"/>
        <v>714.76126520309424</v>
      </c>
      <c r="S63" s="57">
        <f ca="1">AVERAGE(OFFSET($R$3,0,0,'Données projet'!$E$9+1,1))-AVERAGE(OFFSET($H$3,0,0,'Données projet'!$E$9+1,1))</f>
        <v>373.45926089889866</v>
      </c>
      <c r="T63" s="57">
        <f t="shared" si="34"/>
        <v>231.36959598460686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10.847584630182402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10.847584630182402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214</v>
      </c>
      <c r="AJ63" s="13">
        <f>AI63*VLOOKUP('Données projet'!$B$10,Paramètres!$A$1:$I$89,3,0)*VLOOKUP('Données projet'!$B$10,Paramètres!$A$1:$I$89,5,0)</f>
        <v>203.64239999999998</v>
      </c>
      <c r="AK63" s="13">
        <f t="shared" si="35"/>
        <v>50.543814227115405</v>
      </c>
      <c r="AL63" s="20">
        <f t="shared" si="4"/>
        <v>442.70765644555928</v>
      </c>
      <c r="AM63" s="57">
        <f t="shared" si="5"/>
        <v>736.04098977889259</v>
      </c>
      <c r="AN63" s="57">
        <f ca="1">AVERAGE(OFFSET($AM$3,0,0,'Données projet'!$E$10+1,1))-AVERAGE(OFFSET($H$3,0,0,'Données projet'!$E$10+1,1))</f>
        <v>390.70240761116355</v>
      </c>
      <c r="AO63" s="57">
        <f t="shared" si="36"/>
        <v>241.18285512887638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11.408666593812526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11.408666593812526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214</v>
      </c>
      <c r="BE63" s="13">
        <f>BD63*VLOOKUP('Données projet'!$B$11,Paramètres!$A$1:$I$89,3,0)*VLOOKUP('Données projet'!$B$11,Paramètres!$A$1:$I$89,5,0)</f>
        <v>206.98080000000002</v>
      </c>
      <c r="BF63" s="13">
        <f t="shared" si="37"/>
        <v>51.275259496675787</v>
      </c>
      <c r="BG63" s="20">
        <f t="shared" si="7"/>
        <v>449.79597029004367</v>
      </c>
      <c r="BH63" s="57">
        <f t="shared" si="8"/>
        <v>743.12930362337693</v>
      </c>
      <c r="BI63" s="57">
        <f ca="1">AVERAGE(OFFSET($BH$3,0,0,'Données projet'!$E$11+1,1))-AVERAGE(OFFSET($H$3,0,0,'Données projet'!$E$11+1,1))</f>
        <v>396.44612884768748</v>
      </c>
      <c r="BJ63" s="57">
        <f t="shared" si="38"/>
        <v>244.451492444461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11.595693915022567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11.595693915022567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440.94</v>
      </c>
      <c r="BW63" s="12">
        <f>VLOOKUP(A63,'Données projet'!$A$113:$I$133,9,0)</f>
        <v>14.1</v>
      </c>
      <c r="BX63" s="12">
        <f t="array" ref="BX63">INDEX(BW:BW,MIN(IF(ISNUMBER(BW63:BW259),ROW(BW63:BW259),"")))</f>
        <v>14.1</v>
      </c>
      <c r="BY63" s="12">
        <f>IF('Données projet'!$A$114&gt;35,BY62+BX63-CG62,IF(A63&lt;'Données projet'!$A$114,$BV$205^A63,IF(A63='Données projet'!$A$114,'Données projet'!$B$114,BY62+BX63-CG62)))</f>
        <v>440.94000000000034</v>
      </c>
      <c r="BZ63" s="13">
        <f>BY63*VLOOKUP('Données projet'!$B$12,Paramètres!$A$1:$I$89,3,0)*VLOOKUP('Données projet'!$B$12,Paramètres!$A$1:$I$89,5,0)</f>
        <v>263.68212000000022</v>
      </c>
      <c r="CA63" s="13">
        <f t="shared" si="39"/>
        <v>63.506613606650063</v>
      </c>
      <c r="CB63" s="20">
        <f t="shared" si="10"/>
        <v>569.85371103158263</v>
      </c>
      <c r="CC63" s="57">
        <f t="shared" si="11"/>
        <v>863.18704436491589</v>
      </c>
      <c r="CD63" s="57">
        <f ca="1">AVERAGE(OFFSET($CC$3,0,0,'Données projet'!$E$12+1,1))-AVERAGE(OFFSET($H$3,0,0,'Données projet'!$E$12+1,1))</f>
        <v>259.64096626089821</v>
      </c>
      <c r="CE63" s="57">
        <f t="shared" si="40"/>
        <v>258.1415293081597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440.94</v>
      </c>
      <c r="CH63" s="16">
        <f>IF(ISNA(VLOOKUP(A63,'Données projet'!$A$113:$I$133,5,0)),0%,VLOOKUP(A63,'Données projet'!$A$113:$I$133,5,0)*VLOOKUP('Données projet'!$B$12,Paramètres!$A$1:$I$89,7,0))</f>
        <v>0.36000000000000004</v>
      </c>
      <c r="CI63" s="16">
        <f>IF(ISNA(VLOOKUP(A63,'Données projet'!$A$113:$I$133,6,0)),0%,VLOOKUP(A63,'Données projet'!$A$113:$I$133,6,0)*VLOOKUP('Données projet'!$B$12,Paramètres!$A$1:$I$89,7,0))</f>
        <v>4.9500000000000002E-2</v>
      </c>
      <c r="CJ63" s="16">
        <f>IF(ISNA(VLOOKUP(A63,'Données projet'!$A$113:$I$133,7,0)),0%,VLOOKUP(A63,'Données projet'!$A$113:$I$133,7,0))</f>
        <v>0.09</v>
      </c>
      <c r="CK63" s="21">
        <f>EXP(-LN(2)/35)*CK62+(1-EXP(-LN(2)/35))/(LN(2)/35)*CG63*CH63*VLOOKUP('Données projet'!$B$12,Paramètres!$A$1:$I$89,3,0)*0.475*44/12</f>
        <v>150.88196545986096</v>
      </c>
      <c r="CL63" s="21">
        <f>EXP(-LN(2)/25)*CL62+(1-EXP(-LN(2)/25))/(LN(2)/25)*Calculateur!CG63*Calculateur!CI63*VLOOKUP('Données projet'!$B$12,Paramètres!$A$1:$I$89,3,0)*0.475*44/12</f>
        <v>35.440452372595956</v>
      </c>
      <c r="CM63" s="21">
        <f>EXP(-LN(2)/2)*CM62+(1-EXP(-LN(2)/2))/(LN(2)/2)*CG63*CJ63*VLOOKUP('Données projet'!$B$12,Paramètres!$A$1:$I$89,3,0)*0.475*44/12</f>
        <v>27.154467858236561</v>
      </c>
      <c r="CN63" s="22">
        <f t="shared" si="12"/>
        <v>213.47688569069348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214</v>
      </c>
      <c r="CR63" s="12">
        <f>VLOOKUP(A63,'Données projet'!$A$139:$I$159,9,0)</f>
        <v>7.6</v>
      </c>
      <c r="CS63" s="12">
        <f t="array" ref="CS63">INDEX(CR:CR,MIN(IF(ISNUMBER(CR63:CR259),ROW(CR63:CR259),"")))</f>
        <v>7.6</v>
      </c>
      <c r="CT63" s="12">
        <f>IF('Données projet'!$A$140&gt;35,CT62+CS63-DB62,IF(A63&lt;'Données projet'!$A$140,$CQ$205^A63,IF(A63='Données projet'!$A$140,'Données projet'!$B$140,CT62+CS63-DB62)))</f>
        <v>214</v>
      </c>
      <c r="CU63" s="17">
        <f>CT63*VLOOKUP('Données projet'!$B$13,Paramètres!$A$1:$I$89,3,0)*VLOOKUP('Données projet'!$B$13,Paramètres!$A$1:$I$89,5,0)</f>
        <v>230.34960000000001</v>
      </c>
      <c r="CV63" s="13">
        <f t="shared" si="41"/>
        <v>56.35826654142631</v>
      </c>
      <c r="CW63" s="20">
        <f t="shared" si="13"/>
        <v>499.34953422631753</v>
      </c>
      <c r="CX63" s="57">
        <f t="shared" si="14"/>
        <v>792.68286755965084</v>
      </c>
      <c r="CY63" s="57">
        <f ca="1">AVERAGE(OFFSET($CX$3,0,0,'Données projet'!$E$13+1,1))-AVERAGE(OFFSET($H$3,0,0,'Données projet'!$E$13+1,1))</f>
        <v>436.59978658837537</v>
      </c>
      <c r="CZ63" s="57">
        <f t="shared" si="42"/>
        <v>267.2998309535638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21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12.904885163492857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12.904885163492857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148</v>
      </c>
      <c r="DM63" s="12">
        <f>VLOOKUP(A63,'Données projet'!$A$165:$I$185,9,0)</f>
        <v>5.4</v>
      </c>
      <c r="DN63" s="12">
        <f t="array" ref="DN63">INDEX(DM:DM,MIN(IF(ISNUMBER(DM63:DM259),ROW(DM63:DM259),"")))</f>
        <v>5.4</v>
      </c>
      <c r="DO63" s="12">
        <f>IF('Données projet'!$A$166&gt;35,DO62+DN63-DW62,IF(A63&lt;'Données projet'!$A$166,$DL$205^A63,IF(A63='Données projet'!$A$166,'Données projet'!$B$166,DO62+DN63-DW62)))</f>
        <v>147.99999999999997</v>
      </c>
      <c r="DP63" s="17">
        <f>DO63*VLOOKUP('Données projet'!$B$14,Paramètres!$A$1:$I$89,3,0)*VLOOKUP('Données projet'!$B$14,Paramètres!$A$1:$I$89,5,0)</f>
        <v>140.83679999999998</v>
      </c>
      <c r="DQ63" s="13">
        <f t="shared" si="43"/>
        <v>36.48863808581752</v>
      </c>
      <c r="DR63" s="20">
        <f t="shared" si="16"/>
        <v>308.84180466613213</v>
      </c>
      <c r="DS63" s="57">
        <f t="shared" si="17"/>
        <v>602.17513799946551</v>
      </c>
      <c r="DT63" s="57">
        <f ca="1">AVERAGE(OFFSET($DS$3,0,0,'Données projet'!$E$14+1,1))-AVERAGE(OFFSET($H$3,0,0,'Données projet'!$E$14+1,1))</f>
        <v>292.95981568144879</v>
      </c>
      <c r="DU63" s="57">
        <f t="shared" si="44"/>
        <v>152.23954167722536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0.129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6.452989749442934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6.452989749442934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7" t="e">
        <f t="shared" si="20"/>
        <v>#N/A</v>
      </c>
      <c r="EO63" s="57" t="e">
        <f ca="1">AVERAGE(OFFSET($EN$3,0,0,'Données projet'!$E$15+1,1))-AVERAGE(OFFSET($H$3,0,0,'Données projet'!$E$15+1,1))</f>
        <v>#N/A</v>
      </c>
      <c r="EP63" s="57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7" t="e">
        <f t="shared" si="23"/>
        <v>#N/A</v>
      </c>
      <c r="FJ63" s="57" t="e">
        <f ca="1">AVERAGE(OFFSET($FI$3,0,0,'Données projet'!$E$16+1,1))-AVERAGE(OFFSET($H$3,0,0,'Données projet'!$E$16+1,1))</f>
        <v>#N/A</v>
      </c>
      <c r="FK63" s="57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7" t="e">
        <f t="shared" si="26"/>
        <v>#N/A</v>
      </c>
      <c r="GE63" s="57" t="e">
        <f ca="1">AVERAGE(OFFSET($GD$3,0,0,'Données projet'!$E$17+1,1))-AVERAGE(OFFSET($H$3,0,0,'Données projet'!$E$17+1,1))</f>
        <v>#N/A</v>
      </c>
      <c r="GF63" s="57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7" t="e">
        <f t="shared" si="29"/>
        <v>#N/A</v>
      </c>
      <c r="GZ63" s="57" t="e">
        <f ca="1">AVERAGE(OFFSET($GY$3,0,0,'Données projet'!$E$18+1,1))-AVERAGE(OFFSET($H$3,0,0,'Données projet'!$E$18+1,1))</f>
        <v>#N/A</v>
      </c>
      <c r="HA63" s="57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1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5">
        <f t="shared" si="1"/>
        <v>256.66666666666669</v>
      </c>
      <c r="I64" s="6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200.2</v>
      </c>
      <c r="O64" s="13">
        <f>N64*VLOOKUP('Données projet'!$B$9,Paramètres!$A$1:$I$89,3,0)*VLOOKUP('Données projet'!$B$9,Paramètres!$A$1:$I$89,5,0)</f>
        <v>181.14095999999998</v>
      </c>
      <c r="P64" s="13">
        <f t="shared" si="33"/>
        <v>45.575935320610945</v>
      </c>
      <c r="Q64" s="20">
        <f t="shared" si="53"/>
        <v>394.86525935006398</v>
      </c>
      <c r="R64" s="57">
        <f t="shared" si="0"/>
        <v>688.19859268339724</v>
      </c>
      <c r="S64" s="57">
        <f ca="1">AVERAGE(OFFSET($R$3,0,0,'Données projet'!$E$9+1,1))-AVERAGE(OFFSET($H$3,0,0,'Données projet'!$E$9+1,1))</f>
        <v>373.45926089889866</v>
      </c>
      <c r="T64" s="57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10.634870111957836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10.634870111957836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200.2</v>
      </c>
      <c r="AJ64" s="13">
        <f>AI64*VLOOKUP('Données projet'!$B$10,Paramètres!$A$1:$I$89,3,0)*VLOOKUP('Données projet'!$B$10,Paramètres!$A$1:$I$89,5,0)</f>
        <v>190.51031999999998</v>
      </c>
      <c r="AK64" s="13">
        <f t="shared" si="35"/>
        <v>47.652759738576151</v>
      </c>
      <c r="AL64" s="20">
        <f t="shared" si="4"/>
        <v>414.80069721135334</v>
      </c>
      <c r="AM64" s="57">
        <f t="shared" si="5"/>
        <v>708.13403054468665</v>
      </c>
      <c r="AN64" s="57">
        <f ca="1">AVERAGE(OFFSET($AM$3,0,0,'Données projet'!$E$10+1,1))-AVERAGE(OFFSET($H$3,0,0,'Données projet'!$E$10+1,1))</f>
        <v>390.70240761116355</v>
      </c>
      <c r="AO64" s="57">
        <f t="shared" si="36"/>
        <v>241.18285512887638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11.18494960050738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11.18494960050738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200.2</v>
      </c>
      <c r="BE64" s="13">
        <f>BD64*VLOOKUP('Données projet'!$B$11,Paramètres!$A$1:$I$89,3,0)*VLOOKUP('Données projet'!$B$11,Paramètres!$A$1:$I$89,5,0)</f>
        <v>193.63344000000001</v>
      </c>
      <c r="BF64" s="13">
        <f t="shared" si="37"/>
        <v>48.342367086681229</v>
      </c>
      <c r="BG64" s="20">
        <f t="shared" si="7"/>
        <v>421.44119734263649</v>
      </c>
      <c r="BH64" s="57">
        <f t="shared" si="8"/>
        <v>714.7745306759698</v>
      </c>
      <c r="BI64" s="57">
        <f ca="1">AVERAGE(OFFSET($BH$3,0,0,'Données projet'!$E$11+1,1))-AVERAGE(OFFSET($H$3,0,0,'Données projet'!$E$11+1,1))</f>
        <v>396.44612884768748</v>
      </c>
      <c r="BJ64" s="57">
        <f t="shared" si="38"/>
        <v>244.451492444461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11.368309430023894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11.368309430023894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3.4106051316484809E-13</v>
      </c>
      <c r="BZ64" s="13">
        <f>BY64*VLOOKUP('Données projet'!$B$12,Paramètres!$A$1:$I$89,3,0)*VLOOKUP('Données projet'!$B$12,Paramètres!$A$1:$I$89,5,0)</f>
        <v>2.0395418687257919E-13</v>
      </c>
      <c r="CA64" s="13">
        <f t="shared" si="39"/>
        <v>2.8200388570161721E-12</v>
      </c>
      <c r="CB64" s="20">
        <f t="shared" si="10"/>
        <v>5.2667878847729083E-12</v>
      </c>
      <c r="CC64" s="57">
        <f t="shared" si="11"/>
        <v>293.3333333333386</v>
      </c>
      <c r="CD64" s="57">
        <f ca="1">AVERAGE(OFFSET($CC$3,0,0,'Données projet'!$E$12+1,1))-AVERAGE(OFFSET($H$3,0,0,'Données projet'!$E$12+1,1))</f>
        <v>259.64096626089821</v>
      </c>
      <c r="CE64" s="57">
        <f t="shared" si="40"/>
        <v>258.1415293081597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147.92326214610492</v>
      </c>
      <c r="CL64" s="21">
        <f>EXP(-LN(2)/25)*CL63+(1-EXP(-LN(2)/25))/(LN(2)/25)*Calculateur!CG64*Calculateur!CI64*VLOOKUP('Données projet'!$B$12,Paramètres!$A$1:$I$89,3,0)*0.475*44/12</f>
        <v>34.471331338734927</v>
      </c>
      <c r="CM64" s="21">
        <f>EXP(-LN(2)/2)*CM63+(1-EXP(-LN(2)/2))/(LN(2)/2)*CG64*CJ64*VLOOKUP('Données projet'!$B$12,Paramètres!$A$1:$I$89,3,0)*0.475*44/12</f>
        <v>19.201108362071221</v>
      </c>
      <c r="CN64" s="22">
        <f t="shared" si="12"/>
        <v>201.59570184691106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7.2</v>
      </c>
      <c r="CT64" s="12">
        <f>IF('Données projet'!$A$140&gt;35,CT63+CS64-DB63,IF(A64&lt;'Données projet'!$A$140,$CQ$205^A64,IF(A64='Données projet'!$A$140,'Données projet'!$B$140,CT63+CS64-DB63)))</f>
        <v>200.2</v>
      </c>
      <c r="CU64" s="17">
        <f>CT64*VLOOKUP('Données projet'!$B$13,Paramètres!$A$1:$I$89,3,0)*VLOOKUP('Données projet'!$B$13,Paramètres!$A$1:$I$89,5,0)</f>
        <v>215.49527999999998</v>
      </c>
      <c r="CV64" s="13">
        <f t="shared" si="41"/>
        <v>53.134631326269272</v>
      </c>
      <c r="CW64" s="20">
        <f t="shared" si="13"/>
        <v>467.86376222658561</v>
      </c>
      <c r="CX64" s="57">
        <f t="shared" si="14"/>
        <v>761.19709555991892</v>
      </c>
      <c r="CY64" s="57">
        <f ca="1">AVERAGE(OFFSET($CX$3,0,0,'Données projet'!$E$13+1,1))-AVERAGE(OFFSET($H$3,0,0,'Données projet'!$E$13+1,1))</f>
        <v>436.59978658837537</v>
      </c>
      <c r="CZ64" s="57">
        <f t="shared" si="42"/>
        <v>267.2998309535638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12.651828236639496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12.651828236639496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5.4</v>
      </c>
      <c r="DO64" s="12">
        <f>IF('Données projet'!$A$166&gt;35,DO63+DN64-DW63,IF(A64&lt;'Données projet'!$A$166,$DL$205^A64,IF(A64='Données projet'!$A$166,'Données projet'!$B$166,DO63+DN64-DW63)))</f>
        <v>139.39999999999998</v>
      </c>
      <c r="DP64" s="17">
        <f>DO64*VLOOKUP('Données projet'!$B$14,Paramètres!$A$1:$I$89,3,0)*VLOOKUP('Données projet'!$B$14,Paramètres!$A$1:$I$89,5,0)</f>
        <v>132.65303999999998</v>
      </c>
      <c r="DQ64" s="13">
        <f t="shared" si="43"/>
        <v>34.60867631689176</v>
      </c>
      <c r="DR64" s="20">
        <f t="shared" si="16"/>
        <v>291.31415591858644</v>
      </c>
      <c r="DS64" s="57">
        <f t="shared" si="17"/>
        <v>584.64748925191975</v>
      </c>
      <c r="DT64" s="57">
        <f ca="1">AVERAGE(OFFSET($DS$3,0,0,'Données projet'!$E$14+1,1))-AVERAGE(OFFSET($H$3,0,0,'Données projet'!$E$14+1,1))</f>
        <v>292.95981568144879</v>
      </c>
      <c r="DU64" s="57">
        <f t="shared" si="44"/>
        <v>152.23954167722536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6.3264505563914639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6.3264505563914639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7" t="e">
        <f t="shared" si="20"/>
        <v>#N/A</v>
      </c>
      <c r="EO64" s="57" t="e">
        <f ca="1">AVERAGE(OFFSET($EN$3,0,0,'Données projet'!$E$15+1,1))-AVERAGE(OFFSET($H$3,0,0,'Données projet'!$E$15+1,1))</f>
        <v>#N/A</v>
      </c>
      <c r="EP64" s="57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7" t="e">
        <f t="shared" si="23"/>
        <v>#N/A</v>
      </c>
      <c r="FJ64" s="57" t="e">
        <f ca="1">AVERAGE(OFFSET($FI$3,0,0,'Données projet'!$E$16+1,1))-AVERAGE(OFFSET($H$3,0,0,'Données projet'!$E$16+1,1))</f>
        <v>#N/A</v>
      </c>
      <c r="FK64" s="57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7" t="e">
        <f t="shared" si="26"/>
        <v>#N/A</v>
      </c>
      <c r="GE64" s="57" t="e">
        <f ca="1">AVERAGE(OFFSET($GD$3,0,0,'Données projet'!$E$17+1,1))-AVERAGE(OFFSET($H$3,0,0,'Données projet'!$E$17+1,1))</f>
        <v>#N/A</v>
      </c>
      <c r="GF64" s="57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7" t="e">
        <f t="shared" si="29"/>
        <v>#N/A</v>
      </c>
      <c r="GZ64" s="57" t="e">
        <f ca="1">AVERAGE(OFFSET($GY$3,0,0,'Données projet'!$E$18+1,1))-AVERAGE(OFFSET($H$3,0,0,'Données projet'!$E$18+1,1))</f>
        <v>#N/A</v>
      </c>
      <c r="HA64" s="57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1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5">
        <f t="shared" si="1"/>
        <v>256.66666666666669</v>
      </c>
      <c r="I65" s="6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207.39999999999998</v>
      </c>
      <c r="O65" s="13">
        <f>N65*VLOOKUP('Données projet'!$B$9,Paramètres!$A$1:$I$89,3,0)*VLOOKUP('Données projet'!$B$9,Paramètres!$A$1:$I$89,5,0)</f>
        <v>187.65551999999997</v>
      </c>
      <c r="P65" s="13">
        <f t="shared" si="33"/>
        <v>47.021247649900147</v>
      </c>
      <c r="Q65" s="20">
        <f t="shared" si="53"/>
        <v>408.72870365690937</v>
      </c>
      <c r="R65" s="57">
        <f t="shared" si="0"/>
        <v>702.06203699024263</v>
      </c>
      <c r="S65" s="57">
        <f ca="1">AVERAGE(OFFSET($R$3,0,0,'Données projet'!$E$9+1,1))-AVERAGE(OFFSET($H$3,0,0,'Données projet'!$E$9+1,1))</f>
        <v>373.45926089889866</v>
      </c>
      <c r="T65" s="57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10.42632679569261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10.42632679569261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207.39999999999998</v>
      </c>
      <c r="AJ65" s="13">
        <f>AI65*VLOOKUP('Données projet'!$B$10,Paramètres!$A$1:$I$89,3,0)*VLOOKUP('Données projet'!$B$10,Paramètres!$A$1:$I$89,5,0)</f>
        <v>197.36183999999997</v>
      </c>
      <c r="AK65" s="13">
        <f t="shared" si="35"/>
        <v>49.163932700586031</v>
      </c>
      <c r="AL65" s="20">
        <f t="shared" si="4"/>
        <v>429.36572078685396</v>
      </c>
      <c r="AM65" s="57">
        <f t="shared" si="5"/>
        <v>722.69905412018727</v>
      </c>
      <c r="AN65" s="57">
        <f ca="1">AVERAGE(OFFSET($AM$3,0,0,'Données projet'!$E$10+1,1))-AVERAGE(OFFSET($H$3,0,0,'Données projet'!$E$10+1,1))</f>
        <v>390.70240761116355</v>
      </c>
      <c r="AO65" s="57">
        <f t="shared" si="36"/>
        <v>241.18285512887638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10.965619560987056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10.965619560987056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207.39999999999998</v>
      </c>
      <c r="BE65" s="13">
        <f>BD65*VLOOKUP('Données projet'!$B$11,Paramètres!$A$1:$I$89,3,0)*VLOOKUP('Données projet'!$B$11,Paramètres!$A$1:$I$89,5,0)</f>
        <v>200.59727999999998</v>
      </c>
      <c r="BF65" s="13">
        <f t="shared" si="37"/>
        <v>49.875409002023019</v>
      </c>
      <c r="BG65" s="20">
        <f t="shared" si="7"/>
        <v>436.23993334519008</v>
      </c>
      <c r="BH65" s="57">
        <f t="shared" si="8"/>
        <v>729.5732666785234</v>
      </c>
      <c r="BI65" s="57">
        <f ca="1">AVERAGE(OFFSET($BH$3,0,0,'Données projet'!$E$11+1,1))-AVERAGE(OFFSET($H$3,0,0,'Données projet'!$E$11+1,1))</f>
        <v>396.44612884768748</v>
      </c>
      <c r="BJ65" s="57">
        <f t="shared" si="38"/>
        <v>244.451492444461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11.145383816085204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11.145383816085204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3.4106051316484809E-13</v>
      </c>
      <c r="BZ65" s="13">
        <f>BY65*VLOOKUP('Données projet'!$B$12,Paramètres!$A$1:$I$89,3,0)*VLOOKUP('Données projet'!$B$12,Paramètres!$A$1:$I$89,5,0)</f>
        <v>2.0395418687257919E-13</v>
      </c>
      <c r="CA65" s="13">
        <f t="shared" si="39"/>
        <v>2.8200388570161721E-12</v>
      </c>
      <c r="CB65" s="20">
        <f t="shared" si="10"/>
        <v>5.2667878847729083E-12</v>
      </c>
      <c r="CC65" s="57">
        <f t="shared" si="11"/>
        <v>293.3333333333386</v>
      </c>
      <c r="CD65" s="57">
        <f ca="1">AVERAGE(OFFSET($CC$3,0,0,'Données projet'!$E$12+1,1))-AVERAGE(OFFSET($H$3,0,0,'Données projet'!$E$12+1,1))</f>
        <v>259.64096626089821</v>
      </c>
      <c r="CE65" s="57">
        <f t="shared" si="40"/>
        <v>258.1415293081597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145.02257719970081</v>
      </c>
      <c r="CL65" s="21">
        <f>EXP(-LN(2)/25)*CL64+(1-EXP(-LN(2)/25))/(LN(2)/25)*Calculateur!CG65*Calculateur!CI65*VLOOKUP('Données projet'!$B$12,Paramètres!$A$1:$I$89,3,0)*0.475*44/12</f>
        <v>33.528710970508691</v>
      </c>
      <c r="CM65" s="21">
        <f>EXP(-LN(2)/2)*CM64+(1-EXP(-LN(2)/2))/(LN(2)/2)*CG65*CJ65*VLOOKUP('Données projet'!$B$12,Paramètres!$A$1:$I$89,3,0)*0.475*44/12</f>
        <v>13.577233929118284</v>
      </c>
      <c r="CN65" s="22">
        <f t="shared" si="12"/>
        <v>192.12852209932777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7.2</v>
      </c>
      <c r="CT65" s="12">
        <f>IF('Données projet'!$A$140&gt;35,CT64+CS65-DB64,IF(A65&lt;'Données projet'!$A$140,$CQ$205^A65,IF(A65='Données projet'!$A$140,'Données projet'!$B$140,CT64+CS65-DB64)))</f>
        <v>207.39999999999998</v>
      </c>
      <c r="CU65" s="17">
        <f>CT65*VLOOKUP('Données projet'!$B$13,Paramètres!$A$1:$I$89,3,0)*VLOOKUP('Données projet'!$B$13,Paramètres!$A$1:$I$89,5,0)</f>
        <v>223.24535999999995</v>
      </c>
      <c r="CV65" s="13">
        <f t="shared" si="41"/>
        <v>54.819646394591118</v>
      </c>
      <c r="CW65" s="20">
        <f t="shared" si="13"/>
        <v>484.29655280391279</v>
      </c>
      <c r="CX65" s="57">
        <f t="shared" si="14"/>
        <v>777.6298861372461</v>
      </c>
      <c r="CY65" s="57">
        <f ca="1">AVERAGE(OFFSET($CX$3,0,0,'Données projet'!$E$13+1,1))-AVERAGE(OFFSET($H$3,0,0,'Données projet'!$E$13+1,1))</f>
        <v>436.59978658837537</v>
      </c>
      <c r="CZ65" s="57">
        <f t="shared" si="42"/>
        <v>267.2998309535638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12.403733601772243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12.403733601772243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5.4</v>
      </c>
      <c r="DO65" s="12">
        <f>IF('Données projet'!$A$166&gt;35,DO64+DN65-DW64,IF(A65&lt;'Données projet'!$A$166,$DL$205^A65,IF(A65='Données projet'!$A$166,'Données projet'!$B$166,DO64+DN65-DW64)))</f>
        <v>144.79999999999998</v>
      </c>
      <c r="DP65" s="17">
        <f>DO65*VLOOKUP('Données projet'!$B$14,Paramètres!$A$1:$I$89,3,0)*VLOOKUP('Données projet'!$B$14,Paramètres!$A$1:$I$89,5,0)</f>
        <v>137.79167999999999</v>
      </c>
      <c r="DQ65" s="13">
        <f t="shared" si="43"/>
        <v>35.790643217159939</v>
      </c>
      <c r="DR65" s="20">
        <f t="shared" si="16"/>
        <v>302.3225462698868</v>
      </c>
      <c r="DS65" s="57">
        <f t="shared" si="17"/>
        <v>595.65587960322011</v>
      </c>
      <c r="DT65" s="57">
        <f ca="1">AVERAGE(OFFSET($DS$3,0,0,'Données projet'!$E$14+1,1))-AVERAGE(OFFSET($H$3,0,0,'Données projet'!$E$14+1,1))</f>
        <v>292.95981568144879</v>
      </c>
      <c r="DU65" s="57">
        <f t="shared" si="44"/>
        <v>152.23954167722536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6.2023927197344468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6.2023927197344468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7" t="e">
        <f t="shared" si="20"/>
        <v>#N/A</v>
      </c>
      <c r="EO65" s="57" t="e">
        <f ca="1">AVERAGE(OFFSET($EN$3,0,0,'Données projet'!$E$15+1,1))-AVERAGE(OFFSET($H$3,0,0,'Données projet'!$E$15+1,1))</f>
        <v>#N/A</v>
      </c>
      <c r="EP65" s="57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7" t="e">
        <f t="shared" si="23"/>
        <v>#N/A</v>
      </c>
      <c r="FJ65" s="57" t="e">
        <f ca="1">AVERAGE(OFFSET($FI$3,0,0,'Données projet'!$E$16+1,1))-AVERAGE(OFFSET($H$3,0,0,'Données projet'!$E$16+1,1))</f>
        <v>#N/A</v>
      </c>
      <c r="FK65" s="57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7" t="e">
        <f t="shared" si="26"/>
        <v>#N/A</v>
      </c>
      <c r="GE65" s="57" t="e">
        <f ca="1">AVERAGE(OFFSET($GD$3,0,0,'Données projet'!$E$17+1,1))-AVERAGE(OFFSET($H$3,0,0,'Données projet'!$E$17+1,1))</f>
        <v>#N/A</v>
      </c>
      <c r="GF65" s="57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7" t="e">
        <f t="shared" si="29"/>
        <v>#N/A</v>
      </c>
      <c r="GZ65" s="57" t="e">
        <f ca="1">AVERAGE(OFFSET($GY$3,0,0,'Données projet'!$E$18+1,1))-AVERAGE(OFFSET($H$3,0,0,'Données projet'!$E$18+1,1))</f>
        <v>#N/A</v>
      </c>
      <c r="HA65" s="57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1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5">
        <f t="shared" si="1"/>
        <v>256.66666666666669</v>
      </c>
      <c r="I66" s="6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214.59999999999997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7">
        <f t="shared" si="0"/>
        <v>715.91532773426115</v>
      </c>
      <c r="S66" s="57">
        <f ca="1">AVERAGE(OFFSET($R$3,0,0,'Données projet'!$E$9+1,1))-AVERAGE(OFFSET($H$3,0,0,'Données projet'!$E$9+1,1))</f>
        <v>373.45926089889866</v>
      </c>
      <c r="T66" s="57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10.221872886660481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10.221872886660481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214.59999999999997</v>
      </c>
      <c r="AJ66" s="13">
        <f>AI66*VLOOKUP('Données projet'!$B$10,Paramètres!$A$1:$I$89,3,0)*VLOOKUP('Données projet'!$B$10,Paramètres!$A$1:$I$89,5,0)</f>
        <v>204.21335999999997</v>
      </c>
      <c r="AK66" s="13">
        <f t="shared" si="35"/>
        <v>50.669010210991836</v>
      </c>
      <c r="AL66" s="20">
        <f t="shared" si="4"/>
        <v>443.92012811747736</v>
      </c>
      <c r="AM66" s="57">
        <f t="shared" si="5"/>
        <v>737.25346145081062</v>
      </c>
      <c r="AN66" s="57">
        <f ca="1">AVERAGE(OFFSET($AM$3,0,0,'Données projet'!$E$10+1,1))-AVERAGE(OFFSET($H$3,0,0,'Données projet'!$E$10+1,1))</f>
        <v>390.70240761116355</v>
      </c>
      <c r="AO66" s="57">
        <f t="shared" si="36"/>
        <v>241.18285512887638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10.75059044976361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10.75059044976361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214.59999999999997</v>
      </c>
      <c r="BE66" s="13">
        <f>BD66*VLOOKUP('Données projet'!$B$11,Paramètres!$A$1:$I$89,3,0)*VLOOKUP('Données projet'!$B$11,Paramètres!$A$1:$I$89,5,0)</f>
        <v>207.56111999999996</v>
      </c>
      <c r="BF66" s="13">
        <f t="shared" si="37"/>
        <v>51.40226725537714</v>
      </c>
      <c r="BG66" s="20">
        <f t="shared" si="7"/>
        <v>451.02789946978169</v>
      </c>
      <c r="BH66" s="57">
        <f t="shared" si="8"/>
        <v>744.36123280311494</v>
      </c>
      <c r="BI66" s="57">
        <f ca="1">AVERAGE(OFFSET($BH$3,0,0,'Données projet'!$E$11+1,1))-AVERAGE(OFFSET($H$3,0,0,'Données projet'!$E$11+1,1))</f>
        <v>396.44612884768748</v>
      </c>
      <c r="BJ66" s="57">
        <f t="shared" si="38"/>
        <v>244.451492444461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10.926829637464653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10.926829637464653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3.4106051316484809E-13</v>
      </c>
      <c r="BZ66" s="13">
        <f>BY66*VLOOKUP('Données projet'!$B$12,Paramètres!$A$1:$I$89,3,0)*VLOOKUP('Données projet'!$B$12,Paramètres!$A$1:$I$89,5,0)</f>
        <v>2.0395418687257919E-13</v>
      </c>
      <c r="CA66" s="13">
        <f t="shared" si="39"/>
        <v>2.8200388570161721E-12</v>
      </c>
      <c r="CB66" s="20">
        <f t="shared" si="10"/>
        <v>5.2667878847729083E-12</v>
      </c>
      <c r="CC66" s="57">
        <f t="shared" si="11"/>
        <v>293.3333333333386</v>
      </c>
      <c r="CD66" s="57">
        <f ca="1">AVERAGE(OFFSET($CC$3,0,0,'Données projet'!$E$12+1,1))-AVERAGE(OFFSET($H$3,0,0,'Données projet'!$E$12+1,1))</f>
        <v>259.64096626089821</v>
      </c>
      <c r="CE66" s="57">
        <f t="shared" si="40"/>
        <v>258.1415293081597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142.17877291585256</v>
      </c>
      <c r="CL66" s="21">
        <f>EXP(-LN(2)/25)*CL65+(1-EXP(-LN(2)/25))/(LN(2)/25)*Calculateur!CG66*Calculateur!CI66*VLOOKUP('Données projet'!$B$12,Paramètres!$A$1:$I$89,3,0)*0.475*44/12</f>
        <v>32.611866605821852</v>
      </c>
      <c r="CM66" s="21">
        <f>EXP(-LN(2)/2)*CM65+(1-EXP(-LN(2)/2))/(LN(2)/2)*CG66*CJ66*VLOOKUP('Données projet'!$B$12,Paramètres!$A$1:$I$89,3,0)*0.475*44/12</f>
        <v>9.6005541810356121</v>
      </c>
      <c r="CN66" s="22">
        <f t="shared" si="12"/>
        <v>184.39119370271004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7.2</v>
      </c>
      <c r="CT66" s="12">
        <f>IF('Données projet'!$A$140&gt;35,CT65+CS66-DB65,IF(A66&lt;'Données projet'!$A$140,$CQ$205^A66,IF(A66='Données projet'!$A$140,'Données projet'!$B$140,CT65+CS66-DB65)))</f>
        <v>214.59999999999997</v>
      </c>
      <c r="CU66" s="17">
        <f>CT66*VLOOKUP('Données projet'!$B$13,Paramètres!$A$1:$I$89,3,0)*VLOOKUP('Données projet'!$B$13,Paramètres!$A$1:$I$89,5,0)</f>
        <v>230.99543999999995</v>
      </c>
      <c r="CV66" s="13">
        <f t="shared" si="41"/>
        <v>56.497864803589785</v>
      </c>
      <c r="CW66" s="20">
        <f t="shared" si="13"/>
        <v>500.71750586625211</v>
      </c>
      <c r="CX66" s="57">
        <f t="shared" si="14"/>
        <v>794.05083919958543</v>
      </c>
      <c r="CY66" s="57">
        <f ca="1">AVERAGE(OFFSET($CX$3,0,0,'Données projet'!$E$13+1,1))-AVERAGE(OFFSET($H$3,0,0,'Données projet'!$E$13+1,1))</f>
        <v>436.59978658837537</v>
      </c>
      <c r="CZ66" s="57">
        <f t="shared" si="42"/>
        <v>267.2998309535638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12.160503951371952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12.160503951371952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5.4</v>
      </c>
      <c r="DO66" s="12">
        <f>IF('Données projet'!$A$166&gt;35,DO65+DN66-DW65,IF(A66&lt;'Données projet'!$A$166,$DL$205^A66,IF(A66='Données projet'!$A$166,'Données projet'!$B$166,DO65+DN66-DW65)))</f>
        <v>150.19999999999999</v>
      </c>
      <c r="DP66" s="17">
        <f>DO66*VLOOKUP('Données projet'!$B$14,Paramètres!$A$1:$I$89,3,0)*VLOOKUP('Données projet'!$B$14,Paramètres!$A$1:$I$89,5,0)</f>
        <v>142.93031999999999</v>
      </c>
      <c r="DQ66" s="13">
        <f t="shared" si="43"/>
        <v>36.967489202444952</v>
      </c>
      <c r="DR66" s="20">
        <f t="shared" si="16"/>
        <v>313.32201769425825</v>
      </c>
      <c r="DS66" s="57">
        <f t="shared" si="17"/>
        <v>606.65535102759156</v>
      </c>
      <c r="DT66" s="57">
        <f ca="1">AVERAGE(OFFSET($DS$3,0,0,'Données projet'!$E$14+1,1))-AVERAGE(OFFSET($H$3,0,0,'Données projet'!$E$14+1,1))</f>
        <v>292.95981568144879</v>
      </c>
      <c r="DU66" s="57">
        <f t="shared" si="44"/>
        <v>152.23954167722536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6.080767581586465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6.080767581586465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7" t="e">
        <f t="shared" si="20"/>
        <v>#N/A</v>
      </c>
      <c r="EO66" s="57" t="e">
        <f ca="1">AVERAGE(OFFSET($EN$3,0,0,'Données projet'!$E$15+1,1))-AVERAGE(OFFSET($H$3,0,0,'Données projet'!$E$15+1,1))</f>
        <v>#N/A</v>
      </c>
      <c r="EP66" s="57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7" t="e">
        <f t="shared" si="23"/>
        <v>#N/A</v>
      </c>
      <c r="FJ66" s="57" t="e">
        <f ca="1">AVERAGE(OFFSET($FI$3,0,0,'Données projet'!$E$16+1,1))-AVERAGE(OFFSET($H$3,0,0,'Données projet'!$E$16+1,1))</f>
        <v>#N/A</v>
      </c>
      <c r="FK66" s="57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7" t="e">
        <f t="shared" si="26"/>
        <v>#N/A</v>
      </c>
      <c r="GE66" s="57" t="e">
        <f ca="1">AVERAGE(OFFSET($GD$3,0,0,'Données projet'!$E$17+1,1))-AVERAGE(OFFSET($H$3,0,0,'Données projet'!$E$17+1,1))</f>
        <v>#N/A</v>
      </c>
      <c r="GF66" s="57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7" t="e">
        <f t="shared" si="29"/>
        <v>#N/A</v>
      </c>
      <c r="GZ66" s="57" t="e">
        <f ca="1">AVERAGE(OFFSET($GY$3,0,0,'Données projet'!$E$18+1,1))-AVERAGE(OFFSET($H$3,0,0,'Données projet'!$E$18+1,1))</f>
        <v>#N/A</v>
      </c>
      <c r="HA66" s="57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1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5">
        <f t="shared" si="1"/>
        <v>256.66666666666669</v>
      </c>
      <c r="I67" s="6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221.79999999999995</v>
      </c>
      <c r="O67" s="13">
        <f>N67*VLOOKUP('Données projet'!$B$9,Paramètres!$A$1:$I$89,3,0)*VLOOKUP('Données projet'!$B$9,Paramètres!$A$1:$I$89,5,0)</f>
        <v>200.68463999999997</v>
      </c>
      <c r="P67" s="13">
        <f t="shared" si="33"/>
        <v>49.894600936700193</v>
      </c>
      <c r="Q67" s="20">
        <f t="shared" ref="Q67:Q98" si="54">(O67+P67)*0.475*44/12</f>
        <v>436.42551129808612</v>
      </c>
      <c r="R67" s="57">
        <f t="shared" ref="R67:R130" si="55">Q67+(I67+J67)*44/12</f>
        <v>729.75884463141938</v>
      </c>
      <c r="S67" s="57">
        <f ca="1">AVERAGE(OFFSET($R$3,0,0,'Données projet'!$E$9+1,1))-AVERAGE(OFFSET($H$3,0,0,'Données projet'!$E$9+1,1))</f>
        <v>373.45926089889866</v>
      </c>
      <c r="T67" s="57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10.021428194079903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10.021428194079903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221.79999999999995</v>
      </c>
      <c r="AJ67" s="13">
        <f>AI67*VLOOKUP('Données projet'!$B$10,Paramètres!$A$1:$I$89,3,0)*VLOOKUP('Données projet'!$B$10,Paramètres!$A$1:$I$89,5,0)</f>
        <v>211.06487999999996</v>
      </c>
      <c r="AK67" s="13">
        <f t="shared" si="35"/>
        <v>52.168220223304395</v>
      </c>
      <c r="AL67" s="20">
        <f t="shared" si="4"/>
        <v>458.46431622225504</v>
      </c>
      <c r="AM67" s="57">
        <f t="shared" si="5"/>
        <v>751.79764955558835</v>
      </c>
      <c r="AN67" s="57">
        <f ca="1">AVERAGE(OFFSET($AM$3,0,0,'Données projet'!$E$10+1,1))-AVERAGE(OFFSET($H$3,0,0,'Données projet'!$E$10+1,1))</f>
        <v>390.70240761116355</v>
      </c>
      <c r="AO67" s="57">
        <f t="shared" si="36"/>
        <v>241.18285512887638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10.539777928256449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10.539777928256449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221.79999999999995</v>
      </c>
      <c r="BE67" s="13">
        <f>BD67*VLOOKUP('Données projet'!$B$11,Paramètres!$A$1:$I$89,3,0)*VLOOKUP('Données projet'!$B$11,Paramètres!$A$1:$I$89,5,0)</f>
        <v>214.52495999999994</v>
      </c>
      <c r="BF67" s="13">
        <f t="shared" si="37"/>
        <v>52.923173099085716</v>
      </c>
      <c r="BG67" s="20">
        <f t="shared" si="7"/>
        <v>465.80549848090754</v>
      </c>
      <c r="BH67" s="57">
        <f t="shared" si="8"/>
        <v>759.1388318142408</v>
      </c>
      <c r="BI67" s="57">
        <f ca="1">AVERAGE(OFFSET($BH$3,0,0,'Données projet'!$E$11+1,1))-AVERAGE(OFFSET($H$3,0,0,'Données projet'!$E$11+1,1))</f>
        <v>396.44612884768748</v>
      </c>
      <c r="BJ67" s="57">
        <f t="shared" si="38"/>
        <v>244.451492444461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10.712561172981966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10.712561172981966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3.4106051316484809E-13</v>
      </c>
      <c r="BZ67" s="13">
        <f>BY67*VLOOKUP('Données projet'!$B$12,Paramètres!$A$1:$I$89,3,0)*VLOOKUP('Données projet'!$B$12,Paramètres!$A$1:$I$89,5,0)</f>
        <v>2.0395418687257919E-13</v>
      </c>
      <c r="CA67" s="13">
        <f t="shared" si="39"/>
        <v>2.8200388570161721E-12</v>
      </c>
      <c r="CB67" s="20">
        <f t="shared" si="10"/>
        <v>5.2667878847729083E-12</v>
      </c>
      <c r="CC67" s="57">
        <f t="shared" si="11"/>
        <v>293.3333333333386</v>
      </c>
      <c r="CD67" s="57">
        <f ca="1">AVERAGE(OFFSET($CC$3,0,0,'Données projet'!$E$12+1,1))-AVERAGE(OFFSET($H$3,0,0,'Données projet'!$E$12+1,1))</f>
        <v>259.64096626089821</v>
      </c>
      <c r="CE67" s="57">
        <f t="shared" si="40"/>
        <v>258.1415293081597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139.39073389946122</v>
      </c>
      <c r="CL67" s="21">
        <f>EXP(-LN(2)/25)*CL66+(1-EXP(-LN(2)/25))/(LN(2)/25)*Calculateur!CG67*Calculateur!CI67*VLOOKUP('Données projet'!$B$12,Paramètres!$A$1:$I$89,3,0)*0.475*44/12</f>
        <v>31.720093398502126</v>
      </c>
      <c r="CM67" s="21">
        <f>EXP(-LN(2)/2)*CM66+(1-EXP(-LN(2)/2))/(LN(2)/2)*CG67*CJ67*VLOOKUP('Données projet'!$B$12,Paramètres!$A$1:$I$89,3,0)*0.475*44/12</f>
        <v>6.788616964559143</v>
      </c>
      <c r="CN67" s="22">
        <f t="shared" si="12"/>
        <v>177.89944426252248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7.2</v>
      </c>
      <c r="CT67" s="12">
        <f>IF('Données projet'!$A$140&gt;35,CT66+CS67-DB66,IF(A67&lt;'Données projet'!$A$140,$CQ$205^A67,IF(A67='Données projet'!$A$140,'Données projet'!$B$140,CT66+CS67-DB66)))</f>
        <v>221.79999999999995</v>
      </c>
      <c r="CU67" s="17">
        <f>CT67*VLOOKUP('Données projet'!$B$13,Paramètres!$A$1:$I$89,3,0)*VLOOKUP('Données projet'!$B$13,Paramètres!$A$1:$I$89,5,0)</f>
        <v>238.74551999999991</v>
      </c>
      <c r="CV67" s="13">
        <f t="shared" si="41"/>
        <v>58.169540730060781</v>
      </c>
      <c r="CW67" s="20">
        <f t="shared" si="13"/>
        <v>517.12706410485578</v>
      </c>
      <c r="CX67" s="57">
        <f t="shared" si="14"/>
        <v>810.46039743818915</v>
      </c>
      <c r="CY67" s="57">
        <f ca="1">AVERAGE(OFFSET($CX$3,0,0,'Données projet'!$E$13+1,1))-AVERAGE(OFFSET($H$3,0,0,'Données projet'!$E$13+1,1))</f>
        <v>436.59978658837537</v>
      </c>
      <c r="CZ67" s="57">
        <f t="shared" si="42"/>
        <v>267.2998309535638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11.922043886060573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11.922043886060573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5.4</v>
      </c>
      <c r="DO67" s="12">
        <f>IF('Données projet'!$A$166&gt;35,DO66+DN67-DW66,IF(A67&lt;'Données projet'!$A$166,$DL$205^A67,IF(A67='Données projet'!$A$166,'Données projet'!$B$166,DO66+DN67-DW66)))</f>
        <v>155.6</v>
      </c>
      <c r="DP67" s="17">
        <f>DO67*VLOOKUP('Données projet'!$B$14,Paramètres!$A$1:$I$89,3,0)*VLOOKUP('Données projet'!$B$14,Paramètres!$A$1:$I$89,5,0)</f>
        <v>148.06896</v>
      </c>
      <c r="DQ67" s="13">
        <f t="shared" si="43"/>
        <v>38.139419470750966</v>
      </c>
      <c r="DR67" s="20">
        <f t="shared" si="16"/>
        <v>324.31292757822456</v>
      </c>
      <c r="DS67" s="57">
        <f t="shared" si="17"/>
        <v>617.64626091155787</v>
      </c>
      <c r="DT67" s="57">
        <f ca="1">AVERAGE(OFFSET($DS$3,0,0,'Données projet'!$E$14+1,1))-AVERAGE(OFFSET($H$3,0,0,'Données projet'!$E$14+1,1))</f>
        <v>292.95981568144879</v>
      </c>
      <c r="DU67" s="57">
        <f t="shared" si="44"/>
        <v>152.23954167722536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5.9615274382135555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5.9615274382135555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7" t="e">
        <f t="shared" si="20"/>
        <v>#N/A</v>
      </c>
      <c r="EO67" s="57" t="e">
        <f ca="1">AVERAGE(OFFSET($EN$3,0,0,'Données projet'!$E$15+1,1))-AVERAGE(OFFSET($H$3,0,0,'Données projet'!$E$15+1,1))</f>
        <v>#N/A</v>
      </c>
      <c r="EP67" s="57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7" t="e">
        <f t="shared" si="23"/>
        <v>#N/A</v>
      </c>
      <c r="FJ67" s="57" t="e">
        <f ca="1">AVERAGE(OFFSET($FI$3,0,0,'Données projet'!$E$16+1,1))-AVERAGE(OFFSET($H$3,0,0,'Données projet'!$E$16+1,1))</f>
        <v>#N/A</v>
      </c>
      <c r="FK67" s="57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7" t="e">
        <f t="shared" si="26"/>
        <v>#N/A</v>
      </c>
      <c r="GE67" s="57" t="e">
        <f ca="1">AVERAGE(OFFSET($GD$3,0,0,'Données projet'!$E$17+1,1))-AVERAGE(OFFSET($H$3,0,0,'Données projet'!$E$17+1,1))</f>
        <v>#N/A</v>
      </c>
      <c r="GF67" s="57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7" t="e">
        <f t="shared" si="29"/>
        <v>#N/A</v>
      </c>
      <c r="GZ67" s="57" t="e">
        <f ca="1">AVERAGE(OFFSET($GY$3,0,0,'Données projet'!$E$18+1,1))-AVERAGE(OFFSET($H$3,0,0,'Données projet'!$E$18+1,1))</f>
        <v>#N/A</v>
      </c>
      <c r="HA67" s="57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1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5">
        <f t="shared" ref="H68:H131" si="56">(B68+E68+F68)*44/12+(C68+D68)*0.475*44/12</f>
        <v>256.66666666666669</v>
      </c>
      <c r="I68" s="6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228.99999999999994</v>
      </c>
      <c r="O68" s="13">
        <f>N68*VLOOKUP('Données projet'!$B$9,Paramètres!$A$1:$I$89,3,0)*VLOOKUP('Données projet'!$B$9,Paramètres!$A$1:$I$89,5,0)</f>
        <v>207.19919999999996</v>
      </c>
      <c r="P68" s="13">
        <f t="shared" si="33"/>
        <v>51.32306297366555</v>
      </c>
      <c r="Q68" s="20">
        <f t="shared" si="54"/>
        <v>450.25960801246742</v>
      </c>
      <c r="R68" s="57">
        <f t="shared" si="55"/>
        <v>743.59294134580068</v>
      </c>
      <c r="S68" s="57">
        <f ca="1">AVERAGE(OFFSET($R$3,0,0,'Données projet'!$E$9+1,1))-AVERAGE(OFFSET($H$3,0,0,'Données projet'!$E$9+1,1))</f>
        <v>373.45926089889866</v>
      </c>
      <c r="T68" s="57">
        <f t="shared" si="34"/>
        <v>231.36959598460686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13.437743412699543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13.437743412699543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228.99999999999994</v>
      </c>
      <c r="AJ68" s="13">
        <f>AI68*VLOOKUP('Données projet'!$B$10,Paramètres!$A$1:$I$89,3,0)*VLOOKUP('Données projet'!$B$10,Paramètres!$A$1:$I$89,5,0)</f>
        <v>217.91639999999995</v>
      </c>
      <c r="AK68" s="13">
        <f t="shared" si="35"/>
        <v>53.661775051402536</v>
      </c>
      <c r="AL68" s="20">
        <f t="shared" ref="AL68:AL131" si="58">(AJ68+AK68)*0.475*44/12</f>
        <v>472.99865488119258</v>
      </c>
      <c r="AM68" s="57">
        <f t="shared" ref="AM68:AM131" si="59">AL68+(AD68+AE68)*44/12</f>
        <v>766.33198821452584</v>
      </c>
      <c r="AN68" s="57">
        <f ca="1">AVERAGE(OFFSET($AM$3,0,0,'Données projet'!$E$10+1,1))-AVERAGE(OFFSET($H$3,0,0,'Données projet'!$E$10+1,1))</f>
        <v>390.70240761116355</v>
      </c>
      <c r="AO68" s="57">
        <f t="shared" si="36"/>
        <v>241.18285512887638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14.132799106459863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14.132799106459863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228.99999999999994</v>
      </c>
      <c r="BE68" s="13">
        <f>BD68*VLOOKUP('Données projet'!$B$11,Paramètres!$A$1:$I$89,3,0)*VLOOKUP('Données projet'!$B$11,Paramètres!$A$1:$I$89,5,0)</f>
        <v>221.48879999999994</v>
      </c>
      <c r="BF68" s="13">
        <f t="shared" si="37"/>
        <v>54.43834191952984</v>
      </c>
      <c r="BG68" s="20">
        <f t="shared" ref="BG68:BG131" si="61">(BE68+BF68)*0.475*44/12</f>
        <v>480.57310550984772</v>
      </c>
      <c r="BH68" s="57">
        <f t="shared" ref="BH68:BH131" si="62">BG68+(AY68+AZ68)*44/12</f>
        <v>773.90643884318104</v>
      </c>
      <c r="BI68" s="57">
        <f ca="1">AVERAGE(OFFSET($BH$3,0,0,'Données projet'!$E$11+1,1))-AVERAGE(OFFSET($H$3,0,0,'Données projet'!$E$11+1,1))</f>
        <v>396.44612884768748</v>
      </c>
      <c r="BJ68" s="57">
        <f t="shared" si="38"/>
        <v>244.451492444461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14.364484337713305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14.364484337713305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3.4106051316484809E-13</v>
      </c>
      <c r="BZ68" s="13">
        <f>BY68*VLOOKUP('Données projet'!$B$12,Paramètres!$A$1:$I$89,3,0)*VLOOKUP('Données projet'!$B$12,Paramètres!$A$1:$I$89,5,0)</f>
        <v>2.0395418687257919E-13</v>
      </c>
      <c r="CA68" s="13">
        <f t="shared" si="39"/>
        <v>2.8200388570161721E-12</v>
      </c>
      <c r="CB68" s="20">
        <f t="shared" ref="CB68:CB131" si="64">(BZ68+CA68)*0.475*44/12</f>
        <v>5.2667878847729083E-12</v>
      </c>
      <c r="CC68" s="57">
        <f t="shared" ref="CC68:CC131" si="65">CB68+(BT68+BU68)*44/12</f>
        <v>293.3333333333386</v>
      </c>
      <c r="CD68" s="57">
        <f ca="1">AVERAGE(OFFSET($CC$3,0,0,'Données projet'!$E$12+1,1))-AVERAGE(OFFSET($H$3,0,0,'Données projet'!$E$12+1,1))</f>
        <v>259.64096626089821</v>
      </c>
      <c r="CE68" s="57">
        <f t="shared" si="40"/>
        <v>258.1415293081597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136.65736662764544</v>
      </c>
      <c r="CL68" s="21">
        <f>EXP(-LN(2)/25)*CL67+(1-EXP(-LN(2)/25))/(LN(2)/25)*Calculateur!CG68*Calculateur!CI68*VLOOKUP('Données projet'!$B$12,Paramètres!$A$1:$I$89,3,0)*0.475*44/12</f>
        <v>30.85270577643287</v>
      </c>
      <c r="CM68" s="21">
        <f>EXP(-LN(2)/2)*CM67+(1-EXP(-LN(2)/2))/(LN(2)/2)*CG68*CJ68*VLOOKUP('Données projet'!$B$12,Paramètres!$A$1:$I$89,3,0)*0.475*44/12</f>
        <v>4.8002770905178069</v>
      </c>
      <c r="CN68" s="22">
        <f t="shared" ref="CN68:CN131" si="66">SUM(CK68:CM68)</f>
        <v>172.3103494945961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229</v>
      </c>
      <c r="CR68" s="12">
        <f>VLOOKUP(A68,'Données projet'!$A$139:$I$159,9,0)</f>
        <v>7.2</v>
      </c>
      <c r="CS68" s="12">
        <f t="array" ref="CS68">INDEX(CR:CR,MIN(IF(ISNUMBER(CR68:CR264),ROW(CR68:CR264),"")))</f>
        <v>7.2</v>
      </c>
      <c r="CT68" s="12">
        <f>IF('Données projet'!$A$140&gt;35,CT67+CS68-DB67,IF(A68&lt;'Données projet'!$A$140,$CQ$205^A68,IF(A68='Données projet'!$A$140,'Données projet'!$B$140,CT67+CS68-DB67)))</f>
        <v>228.99999999999994</v>
      </c>
      <c r="CU68" s="17">
        <f>CT68*VLOOKUP('Données projet'!$B$13,Paramètres!$A$1:$I$89,3,0)*VLOOKUP('Données projet'!$B$13,Paramètres!$A$1:$I$89,5,0)</f>
        <v>246.49559999999994</v>
      </c>
      <c r="CV68" s="13">
        <f t="shared" si="41"/>
        <v>59.834910912017278</v>
      </c>
      <c r="CW68" s="20">
        <f t="shared" ref="CW68:CW131" si="67">(CU68+CV68)*0.475*44/12</f>
        <v>533.52563983842992</v>
      </c>
      <c r="CX68" s="57">
        <f t="shared" ref="CX68:CX131" si="68">CW68+(CO68+CP68)*44/12</f>
        <v>826.85897317176318</v>
      </c>
      <c r="CY68" s="57">
        <f ca="1">AVERAGE(OFFSET($CX$3,0,0,'Données projet'!$E$13+1,1))-AVERAGE(OFFSET($H$3,0,0,'Données projet'!$E$13+1,1))</f>
        <v>436.59978658837537</v>
      </c>
      <c r="CZ68" s="57">
        <f t="shared" si="42"/>
        <v>267.2998309535638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21</v>
      </c>
      <c r="DC68" s="16">
        <f>IF(ISNA(VLOOKUP(A68,'Données projet'!$A$139:$I$159,5,0)),0%,VLOOKUP(A68,'Données projet'!$A$139:$I$159,5,0)*VLOOKUP('Données projet'!$B$13,Paramètres!$A$1:$I$89,7,0))</f>
        <v>0.17200000000000001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15.986280956487384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15.986280956487384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161</v>
      </c>
      <c r="DM68" s="12">
        <f>VLOOKUP(A68,'Données projet'!$A$165:$I$185,9,0)</f>
        <v>5.4</v>
      </c>
      <c r="DN68" s="12">
        <f t="array" ref="DN68">INDEX(DM:DM,MIN(IF(ISNUMBER(DM68:DM264),ROW(DM68:DM264),"")))</f>
        <v>5.4</v>
      </c>
      <c r="DO68" s="12">
        <f>IF('Données projet'!$A$166&gt;35,DO67+DN68-DW67,IF(A68&lt;'Données projet'!$A$166,$DL$205^A68,IF(A68='Données projet'!$A$166,'Données projet'!$B$166,DO67+DN68-DW67)))</f>
        <v>161</v>
      </c>
      <c r="DP68" s="17">
        <f>DO68*VLOOKUP('Données projet'!$B$14,Paramètres!$A$1:$I$89,3,0)*VLOOKUP('Données projet'!$B$14,Paramètres!$A$1:$I$89,5,0)</f>
        <v>153.20759999999999</v>
      </c>
      <c r="DQ68" s="13">
        <f t="shared" si="43"/>
        <v>39.306624169832133</v>
      </c>
      <c r="DR68" s="20">
        <f t="shared" ref="DR68:DR131" si="70">(DP68+DQ68)*0.475*44/12</f>
        <v>335.2956070957909</v>
      </c>
      <c r="DS68" s="57">
        <f t="shared" ref="DS68:DS131" si="71">DR68+(DJ68+DK68)*44/12</f>
        <v>628.62894042912421</v>
      </c>
      <c r="DT68" s="57">
        <f ca="1">AVERAGE(OFFSET($DS$3,0,0,'Données projet'!$E$14+1,1))-AVERAGE(OFFSET($H$3,0,0,'Données projet'!$E$14+1,1))</f>
        <v>292.95981568144879</v>
      </c>
      <c r="DU68" s="57">
        <f t="shared" si="44"/>
        <v>152.23954167722536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14</v>
      </c>
      <c r="DX68" s="16">
        <f>IF(ISNA(VLOOKUP(A68,'Données projet'!$A$165:$I$185,5,0)),0%,VLOOKUP(A68,'Données projet'!$A$165:$I$185,5,0)*VLOOKUP('Données projet'!$B$14,Paramètres!$A$1:$I$89,7,0))</f>
        <v>0.17200000000000001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8.3777587178207238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8.3777587178207238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7" t="e">
        <f t="shared" ref="EN68:EN131" si="74">EM68+(EE68+EF68)*44/12</f>
        <v>#N/A</v>
      </c>
      <c r="EO68" s="57" t="e">
        <f ca="1">AVERAGE(OFFSET($EN$3,0,0,'Données projet'!$E$15+1,1))-AVERAGE(OFFSET($H$3,0,0,'Données projet'!$E$15+1,1))</f>
        <v>#N/A</v>
      </c>
      <c r="EP68" s="57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7" t="e">
        <f t="shared" ref="FI68:FI131" si="77">FH68+(EZ68+FA68)*44/12</f>
        <v>#N/A</v>
      </c>
      <c r="FJ68" s="57" t="e">
        <f ca="1">AVERAGE(OFFSET($FI$3,0,0,'Données projet'!$E$16+1,1))-AVERAGE(OFFSET($H$3,0,0,'Données projet'!$E$16+1,1))</f>
        <v>#N/A</v>
      </c>
      <c r="FK68" s="57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7" t="e">
        <f t="shared" ref="GD68:GD131" si="80">GC68+(FU68+FV68)*44/12</f>
        <v>#N/A</v>
      </c>
      <c r="GE68" s="57" t="e">
        <f ca="1">AVERAGE(OFFSET($GD$3,0,0,'Données projet'!$E$17+1,1))-AVERAGE(OFFSET($H$3,0,0,'Données projet'!$E$17+1,1))</f>
        <v>#N/A</v>
      </c>
      <c r="GF68" s="57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7" t="e">
        <f t="shared" ref="GY68:GY131" si="83">GX68+(GP68+GQ68)*44/12</f>
        <v>#N/A</v>
      </c>
      <c r="GZ68" s="57" t="e">
        <f ca="1">AVERAGE(OFFSET($GY$3,0,0,'Données projet'!$E$18+1,1))-AVERAGE(OFFSET($H$3,0,0,'Données projet'!$E$18+1,1))</f>
        <v>#N/A</v>
      </c>
      <c r="HA68" s="57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1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5">
        <f t="shared" si="56"/>
        <v>256.66666666666669</v>
      </c>
      <c r="I69" s="6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214.79999999999995</v>
      </c>
      <c r="O69" s="13">
        <f>N69*VLOOKUP('Données projet'!$B$9,Paramètres!$A$1:$I$89,3,0)*VLOOKUP('Données projet'!$B$9,Paramètres!$A$1:$I$89,5,0)</f>
        <v>194.35103999999995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7">
        <f t="shared" si="55"/>
        <v>716.30000015441919</v>
      </c>
      <c r="S69" s="57">
        <f ca="1">AVERAGE(OFFSET($R$3,0,0,'Données projet'!$E$9+1,1))-AVERAGE(OFFSET($H$3,0,0,'Données projet'!$E$9+1,1))</f>
        <v>373.45926089889866</v>
      </c>
      <c r="T69" s="57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13.174237460590678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13.174237460590678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214.79999999999995</v>
      </c>
      <c r="AJ69" s="13">
        <f>AI69*VLOOKUP('Données projet'!$B$10,Paramètres!$A$1:$I$89,3,0)*VLOOKUP('Données projet'!$B$10,Paramètres!$A$1:$I$89,5,0)</f>
        <v>204.40367999999995</v>
      </c>
      <c r="AK69" s="13">
        <f t="shared" ref="AK69:AK132" si="89">EXP(-1.0587+0.8836*LN(AJ69)+0.284)</f>
        <v>50.710733146553501</v>
      </c>
      <c r="AL69" s="20">
        <f t="shared" si="58"/>
        <v>444.32426956358057</v>
      </c>
      <c r="AM69" s="57">
        <f t="shared" si="59"/>
        <v>737.65760289691389</v>
      </c>
      <c r="AN69" s="57">
        <f ca="1">AVERAGE(OFFSET($AM$3,0,0,'Données projet'!$E$10+1,1))-AVERAGE(OFFSET($H$3,0,0,'Données projet'!$E$10+1,1))</f>
        <v>390.70240761116355</v>
      </c>
      <c r="AO69" s="57">
        <f t="shared" ref="AO69:AO132" si="90">$AO$3</f>
        <v>241.18285512887638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13.85566353613847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13.85566353613847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214.79999999999995</v>
      </c>
      <c r="BE69" s="13">
        <f>BD69*VLOOKUP('Données projet'!$B$11,Paramètres!$A$1:$I$89,3,0)*VLOOKUP('Données projet'!$B$11,Paramètres!$A$1:$I$89,5,0)</f>
        <v>207.75455999999994</v>
      </c>
      <c r="BF69" s="13">
        <f t="shared" ref="BF69:BF132" si="91">EXP(-1.0587+0.8836*LN(BE69)+0.284)</f>
        <v>51.444593984782131</v>
      </c>
      <c r="BG69" s="20">
        <f t="shared" si="61"/>
        <v>451.43852652349545</v>
      </c>
      <c r="BH69" s="57">
        <f t="shared" si="62"/>
        <v>744.77185985682877</v>
      </c>
      <c r="BI69" s="57">
        <f ca="1">AVERAGE(OFFSET($BH$3,0,0,'Données projet'!$E$11+1,1))-AVERAGE(OFFSET($H$3,0,0,'Données projet'!$E$11+1,1))</f>
        <v>396.44612884768748</v>
      </c>
      <c r="BJ69" s="57">
        <f t="shared" ref="BJ69:BJ132" si="92">$BJ$3</f>
        <v>244.451492444461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14.08280556132107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14.08280556132107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3.4106051316484809E-13</v>
      </c>
      <c r="BZ69" s="13">
        <f>BY69*VLOOKUP('Données projet'!$B$12,Paramètres!$A$1:$I$89,3,0)*VLOOKUP('Données projet'!$B$12,Paramètres!$A$1:$I$89,5,0)</f>
        <v>2.0395418687257919E-13</v>
      </c>
      <c r="CA69" s="13">
        <f t="shared" ref="CA69:CA132" si="93">EXP(-1.0587+0.8836*LN(BZ69)+0.284)</f>
        <v>2.8200388570161721E-12</v>
      </c>
      <c r="CB69" s="20">
        <f t="shared" si="64"/>
        <v>5.2667878847729083E-12</v>
      </c>
      <c r="CC69" s="57">
        <f t="shared" si="65"/>
        <v>293.3333333333386</v>
      </c>
      <c r="CD69" s="57">
        <f ca="1">AVERAGE(OFFSET($CC$3,0,0,'Données projet'!$E$12+1,1))-AVERAGE(OFFSET($H$3,0,0,'Données projet'!$E$12+1,1))</f>
        <v>259.64096626089821</v>
      </c>
      <c r="CE69" s="57">
        <f t="shared" ref="CE69:CE132" si="94">$CE$3</f>
        <v>258.1415293081597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133.97759902084056</v>
      </c>
      <c r="CL69" s="21">
        <f>EXP(-LN(2)/25)*CL68+(1-EXP(-LN(2)/25))/(LN(2)/25)*Calculateur!CG69*Calculateur!CI69*VLOOKUP('Données projet'!$B$12,Paramètres!$A$1:$I$89,3,0)*0.475*44/12</f>
        <v>30.009036914503032</v>
      </c>
      <c r="CM69" s="21">
        <f>EXP(-LN(2)/2)*CM68+(1-EXP(-LN(2)/2))/(LN(2)/2)*CG69*CJ69*VLOOKUP('Données projet'!$B$12,Paramètres!$A$1:$I$89,3,0)*0.475*44/12</f>
        <v>3.3943084822795719</v>
      </c>
      <c r="CN69" s="22">
        <f t="shared" si="66"/>
        <v>167.38094441762317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</v>
      </c>
      <c r="CT69" s="12">
        <f>IF('Données projet'!$A$140&gt;35,CT68+CS69-DB68,IF(A69&lt;'Données projet'!$A$140,$CQ$205^A69,IF(A69='Données projet'!$A$140,'Données projet'!$B$140,CT68+CS69-DB68)))</f>
        <v>214.79999999999995</v>
      </c>
      <c r="CU69" s="17">
        <f>CT69*VLOOKUP('Données projet'!$B$13,Paramètres!$A$1:$I$89,3,0)*VLOOKUP('Données projet'!$B$13,Paramètres!$A$1:$I$89,5,0)</f>
        <v>231.21071999999995</v>
      </c>
      <c r="CV69" s="13">
        <f t="shared" ref="CV69:CV132" si="95">EXP(-1.0587+0.8836*LN(CU69)+0.284)</f>
        <v>56.544387456445222</v>
      </c>
      <c r="CW69" s="20">
        <f t="shared" si="67"/>
        <v>501.17347881997534</v>
      </c>
      <c r="CX69" s="57">
        <f t="shared" si="68"/>
        <v>794.5068121533086</v>
      </c>
      <c r="CY69" s="57">
        <f ca="1">AVERAGE(OFFSET($CX$3,0,0,'Données projet'!$E$13+1,1))-AVERAGE(OFFSET($H$3,0,0,'Données projet'!$E$13+1,1))</f>
        <v>436.59978658837537</v>
      </c>
      <c r="CZ69" s="57">
        <f t="shared" ref="CZ69:CZ132" si="96">$CZ$3</f>
        <v>267.2998309535638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15.672799737599252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15.672799737599252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</v>
      </c>
      <c r="DO69" s="12">
        <f>IF('Données projet'!$A$166&gt;35,DO68+DN69-DW68,IF(A69&lt;'Données projet'!$A$166,$DL$205^A69,IF(A69='Données projet'!$A$166,'Données projet'!$B$166,DO68+DN69-DW68)))</f>
        <v>152</v>
      </c>
      <c r="DP69" s="17">
        <f>DO69*VLOOKUP('Données projet'!$B$14,Paramètres!$A$1:$I$89,3,0)*VLOOKUP('Données projet'!$B$14,Paramètres!$A$1:$I$89,5,0)</f>
        <v>144.64320000000001</v>
      </c>
      <c r="DQ69" s="13">
        <f t="shared" ref="DQ69:DQ132" si="97">EXP(-1.0587+0.8836*LN(DP69)+0.284)</f>
        <v>37.358669132367922</v>
      </c>
      <c r="DR69" s="20">
        <f t="shared" si="70"/>
        <v>316.9865887388741</v>
      </c>
      <c r="DS69" s="57">
        <f t="shared" si="71"/>
        <v>610.31992207220742</v>
      </c>
      <c r="DT69" s="57">
        <f ca="1">AVERAGE(OFFSET($DS$3,0,0,'Données projet'!$E$14+1,1))-AVERAGE(OFFSET($H$3,0,0,'Données projet'!$E$14+1,1))</f>
        <v>292.95981568144879</v>
      </c>
      <c r="DU69" s="57">
        <f t="shared" ref="DU69:DU132" si="98">$DU$3</f>
        <v>152.23954167722536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8.2134759792925145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8.2134759792925145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7" t="e">
        <f t="shared" si="74"/>
        <v>#N/A</v>
      </c>
      <c r="EO69" s="57" t="e">
        <f ca="1">AVERAGE(OFFSET($EN$3,0,0,'Données projet'!$E$15+1,1))-AVERAGE(OFFSET($H$3,0,0,'Données projet'!$E$15+1,1))</f>
        <v>#N/A</v>
      </c>
      <c r="EP69" s="57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7" t="e">
        <f t="shared" si="77"/>
        <v>#N/A</v>
      </c>
      <c r="FJ69" s="57" t="e">
        <f ca="1">AVERAGE(OFFSET($FI$3,0,0,'Données projet'!$E$16+1,1))-AVERAGE(OFFSET($H$3,0,0,'Données projet'!$E$16+1,1))</f>
        <v>#N/A</v>
      </c>
      <c r="FK69" s="57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7" t="e">
        <f t="shared" si="80"/>
        <v>#N/A</v>
      </c>
      <c r="GE69" s="57" t="e">
        <f ca="1">AVERAGE(OFFSET($GD$3,0,0,'Données projet'!$E$17+1,1))-AVERAGE(OFFSET($H$3,0,0,'Données projet'!$E$17+1,1))</f>
        <v>#N/A</v>
      </c>
      <c r="GF69" s="57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7" t="e">
        <f t="shared" si="83"/>
        <v>#N/A</v>
      </c>
      <c r="GZ69" s="57" t="e">
        <f ca="1">AVERAGE(OFFSET($GY$3,0,0,'Données projet'!$E$18+1,1))-AVERAGE(OFFSET($H$3,0,0,'Données projet'!$E$18+1,1))</f>
        <v>#N/A</v>
      </c>
      <c r="HA69" s="57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1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5">
        <f t="shared" si="56"/>
        <v>256.66666666666669</v>
      </c>
      <c r="I70" s="6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221.59999999999997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7">
        <f t="shared" si="55"/>
        <v>729.37443127719189</v>
      </c>
      <c r="S70" s="57">
        <f ca="1">AVERAGE(OFFSET($R$3,0,0,'Données projet'!$E$9+1,1))-AVERAGE(OFFSET($H$3,0,0,'Données projet'!$E$9+1,1))</f>
        <v>373.45926089889866</v>
      </c>
      <c r="T70" s="57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12.915898699479907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12.915898699479907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221.59999999999997</v>
      </c>
      <c r="AJ70" s="13">
        <f>AI70*VLOOKUP('Données projet'!$B$10,Paramètres!$A$1:$I$89,3,0)*VLOOKUP('Données projet'!$B$10,Paramètres!$A$1:$I$89,5,0)</f>
        <v>210.87455999999997</v>
      </c>
      <c r="AK70" s="13">
        <f t="shared" si="89"/>
        <v>52.12665281185464</v>
      </c>
      <c r="AL70" s="20">
        <f t="shared" si="58"/>
        <v>458.06044564731337</v>
      </c>
      <c r="AM70" s="57">
        <f t="shared" si="59"/>
        <v>751.39377898064663</v>
      </c>
      <c r="AN70" s="57">
        <f ca="1">AVERAGE(OFFSET($AM$3,0,0,'Données projet'!$E$10+1,1))-AVERAGE(OFFSET($H$3,0,0,'Données projet'!$E$10+1,1))</f>
        <v>390.70240761116355</v>
      </c>
      <c r="AO70" s="57">
        <f t="shared" si="90"/>
        <v>241.18285512887638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13.583962425315073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13.583962425315073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221.59999999999997</v>
      </c>
      <c r="BE70" s="13">
        <f>BD70*VLOOKUP('Données projet'!$B$11,Paramètres!$A$1:$I$89,3,0)*VLOOKUP('Données projet'!$B$11,Paramètres!$A$1:$I$89,5,0)</f>
        <v>214.33151999999995</v>
      </c>
      <c r="BF70" s="13">
        <f t="shared" si="91"/>
        <v>52.881004144461244</v>
      </c>
      <c r="BG70" s="20">
        <f t="shared" si="61"/>
        <v>465.39514621826993</v>
      </c>
      <c r="BH70" s="57">
        <f t="shared" si="62"/>
        <v>758.72847955160319</v>
      </c>
      <c r="BI70" s="57">
        <f ca="1">AVERAGE(OFFSET($BH$3,0,0,'Données projet'!$E$11+1,1))-AVERAGE(OFFSET($H$3,0,0,'Données projet'!$E$11+1,1))</f>
        <v>396.44612884768748</v>
      </c>
      <c r="BJ70" s="57">
        <f t="shared" si="92"/>
        <v>244.451492444461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13.806650333926797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13.806650333926797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3.4106051316484809E-13</v>
      </c>
      <c r="BZ70" s="13">
        <f>BY70*VLOOKUP('Données projet'!$B$12,Paramètres!$A$1:$I$89,3,0)*VLOOKUP('Données projet'!$B$12,Paramètres!$A$1:$I$89,5,0)</f>
        <v>2.0395418687257919E-13</v>
      </c>
      <c r="CA70" s="13">
        <f t="shared" si="93"/>
        <v>2.8200388570161721E-12</v>
      </c>
      <c r="CB70" s="20">
        <f t="shared" si="64"/>
        <v>5.2667878847729083E-12</v>
      </c>
      <c r="CC70" s="57">
        <f t="shared" si="65"/>
        <v>293.3333333333386</v>
      </c>
      <c r="CD70" s="57">
        <f ca="1">AVERAGE(OFFSET($CC$3,0,0,'Données projet'!$E$12+1,1))-AVERAGE(OFFSET($H$3,0,0,'Données projet'!$E$12+1,1))</f>
        <v>259.64096626089821</v>
      </c>
      <c r="CE70" s="57">
        <f t="shared" si="94"/>
        <v>258.1415293081597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131.35038002230826</v>
      </c>
      <c r="CL70" s="21">
        <f>EXP(-LN(2)/25)*CL69+(1-EXP(-LN(2)/25))/(LN(2)/25)*Calculateur!CG70*Calculateur!CI70*VLOOKUP('Données projet'!$B$12,Paramètres!$A$1:$I$89,3,0)*0.475*44/12</f>
        <v>29.188438221969282</v>
      </c>
      <c r="CM70" s="21">
        <f>EXP(-LN(2)/2)*CM69+(1-EXP(-LN(2)/2))/(LN(2)/2)*CG70*CJ70*VLOOKUP('Données projet'!$B$12,Paramètres!$A$1:$I$89,3,0)*0.475*44/12</f>
        <v>2.4001385452589035</v>
      </c>
      <c r="CN70" s="22">
        <f t="shared" si="66"/>
        <v>162.93895678953643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</v>
      </c>
      <c r="CT70" s="12">
        <f>IF('Données projet'!$A$140&gt;35,CT69+CS70-DB69,IF(A70&lt;'Données projet'!$A$140,$CQ$205^A70,IF(A70='Données projet'!$A$140,'Données projet'!$B$140,CT69+CS70-DB69)))</f>
        <v>221.59999999999997</v>
      </c>
      <c r="CU70" s="17">
        <f>CT70*VLOOKUP('Données projet'!$B$13,Paramètres!$A$1:$I$89,3,0)*VLOOKUP('Données projet'!$B$13,Paramètres!$A$1:$I$89,5,0)</f>
        <v>238.53023999999996</v>
      </c>
      <c r="CV70" s="13">
        <f t="shared" si="95"/>
        <v>58.123191492478547</v>
      </c>
      <c r="CW70" s="20">
        <f t="shared" si="67"/>
        <v>516.67139318273337</v>
      </c>
      <c r="CX70" s="57">
        <f t="shared" si="68"/>
        <v>810.00472651606674</v>
      </c>
      <c r="CY70" s="57">
        <f ca="1">AVERAGE(OFFSET($CX$3,0,0,'Données projet'!$E$13+1,1))-AVERAGE(OFFSET($H$3,0,0,'Données projet'!$E$13+1,1))</f>
        <v>436.59978658837537</v>
      </c>
      <c r="CZ70" s="57">
        <f t="shared" si="96"/>
        <v>267.2998309535638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15.365465694208853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15.365465694208853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</v>
      </c>
      <c r="DO70" s="12">
        <f>IF('Données projet'!$A$166&gt;35,DO69+DN70-DW69,IF(A70&lt;'Données projet'!$A$166,$DL$205^A70,IF(A70='Données projet'!$A$166,'Données projet'!$B$166,DO69+DN70-DW69)))</f>
        <v>157</v>
      </c>
      <c r="DP70" s="17">
        <f>DO70*VLOOKUP('Données projet'!$B$14,Paramètres!$A$1:$I$89,3,0)*VLOOKUP('Données projet'!$B$14,Paramètres!$A$1:$I$89,5,0)</f>
        <v>149.40119999999999</v>
      </c>
      <c r="DQ70" s="13">
        <f t="shared" si="97"/>
        <v>38.44247450913759</v>
      </c>
      <c r="DR70" s="20">
        <f t="shared" si="70"/>
        <v>327.16106643674794</v>
      </c>
      <c r="DS70" s="57">
        <f t="shared" si="71"/>
        <v>620.49439977008126</v>
      </c>
      <c r="DT70" s="57">
        <f ca="1">AVERAGE(OFFSET($DS$3,0,0,'Données projet'!$E$14+1,1))-AVERAGE(OFFSET($H$3,0,0,'Données projet'!$E$14+1,1))</f>
        <v>292.95981568144879</v>
      </c>
      <c r="DU70" s="57">
        <f t="shared" si="98"/>
        <v>152.23954167722536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8.052414725064267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8.052414725064267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7" t="e">
        <f t="shared" si="74"/>
        <v>#N/A</v>
      </c>
      <c r="EO70" s="57" t="e">
        <f ca="1">AVERAGE(OFFSET($EN$3,0,0,'Données projet'!$E$15+1,1))-AVERAGE(OFFSET($H$3,0,0,'Données projet'!$E$15+1,1))</f>
        <v>#N/A</v>
      </c>
      <c r="EP70" s="57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7" t="e">
        <f t="shared" si="77"/>
        <v>#N/A</v>
      </c>
      <c r="FJ70" s="57" t="e">
        <f ca="1">AVERAGE(OFFSET($FI$3,0,0,'Données projet'!$E$16+1,1))-AVERAGE(OFFSET($H$3,0,0,'Données projet'!$E$16+1,1))</f>
        <v>#N/A</v>
      </c>
      <c r="FK70" s="57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7" t="e">
        <f t="shared" si="80"/>
        <v>#N/A</v>
      </c>
      <c r="GE70" s="57" t="e">
        <f ca="1">AVERAGE(OFFSET($GD$3,0,0,'Données projet'!$E$17+1,1))-AVERAGE(OFFSET($H$3,0,0,'Données projet'!$E$17+1,1))</f>
        <v>#N/A</v>
      </c>
      <c r="GF70" s="57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7" t="e">
        <f t="shared" si="83"/>
        <v>#N/A</v>
      </c>
      <c r="GZ70" s="57" t="e">
        <f ca="1">AVERAGE(OFFSET($GY$3,0,0,'Données projet'!$E$18+1,1))-AVERAGE(OFFSET($H$3,0,0,'Données projet'!$E$18+1,1))</f>
        <v>#N/A</v>
      </c>
      <c r="HA70" s="57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1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5">
        <f t="shared" si="56"/>
        <v>256.66666666666669</v>
      </c>
      <c r="I71" s="6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228.39999999999998</v>
      </c>
      <c r="O71" s="13">
        <f>N71*VLOOKUP('Données projet'!$B$9,Paramètres!$A$1:$I$89,3,0)*VLOOKUP('Données projet'!$B$9,Paramètres!$A$1:$I$89,5,0)</f>
        <v>206.65631999999997</v>
      </c>
      <c r="P71" s="13">
        <f t="shared" si="87"/>
        <v>51.20422634371338</v>
      </c>
      <c r="Q71" s="20">
        <f t="shared" si="54"/>
        <v>449.10711821530072</v>
      </c>
      <c r="R71" s="57">
        <f t="shared" si="55"/>
        <v>742.44045154863397</v>
      </c>
      <c r="S71" s="57">
        <f ca="1">AVERAGE(OFFSET($R$3,0,0,'Données projet'!$E$9+1,1))-AVERAGE(OFFSET($H$3,0,0,'Données projet'!$E$9+1,1))</f>
        <v>373.45926089889866</v>
      </c>
      <c r="T71" s="57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12.662625803903433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12.662625803903433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228.39999999999998</v>
      </c>
      <c r="AJ71" s="13">
        <f>AI71*VLOOKUP('Données projet'!$B$10,Paramètres!$A$1:$I$89,3,0)*VLOOKUP('Données projet'!$B$10,Paramètres!$A$1:$I$89,5,0)</f>
        <v>217.34544</v>
      </c>
      <c r="AK71" s="13">
        <f t="shared" si="89"/>
        <v>53.537523221233521</v>
      </c>
      <c r="AL71" s="20">
        <f t="shared" si="58"/>
        <v>471.78782761031499</v>
      </c>
      <c r="AM71" s="57">
        <f t="shared" si="59"/>
        <v>765.12116094364831</v>
      </c>
      <c r="AN71" s="57">
        <f ca="1">AVERAGE(OFFSET($AM$3,0,0,'Données projet'!$E$10+1,1))-AVERAGE(OFFSET($H$3,0,0,'Données projet'!$E$10+1,1))</f>
        <v>390.70240761116355</v>
      </c>
      <c r="AO71" s="57">
        <f t="shared" si="90"/>
        <v>241.18285512887638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13.31758920755361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13.31758920755361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228.39999999999998</v>
      </c>
      <c r="BE71" s="13">
        <f>BD71*VLOOKUP('Données projet'!$B$11,Paramètres!$A$1:$I$89,3,0)*VLOOKUP('Données projet'!$B$11,Paramètres!$A$1:$I$89,5,0)</f>
        <v>220.90847999999997</v>
      </c>
      <c r="BF71" s="13">
        <f t="shared" si="91"/>
        <v>54.312291977864817</v>
      </c>
      <c r="BG71" s="20">
        <f t="shared" si="61"/>
        <v>479.34284452811448</v>
      </c>
      <c r="BH71" s="57">
        <f t="shared" si="62"/>
        <v>772.67617786144774</v>
      </c>
      <c r="BI71" s="57">
        <f ca="1">AVERAGE(OFFSET($BH$3,0,0,'Données projet'!$E$11+1,1))-AVERAGE(OFFSET($H$3,0,0,'Données projet'!$E$11+1,1))</f>
        <v>396.44612884768748</v>
      </c>
      <c r="BJ71" s="57">
        <f t="shared" si="92"/>
        <v>244.451492444461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13.535910342103669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13.535910342103669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3.4106051316484809E-13</v>
      </c>
      <c r="BZ71" s="13">
        <f>BY71*VLOOKUP('Données projet'!$B$12,Paramètres!$A$1:$I$89,3,0)*VLOOKUP('Données projet'!$B$12,Paramètres!$A$1:$I$89,5,0)</f>
        <v>2.0395418687257919E-13</v>
      </c>
      <c r="CA71" s="13">
        <f t="shared" si="93"/>
        <v>2.8200388570161721E-12</v>
      </c>
      <c r="CB71" s="20">
        <f t="shared" si="64"/>
        <v>5.2667878847729083E-12</v>
      </c>
      <c r="CC71" s="57">
        <f t="shared" si="65"/>
        <v>293.3333333333386</v>
      </c>
      <c r="CD71" s="57">
        <f ca="1">AVERAGE(OFFSET($CC$3,0,0,'Données projet'!$E$12+1,1))-AVERAGE(OFFSET($H$3,0,0,'Données projet'!$E$12+1,1))</f>
        <v>259.64096626089821</v>
      </c>
      <c r="CE71" s="57">
        <f t="shared" si="94"/>
        <v>258.1415293081597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128.77467918589181</v>
      </c>
      <c r="CL71" s="21">
        <f>EXP(-LN(2)/25)*CL70+(1-EXP(-LN(2)/25))/(LN(2)/25)*Calculateur!CG71*Calculateur!CI71*VLOOKUP('Données projet'!$B$12,Paramètres!$A$1:$I$89,3,0)*0.475*44/12</f>
        <v>28.390278843836278</v>
      </c>
      <c r="CM71" s="21">
        <f>EXP(-LN(2)/2)*CM70+(1-EXP(-LN(2)/2))/(LN(2)/2)*CG71*CJ71*VLOOKUP('Données projet'!$B$12,Paramètres!$A$1:$I$89,3,0)*0.475*44/12</f>
        <v>1.697154241139786</v>
      </c>
      <c r="CN71" s="22">
        <f t="shared" si="66"/>
        <v>158.8621122708679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</v>
      </c>
      <c r="CT71" s="12">
        <f>IF('Données projet'!$A$140&gt;35,CT70+CS71-DB70,IF(A71&lt;'Données projet'!$A$140,$CQ$205^A71,IF(A71='Données projet'!$A$140,'Données projet'!$B$140,CT70+CS71-DB70)))</f>
        <v>228.39999999999998</v>
      </c>
      <c r="CU71" s="17">
        <f>CT71*VLOOKUP('Données projet'!$B$13,Paramètres!$A$1:$I$89,3,0)*VLOOKUP('Données projet'!$B$13,Paramètres!$A$1:$I$89,5,0)</f>
        <v>245.84975999999997</v>
      </c>
      <c r="CV71" s="13">
        <f t="shared" si="95"/>
        <v>59.696365416984804</v>
      </c>
      <c r="CW71" s="20">
        <f t="shared" si="67"/>
        <v>532.15950176791512</v>
      </c>
      <c r="CX71" s="57">
        <f t="shared" si="68"/>
        <v>825.49283510124837</v>
      </c>
      <c r="CY71" s="57">
        <f ca="1">AVERAGE(OFFSET($CX$3,0,0,'Données projet'!$E$13+1,1))-AVERAGE(OFFSET($H$3,0,0,'Données projet'!$E$13+1,1))</f>
        <v>436.59978658837537</v>
      </c>
      <c r="CZ71" s="57">
        <f t="shared" si="96"/>
        <v>267.2998309535638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15.064158283954081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15.064158283954081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</v>
      </c>
      <c r="DO71" s="12">
        <f>IF('Données projet'!$A$166&gt;35,DO70+DN71-DW70,IF(A71&lt;'Données projet'!$A$166,$DL$205^A71,IF(A71='Données projet'!$A$166,'Données projet'!$B$166,DO70+DN71-DW70)))</f>
        <v>162</v>
      </c>
      <c r="DP71" s="17">
        <f>DO71*VLOOKUP('Données projet'!$B$14,Paramètres!$A$1:$I$89,3,0)*VLOOKUP('Données projet'!$B$14,Paramètres!$A$1:$I$89,5,0)</f>
        <v>154.1592</v>
      </c>
      <c r="DQ71" s="13">
        <f t="shared" si="97"/>
        <v>39.522268933730984</v>
      </c>
      <c r="DR71" s="20">
        <f t="shared" si="70"/>
        <v>337.32855839291477</v>
      </c>
      <c r="DS71" s="57">
        <f t="shared" si="71"/>
        <v>630.66189172624809</v>
      </c>
      <c r="DT71" s="57">
        <f ca="1">AVERAGE(OFFSET($DS$3,0,0,'Données projet'!$E$14+1,1))-AVERAGE(OFFSET($H$3,0,0,'Données projet'!$E$14+1,1))</f>
        <v>292.95981568144879</v>
      </c>
      <c r="DU71" s="57">
        <f t="shared" si="98"/>
        <v>152.23954167722536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7.8945117837937699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7.8945117837937699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7" t="e">
        <f t="shared" si="74"/>
        <v>#N/A</v>
      </c>
      <c r="EO71" s="57" t="e">
        <f ca="1">AVERAGE(OFFSET($EN$3,0,0,'Données projet'!$E$15+1,1))-AVERAGE(OFFSET($H$3,0,0,'Données projet'!$E$15+1,1))</f>
        <v>#N/A</v>
      </c>
      <c r="EP71" s="57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7" t="e">
        <f t="shared" si="77"/>
        <v>#N/A</v>
      </c>
      <c r="FJ71" s="57" t="e">
        <f ca="1">AVERAGE(OFFSET($FI$3,0,0,'Données projet'!$E$16+1,1))-AVERAGE(OFFSET($H$3,0,0,'Données projet'!$E$16+1,1))</f>
        <v>#N/A</v>
      </c>
      <c r="FK71" s="57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7" t="e">
        <f t="shared" si="80"/>
        <v>#N/A</v>
      </c>
      <c r="GE71" s="57" t="e">
        <f ca="1">AVERAGE(OFFSET($GD$3,0,0,'Données projet'!$E$17+1,1))-AVERAGE(OFFSET($H$3,0,0,'Données projet'!$E$17+1,1))</f>
        <v>#N/A</v>
      </c>
      <c r="GF71" s="57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7" t="e">
        <f t="shared" si="83"/>
        <v>#N/A</v>
      </c>
      <c r="GZ71" s="57" t="e">
        <f ca="1">AVERAGE(OFFSET($GY$3,0,0,'Données projet'!$E$18+1,1))-AVERAGE(OFFSET($H$3,0,0,'Données projet'!$E$18+1,1))</f>
        <v>#N/A</v>
      </c>
      <c r="HA71" s="57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1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5">
        <f t="shared" si="56"/>
        <v>256.66666666666669</v>
      </c>
      <c r="I72" s="6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235.2</v>
      </c>
      <c r="O72" s="13">
        <f>N72*VLOOKUP('Données projet'!$B$9,Paramètres!$A$1:$I$89,3,0)*VLOOKUP('Données projet'!$B$9,Paramètres!$A$1:$I$89,5,0)</f>
        <v>212.80896000000001</v>
      </c>
      <c r="P72" s="13">
        <f t="shared" si="87"/>
        <v>52.548938637485847</v>
      </c>
      <c r="Q72" s="20">
        <f t="shared" si="54"/>
        <v>462.16500679362116</v>
      </c>
      <c r="R72" s="57">
        <f t="shared" si="55"/>
        <v>755.49834012695442</v>
      </c>
      <c r="S72" s="57">
        <f ca="1">AVERAGE(OFFSET($R$3,0,0,'Données projet'!$E$9+1,1))-AVERAGE(OFFSET($H$3,0,0,'Données projet'!$E$9+1,1))</f>
        <v>373.45926089889866</v>
      </c>
      <c r="T72" s="57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12.414319435328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12.414319435328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235.2</v>
      </c>
      <c r="AJ72" s="13">
        <f>AI72*VLOOKUP('Données projet'!$B$10,Paramètres!$A$1:$I$89,3,0)*VLOOKUP('Données projet'!$B$10,Paramètres!$A$1:$I$89,5,0)</f>
        <v>223.81631999999999</v>
      </c>
      <c r="AK72" s="13">
        <f t="shared" si="89"/>
        <v>54.94351196072666</v>
      </c>
      <c r="AL72" s="20">
        <f t="shared" si="58"/>
        <v>485.50670733159899</v>
      </c>
      <c r="AM72" s="57">
        <f t="shared" si="59"/>
        <v>778.8400406649323</v>
      </c>
      <c r="AN72" s="57">
        <f ca="1">AVERAGE(OFFSET($AM$3,0,0,'Données projet'!$E$10+1,1))-AVERAGE(OFFSET($H$3,0,0,'Données projet'!$E$10+1,1))</f>
        <v>390.70240761116355</v>
      </c>
      <c r="AO72" s="57">
        <f t="shared" si="90"/>
        <v>241.18285512887638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13.056439406120827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13.056439406120827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235.2</v>
      </c>
      <c r="BE72" s="13">
        <f>BD72*VLOOKUP('Données projet'!$B$11,Paramètres!$A$1:$I$89,3,0)*VLOOKUP('Données projet'!$B$11,Paramètres!$A$1:$I$89,5,0)</f>
        <v>227.48543999999998</v>
      </c>
      <c r="BF72" s="13">
        <f t="shared" si="91"/>
        <v>55.738627496252377</v>
      </c>
      <c r="BG72" s="20">
        <f t="shared" si="61"/>
        <v>493.28191755597277</v>
      </c>
      <c r="BH72" s="57">
        <f t="shared" si="62"/>
        <v>786.61525088930603</v>
      </c>
      <c r="BI72" s="57">
        <f ca="1">AVERAGE(OFFSET($BH$3,0,0,'Données projet'!$E$11+1,1))-AVERAGE(OFFSET($H$3,0,0,'Données projet'!$E$11+1,1))</f>
        <v>396.44612884768748</v>
      </c>
      <c r="BJ72" s="57">
        <f t="shared" si="92"/>
        <v>244.451492444461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13.270479396385104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13.270479396385104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3.4106051316484809E-13</v>
      </c>
      <c r="BZ72" s="13">
        <f>BY72*VLOOKUP('Données projet'!$B$12,Paramètres!$A$1:$I$89,3,0)*VLOOKUP('Données projet'!$B$12,Paramètres!$A$1:$I$89,5,0)</f>
        <v>2.0395418687257919E-13</v>
      </c>
      <c r="CA72" s="13">
        <f t="shared" si="93"/>
        <v>2.8200388570161721E-12</v>
      </c>
      <c r="CB72" s="20">
        <f t="shared" si="64"/>
        <v>5.2667878847729083E-12</v>
      </c>
      <c r="CC72" s="57">
        <f t="shared" si="65"/>
        <v>293.3333333333386</v>
      </c>
      <c r="CD72" s="57">
        <f ca="1">AVERAGE(OFFSET($CC$3,0,0,'Données projet'!$E$12+1,1))-AVERAGE(OFFSET($H$3,0,0,'Données projet'!$E$12+1,1))</f>
        <v>259.64096626089821</v>
      </c>
      <c r="CE72" s="57">
        <f t="shared" si="94"/>
        <v>258.1415293081597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126.24948627185512</v>
      </c>
      <c r="CL72" s="21">
        <f>EXP(-LN(2)/25)*CL71+(1-EXP(-LN(2)/25))/(LN(2)/25)*Calculateur!CG72*Calculateur!CI72*VLOOKUP('Données projet'!$B$12,Paramètres!$A$1:$I$89,3,0)*0.475*44/12</f>
        <v>27.613945175871699</v>
      </c>
      <c r="CM72" s="21">
        <f>EXP(-LN(2)/2)*CM71+(1-EXP(-LN(2)/2))/(LN(2)/2)*CG72*CJ72*VLOOKUP('Données projet'!$B$12,Paramètres!$A$1:$I$89,3,0)*0.475*44/12</f>
        <v>1.2000692726294517</v>
      </c>
      <c r="CN72" s="22">
        <f t="shared" si="66"/>
        <v>155.06350072035627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6.8</v>
      </c>
      <c r="CT72" s="12">
        <f>IF('Données projet'!$A$140&gt;35,CT71+CS72-DB71,IF(A72&lt;'Données projet'!$A$140,$CQ$205^A72,IF(A72='Données projet'!$A$140,'Données projet'!$B$140,CT71+CS72-DB71)))</f>
        <v>235.2</v>
      </c>
      <c r="CU72" s="17">
        <f>CT72*VLOOKUP('Données projet'!$B$13,Paramètres!$A$1:$I$89,3,0)*VLOOKUP('Données projet'!$B$13,Paramètres!$A$1:$I$89,5,0)</f>
        <v>253.16927999999999</v>
      </c>
      <c r="CV72" s="13">
        <f t="shared" si="95"/>
        <v>61.264096094739848</v>
      </c>
      <c r="CW72" s="20">
        <f t="shared" si="67"/>
        <v>547.63813003167184</v>
      </c>
      <c r="CX72" s="57">
        <f t="shared" si="68"/>
        <v>840.97146336500509</v>
      </c>
      <c r="CY72" s="57">
        <f ca="1">AVERAGE(OFFSET($CX$3,0,0,'Données projet'!$E$13+1,1))-AVERAGE(OFFSET($H$3,0,0,'Données projet'!$E$13+1,1))</f>
        <v>436.59978658837537</v>
      </c>
      <c r="CZ72" s="57">
        <f t="shared" si="96"/>
        <v>267.2998309535638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14.768759328235031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14.768759328235031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</v>
      </c>
      <c r="DO72" s="12">
        <f>IF('Données projet'!$A$166&gt;35,DO71+DN72-DW71,IF(A72&lt;'Données projet'!$A$166,$DL$205^A72,IF(A72='Données projet'!$A$166,'Données projet'!$B$166,DO71+DN72-DW71)))</f>
        <v>167</v>
      </c>
      <c r="DP72" s="17">
        <f>DO72*VLOOKUP('Données projet'!$B$14,Paramètres!$A$1:$I$89,3,0)*VLOOKUP('Données projet'!$B$14,Paramètres!$A$1:$I$89,5,0)</f>
        <v>158.91720000000001</v>
      </c>
      <c r="DQ72" s="13">
        <f t="shared" si="97"/>
        <v>40.598190407175252</v>
      </c>
      <c r="DR72" s="20">
        <f t="shared" si="70"/>
        <v>347.48930495916358</v>
      </c>
      <c r="DS72" s="57">
        <f t="shared" si="71"/>
        <v>640.82263829249689</v>
      </c>
      <c r="DT72" s="57">
        <f ca="1">AVERAGE(OFFSET($DS$3,0,0,'Données projet'!$E$14+1,1))-AVERAGE(OFFSET($H$3,0,0,'Données projet'!$E$14+1,1))</f>
        <v>292.95981568144879</v>
      </c>
      <c r="DU72" s="57">
        <f t="shared" si="98"/>
        <v>152.23954167722536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7.7397052228903034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7.7397052228903034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7" t="e">
        <f t="shared" si="74"/>
        <v>#N/A</v>
      </c>
      <c r="EO72" s="57" t="e">
        <f ca="1">AVERAGE(OFFSET($EN$3,0,0,'Données projet'!$E$15+1,1))-AVERAGE(OFFSET($H$3,0,0,'Données projet'!$E$15+1,1))</f>
        <v>#N/A</v>
      </c>
      <c r="EP72" s="57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7" t="e">
        <f t="shared" si="77"/>
        <v>#N/A</v>
      </c>
      <c r="FJ72" s="57" t="e">
        <f ca="1">AVERAGE(OFFSET($FI$3,0,0,'Données projet'!$E$16+1,1))-AVERAGE(OFFSET($H$3,0,0,'Données projet'!$E$16+1,1))</f>
        <v>#N/A</v>
      </c>
      <c r="FK72" s="57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7" t="e">
        <f t="shared" si="80"/>
        <v>#N/A</v>
      </c>
      <c r="GE72" s="57" t="e">
        <f ca="1">AVERAGE(OFFSET($GD$3,0,0,'Données projet'!$E$17+1,1))-AVERAGE(OFFSET($H$3,0,0,'Données projet'!$E$17+1,1))</f>
        <v>#N/A</v>
      </c>
      <c r="GF72" s="57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7" t="e">
        <f t="shared" si="83"/>
        <v>#N/A</v>
      </c>
      <c r="GZ72" s="57" t="e">
        <f ca="1">AVERAGE(OFFSET($GY$3,0,0,'Données projet'!$E$18+1,1))-AVERAGE(OFFSET($H$3,0,0,'Données projet'!$E$18+1,1))</f>
        <v>#N/A</v>
      </c>
      <c r="HA72" s="57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1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5">
        <f t="shared" si="56"/>
        <v>256.66666666666669</v>
      </c>
      <c r="I73" s="6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242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7">
        <f t="shared" si="55"/>
        <v>768.54835911062366</v>
      </c>
      <c r="S73" s="57">
        <f ca="1">AVERAGE(OFFSET($R$3,0,0,'Données projet'!$E$9+1,1))-AVERAGE(OFFSET($H$3,0,0,'Données projet'!$E$9+1,1))</f>
        <v>373.45926089889866</v>
      </c>
      <c r="T73" s="57">
        <f t="shared" si="88"/>
        <v>231.36959598460686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16.686918844485781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16.686918844485781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242</v>
      </c>
      <c r="AJ73" s="13">
        <f>AI73*VLOOKUP('Données projet'!$B$10,Paramètres!$A$1:$I$89,3,0)*VLOOKUP('Données projet'!$B$10,Paramètres!$A$1:$I$89,5,0)</f>
        <v>230.28720000000001</v>
      </c>
      <c r="AK73" s="13">
        <f t="shared" si="89"/>
        <v>56.344776374959956</v>
      </c>
      <c r="AL73" s="20">
        <f t="shared" si="58"/>
        <v>499.2173588530552</v>
      </c>
      <c r="AM73" s="57">
        <f t="shared" si="59"/>
        <v>792.55069218638846</v>
      </c>
      <c r="AN73" s="57">
        <f ca="1">AVERAGE(OFFSET($AM$3,0,0,'Données projet'!$E$10+1,1))-AVERAGE(OFFSET($H$3,0,0,'Données projet'!$E$10+1,1))</f>
        <v>390.70240761116355</v>
      </c>
      <c r="AO73" s="57">
        <f t="shared" si="90"/>
        <v>241.18285512887638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17.550035336441944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17.550035336441944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242</v>
      </c>
      <c r="BE73" s="13">
        <f>BD73*VLOOKUP('Données projet'!$B$11,Paramètres!$A$1:$I$89,3,0)*VLOOKUP('Données projet'!$B$11,Paramètres!$A$1:$I$89,5,0)</f>
        <v>234.0624</v>
      </c>
      <c r="BF73" s="13">
        <f t="shared" si="91"/>
        <v>57.16017032126387</v>
      </c>
      <c r="BG73" s="20">
        <f t="shared" si="61"/>
        <v>507.21264330953454</v>
      </c>
      <c r="BH73" s="57">
        <f t="shared" si="62"/>
        <v>800.5459766428678</v>
      </c>
      <c r="BI73" s="57">
        <f ca="1">AVERAGE(OFFSET($BH$3,0,0,'Données projet'!$E$11+1,1))-AVERAGE(OFFSET($H$3,0,0,'Données projet'!$E$11+1,1))</f>
        <v>396.44612884768748</v>
      </c>
      <c r="BJ73" s="57">
        <f t="shared" si="92"/>
        <v>244.451492444461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17.837740833760666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17.837740833760666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3.4106051316484809E-13</v>
      </c>
      <c r="BZ73" s="13">
        <f>BY73*VLOOKUP('Données projet'!$B$12,Paramètres!$A$1:$I$89,3,0)*VLOOKUP('Données projet'!$B$12,Paramètres!$A$1:$I$89,5,0)</f>
        <v>2.0395418687257919E-13</v>
      </c>
      <c r="CA73" s="13">
        <f t="shared" si="93"/>
        <v>2.8200388570161721E-12</v>
      </c>
      <c r="CB73" s="20">
        <f t="shared" si="64"/>
        <v>5.2667878847729083E-12</v>
      </c>
      <c r="CC73" s="57">
        <f t="shared" si="65"/>
        <v>293.3333333333386</v>
      </c>
      <c r="CD73" s="57">
        <f ca="1">AVERAGE(OFFSET($CC$3,0,0,'Données projet'!$E$12+1,1))-AVERAGE(OFFSET($H$3,0,0,'Données projet'!$E$12+1,1))</f>
        <v>259.64096626089821</v>
      </c>
      <c r="CE73" s="57">
        <f t="shared" si="94"/>
        <v>258.1415293081597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123.7738108506471</v>
      </c>
      <c r="CL73" s="21">
        <f>EXP(-LN(2)/25)*CL72+(1-EXP(-LN(2)/25))/(LN(2)/25)*Calculateur!CG73*Calculateur!CI73*VLOOKUP('Données projet'!$B$12,Paramètres!$A$1:$I$89,3,0)*0.475*44/12</f>
        <v>26.858840392883224</v>
      </c>
      <c r="CM73" s="21">
        <f>EXP(-LN(2)/2)*CM72+(1-EXP(-LN(2)/2))/(LN(2)/2)*CG73*CJ73*VLOOKUP('Données projet'!$B$12,Paramètres!$A$1:$I$89,3,0)*0.475*44/12</f>
        <v>0.84857712056989298</v>
      </c>
      <c r="CN73" s="22">
        <f t="shared" si="66"/>
        <v>151.48122836410022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242</v>
      </c>
      <c r="CR73" s="12">
        <f>VLOOKUP(A73,'Données projet'!$A$139:$I$159,9,0)</f>
        <v>6.8</v>
      </c>
      <c r="CS73" s="12">
        <f t="array" ref="CS73">INDEX(CR:CR,MIN(IF(ISNUMBER(CR73:CR269),ROW(CR73:CR269),"")))</f>
        <v>6.8</v>
      </c>
      <c r="CT73" s="12">
        <f>IF('Données projet'!$A$140&gt;35,CT72+CS73-DB72,IF(A73&lt;'Données projet'!$A$140,$CQ$205^A73,IF(A73='Données projet'!$A$140,'Données projet'!$B$140,CT72+CS73-DB72)))</f>
        <v>242</v>
      </c>
      <c r="CU73" s="17">
        <f>CT73*VLOOKUP('Données projet'!$B$13,Paramètres!$A$1:$I$89,3,0)*VLOOKUP('Données projet'!$B$13,Paramètres!$A$1:$I$89,5,0)</f>
        <v>260.48879999999997</v>
      </c>
      <c r="CV73" s="13">
        <f t="shared" si="95"/>
        <v>62.826558970958821</v>
      </c>
      <c r="CW73" s="20">
        <f t="shared" si="67"/>
        <v>563.10758354108657</v>
      </c>
      <c r="CX73" s="57">
        <f t="shared" si="68"/>
        <v>856.44091687441983</v>
      </c>
      <c r="CY73" s="57">
        <f ca="1">AVERAGE(OFFSET($CX$3,0,0,'Données projet'!$E$13+1,1))-AVERAGE(OFFSET($H$3,0,0,'Données projet'!$E$13+1,1))</f>
        <v>436.59978658837537</v>
      </c>
      <c r="CZ73" s="57">
        <f t="shared" si="96"/>
        <v>267.2998309535638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19.851679314991706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19.851679314991706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172</v>
      </c>
      <c r="DM73" s="12">
        <f>VLOOKUP(A73,'Données projet'!$A$165:$I$185,9,0)</f>
        <v>5</v>
      </c>
      <c r="DN73" s="12">
        <f t="array" ref="DN73">INDEX(DM:DM,MIN(IF(ISNUMBER(DM73:DM269),ROW(DM73:DM269),"")))</f>
        <v>5</v>
      </c>
      <c r="DO73" s="12">
        <f>IF('Données projet'!$A$166&gt;35,DO72+DN73-DW72,IF(A73&lt;'Données projet'!$A$166,$DL$205^A73,IF(A73='Données projet'!$A$166,'Données projet'!$B$166,DO72+DN73-DW72)))</f>
        <v>172</v>
      </c>
      <c r="DP73" s="17">
        <f>DO73*VLOOKUP('Données projet'!$B$14,Paramètres!$A$1:$I$89,3,0)*VLOOKUP('Données projet'!$B$14,Paramètres!$A$1:$I$89,5,0)</f>
        <v>163.67520000000002</v>
      </c>
      <c r="DQ73" s="13">
        <f t="shared" si="97"/>
        <v>41.670368197291587</v>
      </c>
      <c r="DR73" s="20">
        <f t="shared" si="70"/>
        <v>357.64353127694955</v>
      </c>
      <c r="DS73" s="57">
        <f t="shared" si="71"/>
        <v>650.97686461028286</v>
      </c>
      <c r="DT73" s="57">
        <f ca="1">AVERAGE(OFFSET($DS$3,0,0,'Données projet'!$E$14+1,1))-AVERAGE(OFFSET($H$3,0,0,'Données projet'!$E$14+1,1))</f>
        <v>292.95981568144879</v>
      </c>
      <c r="DU73" s="57">
        <f t="shared" si="98"/>
        <v>152.23954167722536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14</v>
      </c>
      <c r="DX73" s="16">
        <f>IF(ISNA(VLOOKUP(A73,'Données projet'!$A$165:$I$185,5,0)),0%,VLOOKUP(A73,'Données projet'!$A$165:$I$185,5,0)*VLOOKUP('Données projet'!$B$14,Paramètres!$A$1:$I$89,7,0))</f>
        <v>0.17200000000000001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10.121067520721317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10.121067520721317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7" t="e">
        <f t="shared" si="74"/>
        <v>#N/A</v>
      </c>
      <c r="EO73" s="57" t="e">
        <f ca="1">AVERAGE(OFFSET($EN$3,0,0,'Données projet'!$E$15+1,1))-AVERAGE(OFFSET($H$3,0,0,'Données projet'!$E$15+1,1))</f>
        <v>#N/A</v>
      </c>
      <c r="EP73" s="57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7" t="e">
        <f t="shared" si="77"/>
        <v>#N/A</v>
      </c>
      <c r="FJ73" s="57" t="e">
        <f ca="1">AVERAGE(OFFSET($FI$3,0,0,'Données projet'!$E$16+1,1))-AVERAGE(OFFSET($H$3,0,0,'Données projet'!$E$16+1,1))</f>
        <v>#N/A</v>
      </c>
      <c r="FK73" s="57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7" t="e">
        <f t="shared" si="80"/>
        <v>#N/A</v>
      </c>
      <c r="GE73" s="57" t="e">
        <f ca="1">AVERAGE(OFFSET($GD$3,0,0,'Données projet'!$E$17+1,1))-AVERAGE(OFFSET($H$3,0,0,'Données projet'!$E$17+1,1))</f>
        <v>#N/A</v>
      </c>
      <c r="GF73" s="57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7" t="e">
        <f t="shared" si="83"/>
        <v>#N/A</v>
      </c>
      <c r="GZ73" s="57" t="e">
        <f ca="1">AVERAGE(OFFSET($GY$3,0,0,'Données projet'!$E$18+1,1))-AVERAGE(OFFSET($H$3,0,0,'Données projet'!$E$18+1,1))</f>
        <v>#N/A</v>
      </c>
      <c r="HA73" s="57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1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5">
        <f t="shared" si="56"/>
        <v>256.66666666666669</v>
      </c>
      <c r="I74" s="6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227.2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7">
        <f t="shared" si="55"/>
        <v>740.13528187395309</v>
      </c>
      <c r="S74" s="57">
        <f ca="1">AVERAGE(OFFSET($R$3,0,0,'Données projet'!$E$9+1,1))-AVERAGE(OFFSET($H$3,0,0,'Données projet'!$E$9+1,1))</f>
        <v>373.45926089889866</v>
      </c>
      <c r="T74" s="57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16.359698543960913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16.359698543960913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227.2</v>
      </c>
      <c r="AJ74" s="13">
        <f>AI74*VLOOKUP('Données projet'!$B$10,Paramètres!$A$1:$I$89,3,0)*VLOOKUP('Données projet'!$B$10,Paramètres!$A$1:$I$89,5,0)</f>
        <v>216.20351999999997</v>
      </c>
      <c r="AK74" s="13">
        <f t="shared" si="89"/>
        <v>53.288905450648613</v>
      </c>
      <c r="AL74" s="20">
        <f t="shared" si="58"/>
        <v>469.36597432654622</v>
      </c>
      <c r="AM74" s="57">
        <f t="shared" si="59"/>
        <v>762.69930765987954</v>
      </c>
      <c r="AN74" s="57">
        <f ca="1">AVERAGE(OFFSET($AM$3,0,0,'Données projet'!$E$10+1,1))-AVERAGE(OFFSET($H$3,0,0,'Données projet'!$E$10+1,1))</f>
        <v>390.70240761116355</v>
      </c>
      <c r="AO74" s="57">
        <f t="shared" si="90"/>
        <v>241.18285512887638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17.205889847958893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17.205889847958893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227.2</v>
      </c>
      <c r="BE74" s="13">
        <f>BD74*VLOOKUP('Données projet'!$B$11,Paramètres!$A$1:$I$89,3,0)*VLOOKUP('Données projet'!$B$11,Paramètres!$A$1:$I$89,5,0)</f>
        <v>219.74784000000002</v>
      </c>
      <c r="BF74" s="13">
        <f t="shared" si="91"/>
        <v>54.060076332940611</v>
      </c>
      <c r="BG74" s="20">
        <f t="shared" si="61"/>
        <v>476.88212094653824</v>
      </c>
      <c r="BH74" s="57">
        <f t="shared" si="62"/>
        <v>770.21545427987155</v>
      </c>
      <c r="BI74" s="57">
        <f ca="1">AVERAGE(OFFSET($BH$3,0,0,'Données projet'!$E$11+1,1))-AVERAGE(OFFSET($H$3,0,0,'Données projet'!$E$11+1,1))</f>
        <v>396.44612884768748</v>
      </c>
      <c r="BJ74" s="57">
        <f t="shared" si="92"/>
        <v>244.451492444461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17.487953615958222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17.487953615958222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3.4106051316484809E-13</v>
      </c>
      <c r="BZ74" s="13">
        <f>BY74*VLOOKUP('Données projet'!$B$12,Paramètres!$A$1:$I$89,3,0)*VLOOKUP('Données projet'!$B$12,Paramètres!$A$1:$I$89,5,0)</f>
        <v>2.0395418687257919E-13</v>
      </c>
      <c r="CA74" s="13">
        <f t="shared" si="93"/>
        <v>2.8200388570161721E-12</v>
      </c>
      <c r="CB74" s="20">
        <f t="shared" si="64"/>
        <v>5.2667878847729083E-12</v>
      </c>
      <c r="CC74" s="57">
        <f t="shared" si="65"/>
        <v>293.3333333333386</v>
      </c>
      <c r="CD74" s="57">
        <f ca="1">AVERAGE(OFFSET($CC$3,0,0,'Données projet'!$E$12+1,1))-AVERAGE(OFFSET($H$3,0,0,'Données projet'!$E$12+1,1))</f>
        <v>259.64096626089821</v>
      </c>
      <c r="CE74" s="57">
        <f t="shared" si="94"/>
        <v>258.1415293081597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121.34668191443606</v>
      </c>
      <c r="CL74" s="21">
        <f>EXP(-LN(2)/25)*CL73+(1-EXP(-LN(2)/25))/(LN(2)/25)*Calculateur!CG74*Calculateur!CI74*VLOOKUP('Données projet'!$B$12,Paramètres!$A$1:$I$89,3,0)*0.475*44/12</f>
        <v>26.124383989894802</v>
      </c>
      <c r="CM74" s="21">
        <f>EXP(-LN(2)/2)*CM73+(1-EXP(-LN(2)/2))/(LN(2)/2)*CG74*CJ74*VLOOKUP('Données projet'!$B$12,Paramètres!$A$1:$I$89,3,0)*0.475*44/12</f>
        <v>0.60003463631472587</v>
      </c>
      <c r="CN74" s="22">
        <f t="shared" si="66"/>
        <v>148.07110054064557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6.2</v>
      </c>
      <c r="CT74" s="12">
        <f>IF('Données projet'!$A$140&gt;35,CT73+CS74-DB73,IF(A74&lt;'Données projet'!$A$140,$CQ$205^A74,IF(A74='Données projet'!$A$140,'Données projet'!$B$140,CT73+CS74-DB73)))</f>
        <v>227.2</v>
      </c>
      <c r="CU74" s="17">
        <f>CT74*VLOOKUP('Données projet'!$B$13,Paramètres!$A$1:$I$89,3,0)*VLOOKUP('Données projet'!$B$13,Paramètres!$A$1:$I$89,5,0)</f>
        <v>244.55807999999996</v>
      </c>
      <c r="CV74" s="13">
        <f t="shared" si="95"/>
        <v>59.419147189674156</v>
      </c>
      <c r="CW74" s="20">
        <f t="shared" si="67"/>
        <v>529.42700402201569</v>
      </c>
      <c r="CX74" s="57">
        <f t="shared" si="68"/>
        <v>822.76033735534907</v>
      </c>
      <c r="CY74" s="57">
        <f ca="1">AVERAGE(OFFSET($CX$3,0,0,'Données projet'!$E$13+1,1))-AVERAGE(OFFSET($H$3,0,0,'Données projet'!$E$13+1,1))</f>
        <v>436.59978658837537</v>
      </c>
      <c r="CZ74" s="57">
        <f t="shared" si="96"/>
        <v>267.2998309535638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19.462399991953504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19.462399991953504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</v>
      </c>
      <c r="DO74" s="12">
        <f>IF('Données projet'!$A$166&gt;35,DO73+DN74-DW73,IF(A74&lt;'Données projet'!$A$166,$DL$205^A74,IF(A74='Données projet'!$A$166,'Données projet'!$B$166,DO73+DN74-DW73)))</f>
        <v>163</v>
      </c>
      <c r="DP74" s="17">
        <f>DO74*VLOOKUP('Données projet'!$B$14,Paramètres!$A$1:$I$89,3,0)*VLOOKUP('Données projet'!$B$14,Paramètres!$A$1:$I$89,5,0)</f>
        <v>155.11079999999998</v>
      </c>
      <c r="DQ74" s="13">
        <f t="shared" si="97"/>
        <v>39.737758807485029</v>
      </c>
      <c r="DR74" s="20">
        <f t="shared" si="70"/>
        <v>339.36123992303641</v>
      </c>
      <c r="DS74" s="57">
        <f t="shared" si="71"/>
        <v>632.69457325636972</v>
      </c>
      <c r="DT74" s="57">
        <f ca="1">AVERAGE(OFFSET($DS$3,0,0,'Données projet'!$E$14+1,1))-AVERAGE(OFFSET($H$3,0,0,'Données projet'!$E$14+1,1))</f>
        <v>292.95981568144879</v>
      </c>
      <c r="DU74" s="57">
        <f t="shared" si="98"/>
        <v>152.23954167722536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9.9225995598816024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9.9225995598816024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7" t="e">
        <f t="shared" si="74"/>
        <v>#N/A</v>
      </c>
      <c r="EO74" s="57" t="e">
        <f ca="1">AVERAGE(OFFSET($EN$3,0,0,'Données projet'!$E$15+1,1))-AVERAGE(OFFSET($H$3,0,0,'Données projet'!$E$15+1,1))</f>
        <v>#N/A</v>
      </c>
      <c r="EP74" s="57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7" t="e">
        <f t="shared" si="77"/>
        <v>#N/A</v>
      </c>
      <c r="FJ74" s="57" t="e">
        <f ca="1">AVERAGE(OFFSET($FI$3,0,0,'Données projet'!$E$16+1,1))-AVERAGE(OFFSET($H$3,0,0,'Données projet'!$E$16+1,1))</f>
        <v>#N/A</v>
      </c>
      <c r="FK74" s="57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7" t="e">
        <f t="shared" si="80"/>
        <v>#N/A</v>
      </c>
      <c r="GE74" s="57" t="e">
        <f ca="1">AVERAGE(OFFSET($GD$3,0,0,'Données projet'!$E$17+1,1))-AVERAGE(OFFSET($H$3,0,0,'Données projet'!$E$17+1,1))</f>
        <v>#N/A</v>
      </c>
      <c r="GF74" s="57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7" t="e">
        <f t="shared" si="83"/>
        <v>#N/A</v>
      </c>
      <c r="GZ74" s="57" t="e">
        <f ca="1">AVERAGE(OFFSET($GY$3,0,0,'Données projet'!$E$18+1,1))-AVERAGE(OFFSET($H$3,0,0,'Données projet'!$E$18+1,1))</f>
        <v>#N/A</v>
      </c>
      <c r="HA74" s="57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1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5">
        <f t="shared" si="56"/>
        <v>256.66666666666669</v>
      </c>
      <c r="I75" s="6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233.39999999999998</v>
      </c>
      <c r="O75" s="13">
        <f>N75*VLOOKUP('Données projet'!$B$9,Paramètres!$A$1:$I$89,3,0)*VLOOKUP('Données projet'!$B$9,Paramètres!$A$1:$I$89,5,0)</f>
        <v>211.18031999999999</v>
      </c>
      <c r="P75" s="13">
        <f t="shared" si="87"/>
        <v>52.193431117443019</v>
      </c>
      <c r="Q75" s="20">
        <f t="shared" si="54"/>
        <v>458.70928319621322</v>
      </c>
      <c r="R75" s="57">
        <f t="shared" si="55"/>
        <v>752.04261652954654</v>
      </c>
      <c r="S75" s="57">
        <f ca="1">AVERAGE(OFFSET($R$3,0,0,'Données projet'!$E$9+1,1))-AVERAGE(OFFSET($H$3,0,0,'Données projet'!$E$9+1,1))</f>
        <v>373.45926089889866</v>
      </c>
      <c r="T75" s="57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16.038894833944664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16.038894833944664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233.39999999999998</v>
      </c>
      <c r="AJ75" s="13">
        <f>AI75*VLOOKUP('Données projet'!$B$10,Paramètres!$A$1:$I$89,3,0)*VLOOKUP('Données projet'!$B$10,Paramètres!$A$1:$I$89,5,0)</f>
        <v>222.10344000000001</v>
      </c>
      <c r="AK75" s="13">
        <f t="shared" si="89"/>
        <v>54.571804516465022</v>
      </c>
      <c r="AL75" s="20">
        <f t="shared" si="58"/>
        <v>481.87605086617651</v>
      </c>
      <c r="AM75" s="57">
        <f t="shared" si="59"/>
        <v>775.20938419950983</v>
      </c>
      <c r="AN75" s="57">
        <f ca="1">AVERAGE(OFFSET($AM$3,0,0,'Données projet'!$E$10+1,1))-AVERAGE(OFFSET($H$3,0,0,'Données projet'!$E$10+1,1))</f>
        <v>390.70240761116355</v>
      </c>
      <c r="AO75" s="57">
        <f t="shared" si="90"/>
        <v>241.18285512887638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16.868492842596975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16.868492842596975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233.39999999999998</v>
      </c>
      <c r="BE75" s="13">
        <f>BD75*VLOOKUP('Données projet'!$B$11,Paramètres!$A$1:$I$89,3,0)*VLOOKUP('Données projet'!$B$11,Paramètres!$A$1:$I$89,5,0)</f>
        <v>225.74448000000001</v>
      </c>
      <c r="BF75" s="13">
        <f t="shared" si="91"/>
        <v>55.36154088431374</v>
      </c>
      <c r="BG75" s="20">
        <f t="shared" si="61"/>
        <v>489.59298637351304</v>
      </c>
      <c r="BH75" s="57">
        <f t="shared" si="62"/>
        <v>782.92631970684636</v>
      </c>
      <c r="BI75" s="57">
        <f ca="1">AVERAGE(OFFSET($BH$3,0,0,'Données projet'!$E$11+1,1))-AVERAGE(OFFSET($H$3,0,0,'Données projet'!$E$11+1,1))</f>
        <v>396.44612884768748</v>
      </c>
      <c r="BJ75" s="57">
        <f t="shared" si="92"/>
        <v>244.451492444461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17.145025512147747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17.145025512147747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3.4106051316484809E-13</v>
      </c>
      <c r="BZ75" s="13">
        <f>BY75*VLOOKUP('Données projet'!$B$12,Paramètres!$A$1:$I$89,3,0)*VLOOKUP('Données projet'!$B$12,Paramètres!$A$1:$I$89,5,0)</f>
        <v>2.0395418687257919E-13</v>
      </c>
      <c r="CA75" s="13">
        <f t="shared" si="93"/>
        <v>2.8200388570161721E-12</v>
      </c>
      <c r="CB75" s="20">
        <f t="shared" si="64"/>
        <v>5.2667878847729083E-12</v>
      </c>
      <c r="CC75" s="57">
        <f t="shared" si="65"/>
        <v>293.3333333333386</v>
      </c>
      <c r="CD75" s="57">
        <f ca="1">AVERAGE(OFFSET($CC$3,0,0,'Données projet'!$E$12+1,1))-AVERAGE(OFFSET($H$3,0,0,'Données projet'!$E$12+1,1))</f>
        <v>259.64096626089821</v>
      </c>
      <c r="CE75" s="57">
        <f t="shared" si="94"/>
        <v>258.1415293081597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118.96714749626165</v>
      </c>
      <c r="CL75" s="21">
        <f>EXP(-LN(2)/25)*CL74+(1-EXP(-LN(2)/25))/(LN(2)/25)*Calculateur!CG75*Calculateur!CI75*VLOOKUP('Données projet'!$B$12,Paramètres!$A$1:$I$89,3,0)*0.475*44/12</f>
        <v>25.410011335869484</v>
      </c>
      <c r="CM75" s="21">
        <f>EXP(-LN(2)/2)*CM74+(1-EXP(-LN(2)/2))/(LN(2)/2)*CG75*CJ75*VLOOKUP('Données projet'!$B$12,Paramètres!$A$1:$I$89,3,0)*0.475*44/12</f>
        <v>0.42428856028494649</v>
      </c>
      <c r="CN75" s="22">
        <f t="shared" si="66"/>
        <v>144.80144739241607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6.2</v>
      </c>
      <c r="CT75" s="12">
        <f>IF('Données projet'!$A$140&gt;35,CT74+CS75-DB74,IF(A75&lt;'Données projet'!$A$140,$CQ$205^A75,IF(A75='Données projet'!$A$140,'Données projet'!$B$140,CT74+CS75-DB74)))</f>
        <v>233.39999999999998</v>
      </c>
      <c r="CU75" s="17">
        <f>CT75*VLOOKUP('Données projet'!$B$13,Paramètres!$A$1:$I$89,3,0)*VLOOKUP('Données projet'!$B$13,Paramètres!$A$1:$I$89,5,0)</f>
        <v>251.23175999999995</v>
      </c>
      <c r="CV75" s="13">
        <f t="shared" si="95"/>
        <v>60.849628220886935</v>
      </c>
      <c r="CW75" s="20">
        <f t="shared" si="67"/>
        <v>543.54175115137798</v>
      </c>
      <c r="CX75" s="57">
        <f t="shared" si="68"/>
        <v>836.87508448471135</v>
      </c>
      <c r="CY75" s="57">
        <f ca="1">AVERAGE(OFFSET($CX$3,0,0,'Données projet'!$E$13+1,1))-AVERAGE(OFFSET($H$3,0,0,'Données projet'!$E$13+1,1))</f>
        <v>436.59978658837537</v>
      </c>
      <c r="CZ75" s="57">
        <f t="shared" si="96"/>
        <v>267.2998309535638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19.080754199003138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19.080754199003138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</v>
      </c>
      <c r="DO75" s="12">
        <f>IF('Données projet'!$A$166&gt;35,DO74+DN75-DW74,IF(A75&lt;'Données projet'!$A$166,$DL$205^A75,IF(A75='Données projet'!$A$166,'Données projet'!$B$166,DO74+DN75-DW74)))</f>
        <v>168</v>
      </c>
      <c r="DP75" s="17">
        <f>DO75*VLOOKUP('Données projet'!$B$14,Paramètres!$A$1:$I$89,3,0)*VLOOKUP('Données projet'!$B$14,Paramètres!$A$1:$I$89,5,0)</f>
        <v>159.86880000000002</v>
      </c>
      <c r="DQ75" s="13">
        <f t="shared" si="97"/>
        <v>40.812921467768035</v>
      </c>
      <c r="DR75" s="20">
        <f t="shared" si="70"/>
        <v>349.52066488969604</v>
      </c>
      <c r="DS75" s="57">
        <f t="shared" si="71"/>
        <v>642.85399822302929</v>
      </c>
      <c r="DT75" s="57">
        <f ca="1">AVERAGE(OFFSET($DS$3,0,0,'Données projet'!$E$14+1,1))-AVERAGE(OFFSET($H$3,0,0,'Données projet'!$E$14+1,1))</f>
        <v>292.95981568144879</v>
      </c>
      <c r="DU75" s="57">
        <f t="shared" si="98"/>
        <v>152.23954167722536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9.7280234347004519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9.7280234347004519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7" t="e">
        <f t="shared" si="74"/>
        <v>#N/A</v>
      </c>
      <c r="EO75" s="57" t="e">
        <f ca="1">AVERAGE(OFFSET($EN$3,0,0,'Données projet'!$E$15+1,1))-AVERAGE(OFFSET($H$3,0,0,'Données projet'!$E$15+1,1))</f>
        <v>#N/A</v>
      </c>
      <c r="EP75" s="57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7" t="e">
        <f t="shared" si="77"/>
        <v>#N/A</v>
      </c>
      <c r="FJ75" s="57" t="e">
        <f ca="1">AVERAGE(OFFSET($FI$3,0,0,'Données projet'!$E$16+1,1))-AVERAGE(OFFSET($H$3,0,0,'Données projet'!$E$16+1,1))</f>
        <v>#N/A</v>
      </c>
      <c r="FK75" s="57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7" t="e">
        <f t="shared" si="80"/>
        <v>#N/A</v>
      </c>
      <c r="GE75" s="57" t="e">
        <f ca="1">AVERAGE(OFFSET($GD$3,0,0,'Données projet'!$E$17+1,1))-AVERAGE(OFFSET($H$3,0,0,'Données projet'!$E$17+1,1))</f>
        <v>#N/A</v>
      </c>
      <c r="GF75" s="57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7" t="e">
        <f t="shared" si="83"/>
        <v>#N/A</v>
      </c>
      <c r="GZ75" s="57" t="e">
        <f ca="1">AVERAGE(OFFSET($GY$3,0,0,'Données projet'!$E$18+1,1))-AVERAGE(OFFSET($H$3,0,0,'Données projet'!$E$18+1,1))</f>
        <v>#N/A</v>
      </c>
      <c r="HA75" s="57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1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5">
        <f t="shared" si="56"/>
        <v>256.66666666666669</v>
      </c>
      <c r="I76" s="6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239.59999999999997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7">
        <f t="shared" si="55"/>
        <v>763.94335289202218</v>
      </c>
      <c r="S76" s="57">
        <f ca="1">AVERAGE(OFFSET($R$3,0,0,'Données projet'!$E$9+1,1))-AVERAGE(OFFSET($H$3,0,0,'Données projet'!$E$9+1,1))</f>
        <v>373.45926089889866</v>
      </c>
      <c r="T76" s="57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15.724381889010891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15.724381889010891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239.59999999999997</v>
      </c>
      <c r="AJ76" s="13">
        <f>AI76*VLOOKUP('Données projet'!$B$10,Paramètres!$A$1:$I$89,3,0)*VLOOKUP('Données projet'!$B$10,Paramètres!$A$1:$I$89,5,0)</f>
        <v>228.00335999999999</v>
      </c>
      <c r="AK76" s="13">
        <f t="shared" si="89"/>
        <v>55.850742452867522</v>
      </c>
      <c r="AL76" s="20">
        <f t="shared" si="58"/>
        <v>494.37922843874429</v>
      </c>
      <c r="AM76" s="57">
        <f t="shared" si="59"/>
        <v>787.71256177207761</v>
      </c>
      <c r="AN76" s="57">
        <f ca="1">AVERAGE(OFFSET($AM$3,0,0,'Données projet'!$E$10+1,1))-AVERAGE(OFFSET($H$3,0,0,'Données projet'!$E$10+1,1))</f>
        <v>390.70240761116355</v>
      </c>
      <c r="AO76" s="57">
        <f t="shared" si="90"/>
        <v>241.18285512887638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16.53771198671835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16.53771198671835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239.59999999999997</v>
      </c>
      <c r="BE76" s="13">
        <f>BD76*VLOOKUP('Données projet'!$B$11,Paramètres!$A$1:$I$89,3,0)*VLOOKUP('Données projet'!$B$11,Paramètres!$A$1:$I$89,5,0)</f>
        <v>231.74111999999994</v>
      </c>
      <c r="BF76" s="13">
        <f t="shared" si="91"/>
        <v>56.658986982752438</v>
      </c>
      <c r="BG76" s="20">
        <f t="shared" si="61"/>
        <v>502.29685299496037</v>
      </c>
      <c r="BH76" s="57">
        <f t="shared" si="62"/>
        <v>795.63018632829369</v>
      </c>
      <c r="BI76" s="57">
        <f ca="1">AVERAGE(OFFSET($BH$3,0,0,'Données projet'!$E$11+1,1))-AVERAGE(OFFSET($H$3,0,0,'Données projet'!$E$11+1,1))</f>
        <v>396.44612884768748</v>
      </c>
      <c r="BJ76" s="57">
        <f t="shared" si="92"/>
        <v>244.451492444461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16.808822019287508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16.808822019287508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3.4106051316484809E-13</v>
      </c>
      <c r="BZ76" s="13">
        <f>BY76*VLOOKUP('Données projet'!$B$12,Paramètres!$A$1:$I$89,3,0)*VLOOKUP('Données projet'!$B$12,Paramètres!$A$1:$I$89,5,0)</f>
        <v>2.0395418687257919E-13</v>
      </c>
      <c r="CA76" s="13">
        <f t="shared" si="93"/>
        <v>2.8200388570161721E-12</v>
      </c>
      <c r="CB76" s="20">
        <f t="shared" si="64"/>
        <v>5.2667878847729083E-12</v>
      </c>
      <c r="CC76" s="57">
        <f t="shared" si="65"/>
        <v>293.3333333333386</v>
      </c>
      <c r="CD76" s="57">
        <f ca="1">AVERAGE(OFFSET($CC$3,0,0,'Données projet'!$E$12+1,1))-AVERAGE(OFFSET($H$3,0,0,'Données projet'!$E$12+1,1))</f>
        <v>259.64096626089821</v>
      </c>
      <c r="CE76" s="57">
        <f t="shared" si="94"/>
        <v>258.1415293081597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116.63427429665495</v>
      </c>
      <c r="CL76" s="21">
        <f>EXP(-LN(2)/25)*CL75+(1-EXP(-LN(2)/25))/(LN(2)/25)*Calculateur!CG76*Calculateur!CI76*VLOOKUP('Données projet'!$B$12,Paramètres!$A$1:$I$89,3,0)*0.475*44/12</f>
        <v>24.715173239635714</v>
      </c>
      <c r="CM76" s="21">
        <f>EXP(-LN(2)/2)*CM75+(1-EXP(-LN(2)/2))/(LN(2)/2)*CG76*CJ76*VLOOKUP('Données projet'!$B$12,Paramètres!$A$1:$I$89,3,0)*0.475*44/12</f>
        <v>0.30001731815736293</v>
      </c>
      <c r="CN76" s="22">
        <f t="shared" si="66"/>
        <v>141.64946485444801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6.2</v>
      </c>
      <c r="CT76" s="12">
        <f>IF('Données projet'!$A$140&gt;35,CT75+CS76-DB75,IF(A76&lt;'Données projet'!$A$140,$CQ$205^A76,IF(A76='Données projet'!$A$140,'Données projet'!$B$140,CT75+CS76-DB75)))</f>
        <v>239.59999999999997</v>
      </c>
      <c r="CU76" s="17">
        <f>CT76*VLOOKUP('Données projet'!$B$13,Paramètres!$A$1:$I$89,3,0)*VLOOKUP('Données projet'!$B$13,Paramètres!$A$1:$I$89,5,0)</f>
        <v>257.90543999999994</v>
      </c>
      <c r="CV76" s="13">
        <f t="shared" si="95"/>
        <v>62.275692442827719</v>
      </c>
      <c r="CW76" s="20">
        <f t="shared" si="67"/>
        <v>557.64880567125817</v>
      </c>
      <c r="CX76" s="57">
        <f t="shared" si="68"/>
        <v>850.98213900459155</v>
      </c>
      <c r="CY76" s="57">
        <f ca="1">AVERAGE(OFFSET($CX$3,0,0,'Données projet'!$E$13+1,1))-AVERAGE(OFFSET($H$3,0,0,'Données projet'!$E$13+1,1))</f>
        <v>436.59978658837537</v>
      </c>
      <c r="CZ76" s="57">
        <f t="shared" si="96"/>
        <v>267.2998309535638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18.70659224727158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18.70659224727158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</v>
      </c>
      <c r="DO76" s="12">
        <f>IF('Données projet'!$A$166&gt;35,DO75+DN76-DW75,IF(A76&lt;'Données projet'!$A$166,$DL$205^A76,IF(A76='Données projet'!$A$166,'Données projet'!$B$166,DO75+DN76-DW75)))</f>
        <v>173</v>
      </c>
      <c r="DP76" s="17">
        <f>DO76*VLOOKUP('Données projet'!$B$14,Paramètres!$A$1:$I$89,3,0)*VLOOKUP('Données projet'!$B$14,Paramètres!$A$1:$I$89,5,0)</f>
        <v>164.6268</v>
      </c>
      <c r="DQ76" s="13">
        <f t="shared" si="97"/>
        <v>41.884365321551833</v>
      </c>
      <c r="DR76" s="20">
        <f t="shared" si="70"/>
        <v>359.67361293503609</v>
      </c>
      <c r="DS76" s="57">
        <f t="shared" si="71"/>
        <v>653.00694626836935</v>
      </c>
      <c r="DT76" s="57">
        <f ca="1">AVERAGE(OFFSET($DS$3,0,0,'Données projet'!$E$14+1,1))-AVERAGE(OFFSET($H$3,0,0,'Données projet'!$E$14+1,1))</f>
        <v>292.95981568144879</v>
      </c>
      <c r="DU76" s="57">
        <f t="shared" si="98"/>
        <v>152.23954167722536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9.5372628286543861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9.5372628286543861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7" t="e">
        <f t="shared" si="74"/>
        <v>#N/A</v>
      </c>
      <c r="EO76" s="57" t="e">
        <f ca="1">AVERAGE(OFFSET($EN$3,0,0,'Données projet'!$E$15+1,1))-AVERAGE(OFFSET($H$3,0,0,'Données projet'!$E$15+1,1))</f>
        <v>#N/A</v>
      </c>
      <c r="EP76" s="57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7" t="e">
        <f t="shared" si="77"/>
        <v>#N/A</v>
      </c>
      <c r="FJ76" s="57" t="e">
        <f ca="1">AVERAGE(OFFSET($FI$3,0,0,'Données projet'!$E$16+1,1))-AVERAGE(OFFSET($H$3,0,0,'Données projet'!$E$16+1,1))</f>
        <v>#N/A</v>
      </c>
      <c r="FK76" s="57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7" t="e">
        <f t="shared" si="80"/>
        <v>#N/A</v>
      </c>
      <c r="GE76" s="57" t="e">
        <f ca="1">AVERAGE(OFFSET($GD$3,0,0,'Données projet'!$E$17+1,1))-AVERAGE(OFFSET($H$3,0,0,'Données projet'!$E$17+1,1))</f>
        <v>#N/A</v>
      </c>
      <c r="GF76" s="57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7" t="e">
        <f t="shared" si="83"/>
        <v>#N/A</v>
      </c>
      <c r="GZ76" s="57" t="e">
        <f ca="1">AVERAGE(OFFSET($GY$3,0,0,'Données projet'!$E$18+1,1))-AVERAGE(OFFSET($H$3,0,0,'Données projet'!$E$18+1,1))</f>
        <v>#N/A</v>
      </c>
      <c r="HA76" s="57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1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5">
        <f t="shared" si="56"/>
        <v>256.66666666666669</v>
      </c>
      <c r="I77" s="6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245.79999999999995</v>
      </c>
      <c r="O77" s="13">
        <f>N77*VLOOKUP('Données projet'!$B$9,Paramètres!$A$1:$I$89,3,0)*VLOOKUP('Données projet'!$B$9,Paramètres!$A$1:$I$89,5,0)</f>
        <v>222.39983999999995</v>
      </c>
      <c r="P77" s="13">
        <f t="shared" si="87"/>
        <v>54.636149281681448</v>
      </c>
      <c r="Q77" s="20">
        <f t="shared" si="54"/>
        <v>482.50434799892838</v>
      </c>
      <c r="R77" s="57">
        <f t="shared" si="55"/>
        <v>775.8376813322617</v>
      </c>
      <c r="S77" s="57">
        <f ca="1">AVERAGE(OFFSET($R$3,0,0,'Données projet'!$E$9+1,1))-AVERAGE(OFFSET($H$3,0,0,'Données projet'!$E$9+1,1))</f>
        <v>373.45926089889866</v>
      </c>
      <c r="T77" s="57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15.416036351093314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15.416036351093314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245.79999999999995</v>
      </c>
      <c r="AJ77" s="13">
        <f>AI77*VLOOKUP('Données projet'!$B$10,Paramètres!$A$1:$I$89,3,0)*VLOOKUP('Données projet'!$B$10,Paramètres!$A$1:$I$89,5,0)</f>
        <v>233.90327999999994</v>
      </c>
      <c r="AK77" s="13">
        <f t="shared" si="89"/>
        <v>57.125833544518095</v>
      </c>
      <c r="AL77" s="20">
        <f t="shared" si="58"/>
        <v>506.87570609003552</v>
      </c>
      <c r="AM77" s="57">
        <f t="shared" si="59"/>
        <v>800.20903942336884</v>
      </c>
      <c r="AN77" s="57">
        <f ca="1">AVERAGE(OFFSET($AM$3,0,0,'Données projet'!$E$10+1,1))-AVERAGE(OFFSET($H$3,0,0,'Données projet'!$E$10+1,1))</f>
        <v>390.70240761116355</v>
      </c>
      <c r="AO77" s="57">
        <f t="shared" si="90"/>
        <v>241.18285512887638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16.213417541667106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16.213417541667106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245.79999999999995</v>
      </c>
      <c r="BE77" s="13">
        <f>BD77*VLOOKUP('Données projet'!$B$11,Paramètres!$A$1:$I$89,3,0)*VLOOKUP('Données projet'!$B$11,Paramètres!$A$1:$I$89,5,0)</f>
        <v>237.73775999999995</v>
      </c>
      <c r="BF77" s="13">
        <f t="shared" si="91"/>
        <v>57.952530566790166</v>
      </c>
      <c r="BG77" s="20">
        <f t="shared" si="61"/>
        <v>514.99392273715944</v>
      </c>
      <c r="BH77" s="57">
        <f t="shared" si="62"/>
        <v>808.32725607049269</v>
      </c>
      <c r="BI77" s="57">
        <f ca="1">AVERAGE(OFFSET($BH$3,0,0,'Données projet'!$E$11+1,1))-AVERAGE(OFFSET($H$3,0,0,'Données projet'!$E$11+1,1))</f>
        <v>396.44612884768748</v>
      </c>
      <c r="BJ77" s="57">
        <f t="shared" si="92"/>
        <v>244.451492444461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16.479211271858375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16.479211271858375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3.4106051316484809E-13</v>
      </c>
      <c r="BZ77" s="13">
        <f>BY77*VLOOKUP('Données projet'!$B$12,Paramètres!$A$1:$I$89,3,0)*VLOOKUP('Données projet'!$B$12,Paramètres!$A$1:$I$89,5,0)</f>
        <v>2.0395418687257919E-13</v>
      </c>
      <c r="CA77" s="13">
        <f t="shared" si="93"/>
        <v>2.8200388570161721E-12</v>
      </c>
      <c r="CB77" s="20">
        <f t="shared" si="64"/>
        <v>5.2667878847729083E-12</v>
      </c>
      <c r="CC77" s="57">
        <f t="shared" si="65"/>
        <v>293.3333333333386</v>
      </c>
      <c r="CD77" s="57">
        <f ca="1">AVERAGE(OFFSET($CC$3,0,0,'Données projet'!$E$12+1,1))-AVERAGE(OFFSET($H$3,0,0,'Données projet'!$E$12+1,1))</f>
        <v>259.64096626089821</v>
      </c>
      <c r="CE77" s="57">
        <f t="shared" si="94"/>
        <v>258.1415293081597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114.34714731758039</v>
      </c>
      <c r="CL77" s="21">
        <f>EXP(-LN(2)/25)*CL76+(1-EXP(-LN(2)/25))/(LN(2)/25)*Calculateur!CG77*Calculateur!CI77*VLOOKUP('Données projet'!$B$12,Paramètres!$A$1:$I$89,3,0)*0.475*44/12</f>
        <v>24.039335527683402</v>
      </c>
      <c r="CM77" s="21">
        <f>EXP(-LN(2)/2)*CM76+(1-EXP(-LN(2)/2))/(LN(2)/2)*CG77*CJ77*VLOOKUP('Données projet'!$B$12,Paramètres!$A$1:$I$89,3,0)*0.475*44/12</f>
        <v>0.21214428014247325</v>
      </c>
      <c r="CN77" s="22">
        <f t="shared" si="66"/>
        <v>138.59862712540627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6.2</v>
      </c>
      <c r="CT77" s="12">
        <f>IF('Données projet'!$A$140&gt;35,CT76+CS77-DB76,IF(A77&lt;'Données projet'!$A$140,$CQ$205^A77,IF(A77='Données projet'!$A$140,'Données projet'!$B$140,CT76+CS77-DB76)))</f>
        <v>245.79999999999995</v>
      </c>
      <c r="CU77" s="17">
        <f>CT77*VLOOKUP('Données projet'!$B$13,Paramètres!$A$1:$I$89,3,0)*VLOOKUP('Données projet'!$B$13,Paramètres!$A$1:$I$89,5,0)</f>
        <v>264.57911999999993</v>
      </c>
      <c r="CV77" s="13">
        <f t="shared" si="95"/>
        <v>63.697467287221869</v>
      </c>
      <c r="CW77" s="20">
        <f t="shared" si="67"/>
        <v>571.74838952524453</v>
      </c>
      <c r="CX77" s="57">
        <f t="shared" si="68"/>
        <v>865.0817228585779</v>
      </c>
      <c r="CY77" s="57">
        <f ca="1">AVERAGE(OFFSET($CX$3,0,0,'Données projet'!$E$13+1,1))-AVERAGE(OFFSET($H$3,0,0,'Données projet'!$E$13+1,1))</f>
        <v>436.59978658837537</v>
      </c>
      <c r="CZ77" s="57">
        <f t="shared" si="96"/>
        <v>267.2998309535638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18.33976738319722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18.33976738319722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</v>
      </c>
      <c r="DO77" s="12">
        <f>IF('Données projet'!$A$166&gt;35,DO76+DN77-DW76,IF(A77&lt;'Données projet'!$A$166,$DL$205^A77,IF(A77='Données projet'!$A$166,'Données projet'!$B$166,DO76+DN77-DW76)))</f>
        <v>178</v>
      </c>
      <c r="DP77" s="17">
        <f>DO77*VLOOKUP('Données projet'!$B$14,Paramètres!$A$1:$I$89,3,0)*VLOOKUP('Données projet'!$B$14,Paramètres!$A$1:$I$89,5,0)</f>
        <v>169.38480000000001</v>
      </c>
      <c r="DQ77" s="13">
        <f t="shared" si="97"/>
        <v>42.952210191662466</v>
      </c>
      <c r="DR77" s="20">
        <f t="shared" si="70"/>
        <v>369.82029275047876</v>
      </c>
      <c r="DS77" s="57">
        <f t="shared" si="71"/>
        <v>663.15362608381201</v>
      </c>
      <c r="DT77" s="57">
        <f ca="1">AVERAGE(OFFSET($DS$3,0,0,'Données projet'!$E$14+1,1))-AVERAGE(OFFSET($H$3,0,0,'Données projet'!$E$14+1,1))</f>
        <v>292.95981568144879</v>
      </c>
      <c r="DU77" s="57">
        <f t="shared" si="98"/>
        <v>152.23954167722536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9.3502429217404028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9.3502429217404028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7" t="e">
        <f t="shared" si="74"/>
        <v>#N/A</v>
      </c>
      <c r="EO77" s="57" t="e">
        <f ca="1">AVERAGE(OFFSET($EN$3,0,0,'Données projet'!$E$15+1,1))-AVERAGE(OFFSET($H$3,0,0,'Données projet'!$E$15+1,1))</f>
        <v>#N/A</v>
      </c>
      <c r="EP77" s="57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7" t="e">
        <f t="shared" si="77"/>
        <v>#N/A</v>
      </c>
      <c r="FJ77" s="57" t="e">
        <f ca="1">AVERAGE(OFFSET($FI$3,0,0,'Données projet'!$E$16+1,1))-AVERAGE(OFFSET($H$3,0,0,'Données projet'!$E$16+1,1))</f>
        <v>#N/A</v>
      </c>
      <c r="FK77" s="57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7" t="e">
        <f t="shared" si="80"/>
        <v>#N/A</v>
      </c>
      <c r="GE77" s="57" t="e">
        <f ca="1">AVERAGE(OFFSET($GD$3,0,0,'Données projet'!$E$17+1,1))-AVERAGE(OFFSET($H$3,0,0,'Données projet'!$E$17+1,1))</f>
        <v>#N/A</v>
      </c>
      <c r="GF77" s="57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7" t="e">
        <f t="shared" si="83"/>
        <v>#N/A</v>
      </c>
      <c r="GZ77" s="57" t="e">
        <f ca="1">AVERAGE(OFFSET($GY$3,0,0,'Données projet'!$E$18+1,1))-AVERAGE(OFFSET($H$3,0,0,'Données projet'!$E$18+1,1))</f>
        <v>#N/A</v>
      </c>
      <c r="HA77" s="57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1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5">
        <f t="shared" si="56"/>
        <v>256.66666666666669</v>
      </c>
      <c r="I78" s="6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251.99999999999994</v>
      </c>
      <c r="O78" s="13">
        <f>N78*VLOOKUP('Données projet'!$B$9,Paramètres!$A$1:$I$89,3,0)*VLOOKUP('Données projet'!$B$9,Paramètres!$A$1:$I$89,5,0)</f>
        <v>228.00959999999995</v>
      </c>
      <c r="P78" s="13">
        <f t="shared" si="87"/>
        <v>55.852093054619829</v>
      </c>
      <c r="Q78" s="20">
        <f t="shared" si="54"/>
        <v>494.3924487367961</v>
      </c>
      <c r="R78" s="57">
        <f t="shared" si="55"/>
        <v>787.72578207012941</v>
      </c>
      <c r="S78" s="57">
        <f ca="1">AVERAGE(OFFSET($R$3,0,0,'Données projet'!$E$9+1,1))-AVERAGE(OFFSET($H$3,0,0,'Données projet'!$E$9+1,1))</f>
        <v>373.45926089889866</v>
      </c>
      <c r="T78" s="57">
        <f t="shared" si="88"/>
        <v>231.36959598460686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19.629773922399476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19.629773922399476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251.99999999999994</v>
      </c>
      <c r="AJ78" s="13">
        <f>AI78*VLOOKUP('Données projet'!$B$10,Paramètres!$A$1:$I$89,3,0)*VLOOKUP('Données projet'!$B$10,Paramètres!$A$1:$I$89,5,0)</f>
        <v>239.80319999999998</v>
      </c>
      <c r="AK78" s="13">
        <f t="shared" si="89"/>
        <v>58.397185982155214</v>
      </c>
      <c r="AL78" s="20">
        <f t="shared" si="58"/>
        <v>519.3656722522536</v>
      </c>
      <c r="AM78" s="57">
        <f t="shared" si="59"/>
        <v>812.69900558558697</v>
      </c>
      <c r="AN78" s="57">
        <f ca="1">AVERAGE(OFFSET($AM$3,0,0,'Données projet'!$E$10+1,1))-AVERAGE(OFFSET($H$3,0,0,'Données projet'!$E$10+1,1))</f>
        <v>390.70240761116355</v>
      </c>
      <c r="AO78" s="57">
        <f t="shared" si="90"/>
        <v>241.18285512887638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20.645107056316686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20.645107056316686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251.99999999999994</v>
      </c>
      <c r="BE78" s="13">
        <f>BD78*VLOOKUP('Données projet'!$B$11,Paramètres!$A$1:$I$89,3,0)*VLOOKUP('Données projet'!$B$11,Paramètres!$A$1:$I$89,5,0)</f>
        <v>243.73439999999994</v>
      </c>
      <c r="BF78" s="13">
        <f t="shared" si="91"/>
        <v>59.242281392848767</v>
      </c>
      <c r="BG78" s="20">
        <f t="shared" si="61"/>
        <v>527.68438675921141</v>
      </c>
      <c r="BH78" s="57">
        <f t="shared" si="62"/>
        <v>821.01772009254478</v>
      </c>
      <c r="BI78" s="57">
        <f ca="1">AVERAGE(OFFSET($BH$3,0,0,'Données projet'!$E$11+1,1))-AVERAGE(OFFSET($H$3,0,0,'Données projet'!$E$11+1,1))</f>
        <v>396.44612884768748</v>
      </c>
      <c r="BJ78" s="57">
        <f t="shared" si="92"/>
        <v>244.451492444461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20.983551434289097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20.983551434289097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3.4106051316484809E-13</v>
      </c>
      <c r="BZ78" s="13">
        <f>BY78*VLOOKUP('Données projet'!$B$12,Paramètres!$A$1:$I$89,3,0)*VLOOKUP('Données projet'!$B$12,Paramètres!$A$1:$I$89,5,0)</f>
        <v>2.0395418687257919E-13</v>
      </c>
      <c r="CA78" s="13">
        <f t="shared" si="93"/>
        <v>2.8200388570161721E-12</v>
      </c>
      <c r="CB78" s="20">
        <f t="shared" si="64"/>
        <v>5.2667878847729083E-12</v>
      </c>
      <c r="CC78" s="57">
        <f t="shared" si="65"/>
        <v>293.3333333333386</v>
      </c>
      <c r="CD78" s="57">
        <f ca="1">AVERAGE(OFFSET($CC$3,0,0,'Données projet'!$E$12+1,1))-AVERAGE(OFFSET($H$3,0,0,'Données projet'!$E$12+1,1))</f>
        <v>259.64096626089821</v>
      </c>
      <c r="CE78" s="57">
        <f t="shared" si="94"/>
        <v>258.1415293081597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112.10486950355578</v>
      </c>
      <c r="CL78" s="21">
        <f>EXP(-LN(2)/25)*CL77+(1-EXP(-LN(2)/25))/(LN(2)/25)*Calculateur!CG78*Calculateur!CI78*VLOOKUP('Données projet'!$B$12,Paramètres!$A$1:$I$89,3,0)*0.475*44/12</f>
        <v>23.381978633505188</v>
      </c>
      <c r="CM78" s="21">
        <f>EXP(-LN(2)/2)*CM77+(1-EXP(-LN(2)/2))/(LN(2)/2)*CG78*CJ78*VLOOKUP('Données projet'!$B$12,Paramètres!$A$1:$I$89,3,0)*0.475*44/12</f>
        <v>0.15000865907868147</v>
      </c>
      <c r="CN78" s="22">
        <f t="shared" si="66"/>
        <v>135.63685679613965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252</v>
      </c>
      <c r="CR78" s="12">
        <f>VLOOKUP(A78,'Données projet'!$A$139:$I$159,9,0)</f>
        <v>6.2</v>
      </c>
      <c r="CS78" s="12">
        <f t="array" ref="CS78">INDEX(CR:CR,MIN(IF(ISNUMBER(CR78:CR274),ROW(CR78:CR274),"")))</f>
        <v>6.2</v>
      </c>
      <c r="CT78" s="12">
        <f>IF('Données projet'!$A$140&gt;35,CT77+CS78-DB77,IF(A78&lt;'Données projet'!$A$140,$CQ$205^A78,IF(A78='Données projet'!$A$140,'Données projet'!$B$140,CT77+CS78-DB77)))</f>
        <v>251.99999999999994</v>
      </c>
      <c r="CU78" s="17">
        <f>CT78*VLOOKUP('Données projet'!$B$13,Paramètres!$A$1:$I$89,3,0)*VLOOKUP('Données projet'!$B$13,Paramètres!$A$1:$I$89,5,0)</f>
        <v>271.25279999999992</v>
      </c>
      <c r="CV78" s="13">
        <f t="shared" si="95"/>
        <v>65.115073390838859</v>
      </c>
      <c r="CW78" s="20">
        <f t="shared" si="67"/>
        <v>585.84071282237755</v>
      </c>
      <c r="CX78" s="57">
        <f t="shared" si="68"/>
        <v>879.17404615571081</v>
      </c>
      <c r="CY78" s="57">
        <f ca="1">AVERAGE(OFFSET($CX$3,0,0,'Données projet'!$E$13+1,1))-AVERAGE(OFFSET($H$3,0,0,'Données projet'!$E$13+1,1))</f>
        <v>436.59978658837537</v>
      </c>
      <c r="CZ78" s="57">
        <f t="shared" si="96"/>
        <v>267.2998309535638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21</v>
      </c>
      <c r="DC78" s="16">
        <f>IF(ISNA(VLOOKUP(A78,'Données projet'!$A$139:$I$159,5,0)),0%,VLOOKUP(A78,'Données projet'!$A$139:$I$159,5,0)*VLOOKUP('Données projet'!$B$13,Paramètres!$A$1:$I$89,7,0))</f>
        <v>0.215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23.352662080095929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23.352662080095929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183</v>
      </c>
      <c r="DM78" s="12">
        <f>VLOOKUP(A78,'Données projet'!$A$165:$I$185,9,0)</f>
        <v>5</v>
      </c>
      <c r="DN78" s="12">
        <f t="array" ref="DN78">INDEX(DM:DM,MIN(IF(ISNUMBER(DM78:DM274),ROW(DM78:DM274),"")))</f>
        <v>5</v>
      </c>
      <c r="DO78" s="12">
        <f>IF('Données projet'!$A$166&gt;35,DO77+DN78-DW77,IF(A78&lt;'Données projet'!$A$166,$DL$205^A78,IF(A78='Données projet'!$A$166,'Données projet'!$B$166,DO77+DN78-DW77)))</f>
        <v>183</v>
      </c>
      <c r="DP78" s="17">
        <f>DO78*VLOOKUP('Données projet'!$B$14,Paramètres!$A$1:$I$89,3,0)*VLOOKUP('Données projet'!$B$14,Paramètres!$A$1:$I$89,5,0)</f>
        <v>174.14279999999999</v>
      </c>
      <c r="DQ78" s="13">
        <f t="shared" si="97"/>
        <v>44.016568786329351</v>
      </c>
      <c r="DR78" s="20">
        <f t="shared" si="70"/>
        <v>379.96090063619022</v>
      </c>
      <c r="DS78" s="57">
        <f t="shared" si="71"/>
        <v>673.29423396952348</v>
      </c>
      <c r="DT78" s="57">
        <f ca="1">AVERAGE(OFFSET($DS$3,0,0,'Données projet'!$E$14+1,1))-AVERAGE(OFFSET($H$3,0,0,'Données projet'!$E$14+1,1))</f>
        <v>292.95981568144879</v>
      </c>
      <c r="DU78" s="57">
        <f t="shared" si="98"/>
        <v>152.23954167722536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0.215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12.333306856752424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12.333306856752424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7" t="e">
        <f t="shared" si="74"/>
        <v>#N/A</v>
      </c>
      <c r="EO78" s="57" t="e">
        <f ca="1">AVERAGE(OFFSET($EN$3,0,0,'Données projet'!$E$15+1,1))-AVERAGE(OFFSET($H$3,0,0,'Données projet'!$E$15+1,1))</f>
        <v>#N/A</v>
      </c>
      <c r="EP78" s="57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7" t="e">
        <f t="shared" si="77"/>
        <v>#N/A</v>
      </c>
      <c r="FJ78" s="57" t="e">
        <f ca="1">AVERAGE(OFFSET($FI$3,0,0,'Données projet'!$E$16+1,1))-AVERAGE(OFFSET($H$3,0,0,'Données projet'!$E$16+1,1))</f>
        <v>#N/A</v>
      </c>
      <c r="FK78" s="57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7" t="e">
        <f t="shared" si="80"/>
        <v>#N/A</v>
      </c>
      <c r="GE78" s="57" t="e">
        <f ca="1">AVERAGE(OFFSET($GD$3,0,0,'Données projet'!$E$17+1,1))-AVERAGE(OFFSET($H$3,0,0,'Données projet'!$E$17+1,1))</f>
        <v>#N/A</v>
      </c>
      <c r="GF78" s="57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7" t="e">
        <f t="shared" si="83"/>
        <v>#N/A</v>
      </c>
      <c r="GZ78" s="57" t="e">
        <f ca="1">AVERAGE(OFFSET($GY$3,0,0,'Données projet'!$E$18+1,1))-AVERAGE(OFFSET($H$3,0,0,'Données projet'!$E$18+1,1))</f>
        <v>#N/A</v>
      </c>
      <c r="HA78" s="57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1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5">
        <f t="shared" si="56"/>
        <v>256.66666666666669</v>
      </c>
      <c r="I79" s="6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236.99999999999994</v>
      </c>
      <c r="O79" s="13">
        <f>N79*VLOOKUP('Données projet'!$B$9,Paramètres!$A$1:$I$89,3,0)*VLOOKUP('Données projet'!$B$9,Paramètres!$A$1:$I$89,5,0)</f>
        <v>214.43759999999992</v>
      </c>
      <c r="P79" s="13">
        <f t="shared" si="87"/>
        <v>52.904129603372375</v>
      </c>
      <c r="Q79" s="20">
        <f t="shared" si="54"/>
        <v>465.62017905920675</v>
      </c>
      <c r="R79" s="57">
        <f t="shared" si="55"/>
        <v>758.95351239254001</v>
      </c>
      <c r="S79" s="57">
        <f ca="1">AVERAGE(OFFSET($R$3,0,0,'Données projet'!$E$9+1,1))-AVERAGE(OFFSET($H$3,0,0,'Données projet'!$E$9+1,1))</f>
        <v>373.45926089889866</v>
      </c>
      <c r="T79" s="57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19.244846028761081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19.244846028761081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236.99999999999994</v>
      </c>
      <c r="AJ79" s="13">
        <f>AI79*VLOOKUP('Données projet'!$B$10,Paramètres!$A$1:$I$89,3,0)*VLOOKUP('Données projet'!$B$10,Paramètres!$A$1:$I$89,5,0)</f>
        <v>225.52919999999995</v>
      </c>
      <c r="AK79" s="13">
        <f t="shared" si="89"/>
        <v>55.314888425951921</v>
      </c>
      <c r="AL79" s="20">
        <f t="shared" si="58"/>
        <v>489.13678734186624</v>
      </c>
      <c r="AM79" s="57">
        <f t="shared" si="59"/>
        <v>782.4701206751995</v>
      </c>
      <c r="AN79" s="57">
        <f ca="1">AVERAGE(OFFSET($AM$3,0,0,'Données projet'!$E$10+1,1))-AVERAGE(OFFSET($H$3,0,0,'Données projet'!$E$10+1,1))</f>
        <v>390.70240761116355</v>
      </c>
      <c r="AO79" s="57">
        <f t="shared" si="90"/>
        <v>241.18285512887638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20.240269099214235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20.240269099214235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236.99999999999994</v>
      </c>
      <c r="BE79" s="13">
        <f>BD79*VLOOKUP('Données projet'!$B$11,Paramètres!$A$1:$I$89,3,0)*VLOOKUP('Données projet'!$B$11,Paramètres!$A$1:$I$89,5,0)</f>
        <v>229.22639999999996</v>
      </c>
      <c r="BF79" s="13">
        <f t="shared" si="91"/>
        <v>56.115378339388542</v>
      </c>
      <c r="BG79" s="20">
        <f t="shared" si="61"/>
        <v>496.97026394110162</v>
      </c>
      <c r="BH79" s="57">
        <f t="shared" si="62"/>
        <v>790.30359727443488</v>
      </c>
      <c r="BI79" s="57">
        <f ca="1">AVERAGE(OFFSET($BH$3,0,0,'Données projet'!$E$11+1,1))-AVERAGE(OFFSET($H$3,0,0,'Données projet'!$E$11+1,1))</f>
        <v>396.44612884768748</v>
      </c>
      <c r="BJ79" s="57">
        <f t="shared" si="92"/>
        <v>244.451492444461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20.572076789365298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20.572076789365298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3.4106051316484809E-13</v>
      </c>
      <c r="BZ79" s="13">
        <f>BY79*VLOOKUP('Données projet'!$B$12,Paramètres!$A$1:$I$89,3,0)*VLOOKUP('Données projet'!$B$12,Paramètres!$A$1:$I$89,5,0)</f>
        <v>2.0395418687257919E-13</v>
      </c>
      <c r="CA79" s="13">
        <f t="shared" si="93"/>
        <v>2.8200388570161721E-12</v>
      </c>
      <c r="CB79" s="20">
        <f t="shared" si="64"/>
        <v>5.2667878847729083E-12</v>
      </c>
      <c r="CC79" s="57">
        <f t="shared" si="65"/>
        <v>293.3333333333386</v>
      </c>
      <c r="CD79" s="57">
        <f ca="1">AVERAGE(OFFSET($CC$3,0,0,'Données projet'!$E$12+1,1))-AVERAGE(OFFSET($H$3,0,0,'Données projet'!$E$12+1,1))</f>
        <v>259.64096626089821</v>
      </c>
      <c r="CE79" s="57">
        <f t="shared" si="94"/>
        <v>258.1415293081597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109.90656138980975</v>
      </c>
      <c r="CL79" s="21">
        <f>EXP(-LN(2)/25)*CL78+(1-EXP(-LN(2)/25))/(LN(2)/25)*Calculateur!CG79*Calculateur!CI79*VLOOKUP('Données projet'!$B$12,Paramètres!$A$1:$I$89,3,0)*0.475*44/12</f>
        <v>22.742597198167172</v>
      </c>
      <c r="CM79" s="21">
        <f>EXP(-LN(2)/2)*CM78+(1-EXP(-LN(2)/2))/(LN(2)/2)*CG79*CJ79*VLOOKUP('Données projet'!$B$12,Paramètres!$A$1:$I$89,3,0)*0.475*44/12</f>
        <v>0.10607214007123662</v>
      </c>
      <c r="CN79" s="22">
        <f t="shared" si="66"/>
        <v>132.75523072804816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</v>
      </c>
      <c r="CT79" s="12">
        <f>IF('Données projet'!$A$140&gt;35,CT78+CS79-DB78,IF(A79&lt;'Données projet'!$A$140,$CQ$205^A79,IF(A79='Données projet'!$A$140,'Données projet'!$B$140,CT78+CS79-DB78)))</f>
        <v>236.99999999999994</v>
      </c>
      <c r="CU79" s="17">
        <f>CT79*VLOOKUP('Données projet'!$B$13,Paramètres!$A$1:$I$89,3,0)*VLOOKUP('Données projet'!$B$13,Paramètres!$A$1:$I$89,5,0)</f>
        <v>255.10679999999994</v>
      </c>
      <c r="CV79" s="13">
        <f t="shared" si="95"/>
        <v>61.678194914435764</v>
      </c>
      <c r="CW79" s="20">
        <f t="shared" si="67"/>
        <v>551.73386614264211</v>
      </c>
      <c r="CX79" s="57">
        <f t="shared" si="68"/>
        <v>845.06719947597549</v>
      </c>
      <c r="CY79" s="57">
        <f ca="1">AVERAGE(OFFSET($CX$3,0,0,'Données projet'!$E$13+1,1))-AVERAGE(OFFSET($H$3,0,0,'Données projet'!$E$13+1,1))</f>
        <v>436.59978658837537</v>
      </c>
      <c r="CZ79" s="57">
        <f t="shared" si="96"/>
        <v>267.2998309535638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22.894730620422667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22.894730620422667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4.5999999999999996</v>
      </c>
      <c r="DO79" s="12">
        <f>IF('Données projet'!$A$166&gt;35,DO78+DN79-DW78,IF(A79&lt;'Données projet'!$A$166,$DL$205^A79,IF(A79='Données projet'!$A$166,'Données projet'!$B$166,DO78+DN79-DW78)))</f>
        <v>173.6</v>
      </c>
      <c r="DP79" s="17">
        <f>DO79*VLOOKUP('Données projet'!$B$14,Paramètres!$A$1:$I$89,3,0)*VLOOKUP('Données projet'!$B$14,Paramètres!$A$1:$I$89,5,0)</f>
        <v>165.19776000000002</v>
      </c>
      <c r="DQ79" s="13">
        <f t="shared" si="97"/>
        <v>42.012694447196324</v>
      </c>
      <c r="DR79" s="20">
        <f t="shared" si="70"/>
        <v>360.8915414955336</v>
      </c>
      <c r="DS79" s="57">
        <f t="shared" si="71"/>
        <v>654.22487482886686</v>
      </c>
      <c r="DT79" s="57">
        <f ca="1">AVERAGE(OFFSET($DS$3,0,0,'Données projet'!$E$14+1,1))-AVERAGE(OFFSET($H$3,0,0,'Données projet'!$E$14+1,1))</f>
        <v>292.95981568144879</v>
      </c>
      <c r="DU79" s="57">
        <f t="shared" si="98"/>
        <v>152.23954167722536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12.091458231865898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12.091458231865898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7" t="e">
        <f t="shared" si="74"/>
        <v>#N/A</v>
      </c>
      <c r="EO79" s="57" t="e">
        <f ca="1">AVERAGE(OFFSET($EN$3,0,0,'Données projet'!$E$15+1,1))-AVERAGE(OFFSET($H$3,0,0,'Données projet'!$E$15+1,1))</f>
        <v>#N/A</v>
      </c>
      <c r="EP79" s="57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7" t="e">
        <f t="shared" si="77"/>
        <v>#N/A</v>
      </c>
      <c r="FJ79" s="57" t="e">
        <f ca="1">AVERAGE(OFFSET($FI$3,0,0,'Données projet'!$E$16+1,1))-AVERAGE(OFFSET($H$3,0,0,'Données projet'!$E$16+1,1))</f>
        <v>#N/A</v>
      </c>
      <c r="FK79" s="57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7" t="e">
        <f t="shared" si="80"/>
        <v>#N/A</v>
      </c>
      <c r="GE79" s="57" t="e">
        <f ca="1">AVERAGE(OFFSET($GD$3,0,0,'Données projet'!$E$17+1,1))-AVERAGE(OFFSET($H$3,0,0,'Données projet'!$E$17+1,1))</f>
        <v>#N/A</v>
      </c>
      <c r="GF79" s="57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7" t="e">
        <f t="shared" si="83"/>
        <v>#N/A</v>
      </c>
      <c r="GZ79" s="57" t="e">
        <f ca="1">AVERAGE(OFFSET($GY$3,0,0,'Données projet'!$E$18+1,1))-AVERAGE(OFFSET($H$3,0,0,'Données projet'!$E$18+1,1))</f>
        <v>#N/A</v>
      </c>
      <c r="HA79" s="57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1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5">
        <f t="shared" si="56"/>
        <v>256.66666666666669</v>
      </c>
      <c r="I80" s="6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242.99999999999994</v>
      </c>
      <c r="O80" s="13">
        <f>N80*VLOOKUP('Données projet'!$B$9,Paramètres!$A$1:$I$89,3,0)*VLOOKUP('Données projet'!$B$9,Paramètres!$A$1:$I$89,5,0)</f>
        <v>219.86639999999997</v>
      </c>
      <c r="P80" s="13">
        <f t="shared" si="87"/>
        <v>54.085847394182416</v>
      </c>
      <c r="Q80" s="20">
        <f t="shared" si="54"/>
        <v>477.13349754486762</v>
      </c>
      <c r="R80" s="57">
        <f t="shared" si="55"/>
        <v>770.46683087820088</v>
      </c>
      <c r="S80" s="57">
        <f ca="1">AVERAGE(OFFSET($R$3,0,0,'Données projet'!$E$9+1,1))-AVERAGE(OFFSET($H$3,0,0,'Données projet'!$E$9+1,1))</f>
        <v>373.45926089889866</v>
      </c>
      <c r="T80" s="57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18.867466336334104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18.867466336334104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242.99999999999994</v>
      </c>
      <c r="AJ80" s="13">
        <f>AI80*VLOOKUP('Données projet'!$B$10,Paramètres!$A$1:$I$89,3,0)*VLOOKUP('Données projet'!$B$10,Paramètres!$A$1:$I$89,5,0)</f>
        <v>231.23879999999994</v>
      </c>
      <c r="AK80" s="13">
        <f t="shared" si="89"/>
        <v>56.55045525673966</v>
      </c>
      <c r="AL80" s="20">
        <f t="shared" si="58"/>
        <v>501.23295290548805</v>
      </c>
      <c r="AM80" s="57">
        <f t="shared" si="59"/>
        <v>794.56628623882136</v>
      </c>
      <c r="AN80" s="57">
        <f ca="1">AVERAGE(OFFSET($AM$3,0,0,'Données projet'!$E$10+1,1))-AVERAGE(OFFSET($H$3,0,0,'Données projet'!$E$10+1,1))</f>
        <v>390.70240761116355</v>
      </c>
      <c r="AO80" s="57">
        <f t="shared" si="90"/>
        <v>241.18285512887638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19.843369767523793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19.843369767523793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242.99999999999994</v>
      </c>
      <c r="BE80" s="13">
        <f>BD80*VLOOKUP('Données projet'!$B$11,Paramètres!$A$1:$I$89,3,0)*VLOOKUP('Données projet'!$B$11,Paramètres!$A$1:$I$89,5,0)</f>
        <v>235.02959999999996</v>
      </c>
      <c r="BF80" s="13">
        <f t="shared" si="91"/>
        <v>57.368825686861157</v>
      </c>
      <c r="BG80" s="20">
        <f t="shared" si="61"/>
        <v>509.26059140461638</v>
      </c>
      <c r="BH80" s="57">
        <f t="shared" si="62"/>
        <v>802.59392473794969</v>
      </c>
      <c r="BI80" s="57">
        <f ca="1">AVERAGE(OFFSET($BH$3,0,0,'Données projet'!$E$11+1,1))-AVERAGE(OFFSET($H$3,0,0,'Données projet'!$E$11+1,1))</f>
        <v>396.44612884768748</v>
      </c>
      <c r="BJ80" s="57">
        <f t="shared" si="92"/>
        <v>244.451492444461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20.168670911253699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20.168670911253699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3.4106051316484809E-13</v>
      </c>
      <c r="BZ80" s="13">
        <f>BY80*VLOOKUP('Données projet'!$B$12,Paramètres!$A$1:$I$89,3,0)*VLOOKUP('Données projet'!$B$12,Paramètres!$A$1:$I$89,5,0)</f>
        <v>2.0395418687257919E-13</v>
      </c>
      <c r="CA80" s="13">
        <f t="shared" si="93"/>
        <v>2.8200388570161721E-12</v>
      </c>
      <c r="CB80" s="20">
        <f t="shared" si="64"/>
        <v>5.2667878847729083E-12</v>
      </c>
      <c r="CC80" s="57">
        <f t="shared" si="65"/>
        <v>293.3333333333386</v>
      </c>
      <c r="CD80" s="57">
        <f ca="1">AVERAGE(OFFSET($CC$3,0,0,'Données projet'!$E$12+1,1))-AVERAGE(OFFSET($H$3,0,0,'Données projet'!$E$12+1,1))</f>
        <v>259.64096626089821</v>
      </c>
      <c r="CE80" s="57">
        <f t="shared" si="94"/>
        <v>258.1415293081597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107.75136075733874</v>
      </c>
      <c r="CL80" s="21">
        <f>EXP(-LN(2)/25)*CL79+(1-EXP(-LN(2)/25))/(LN(2)/25)*Calculateur!CG80*Calculateur!CI80*VLOOKUP('Données projet'!$B$12,Paramètres!$A$1:$I$89,3,0)*0.475*44/12</f>
        <v>22.120699681802083</v>
      </c>
      <c r="CM80" s="21">
        <f>EXP(-LN(2)/2)*CM79+(1-EXP(-LN(2)/2))/(LN(2)/2)*CG80*CJ80*VLOOKUP('Données projet'!$B$12,Paramètres!$A$1:$I$89,3,0)*0.475*44/12</f>
        <v>7.5004329539340733E-2</v>
      </c>
      <c r="CN80" s="22">
        <f t="shared" si="66"/>
        <v>129.94706476868018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</v>
      </c>
      <c r="CT80" s="12">
        <f>IF('Données projet'!$A$140&gt;35,CT79+CS80-DB79,IF(A80&lt;'Données projet'!$A$140,$CQ$205^A80,IF(A80='Données projet'!$A$140,'Données projet'!$B$140,CT79+CS80-DB79)))</f>
        <v>242.99999999999994</v>
      </c>
      <c r="CU80" s="17">
        <f>CT80*VLOOKUP('Données projet'!$B$13,Paramètres!$A$1:$I$89,3,0)*VLOOKUP('Données projet'!$B$13,Paramètres!$A$1:$I$89,5,0)</f>
        <v>261.56519999999995</v>
      </c>
      <c r="CV80" s="13">
        <f t="shared" si="95"/>
        <v>63.055898711509336</v>
      </c>
      <c r="CW80" s="20">
        <f t="shared" si="67"/>
        <v>565.38174692254529</v>
      </c>
      <c r="CX80" s="57">
        <f t="shared" si="68"/>
        <v>858.71508025587855</v>
      </c>
      <c r="CY80" s="57">
        <f ca="1">AVERAGE(OFFSET($CX$3,0,0,'Données projet'!$E$13+1,1))-AVERAGE(OFFSET($H$3,0,0,'Données projet'!$E$13+1,1))</f>
        <v>436.59978658837537</v>
      </c>
      <c r="CZ80" s="57">
        <f t="shared" si="96"/>
        <v>267.2998309535638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22.445778917362986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22.445778917362986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4.5999999999999996</v>
      </c>
      <c r="DO80" s="12">
        <f>IF('Données projet'!$A$166&gt;35,DO79+DN80-DW79,IF(A80&lt;'Données projet'!$A$166,$DL$205^A80,IF(A80='Données projet'!$A$166,'Données projet'!$B$166,DO79+DN80-DW79)))</f>
        <v>178.2</v>
      </c>
      <c r="DP80" s="17">
        <f>DO80*VLOOKUP('Données projet'!$B$14,Paramètres!$A$1:$I$89,3,0)*VLOOKUP('Données projet'!$B$14,Paramètres!$A$1:$I$89,5,0)</f>
        <v>169.57511999999997</v>
      </c>
      <c r="DQ80" s="13">
        <f t="shared" si="97"/>
        <v>42.994850744606339</v>
      </c>
      <c r="DR80" s="20">
        <f t="shared" si="70"/>
        <v>370.22603238018934</v>
      </c>
      <c r="DS80" s="57">
        <f t="shared" si="71"/>
        <v>663.55936571352265</v>
      </c>
      <c r="DT80" s="57">
        <f ca="1">AVERAGE(OFFSET($DS$3,0,0,'Données projet'!$E$14+1,1))-AVERAGE(OFFSET($H$3,0,0,'Données projet'!$E$14+1,1))</f>
        <v>292.95981568144879</v>
      </c>
      <c r="DU80" s="57">
        <f t="shared" si="98"/>
        <v>152.23954167722536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11.854352111000303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11.854352111000303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7" t="e">
        <f t="shared" si="74"/>
        <v>#N/A</v>
      </c>
      <c r="EO80" s="57" t="e">
        <f ca="1">AVERAGE(OFFSET($EN$3,0,0,'Données projet'!$E$15+1,1))-AVERAGE(OFFSET($H$3,0,0,'Données projet'!$E$15+1,1))</f>
        <v>#N/A</v>
      </c>
      <c r="EP80" s="57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7" t="e">
        <f t="shared" si="77"/>
        <v>#N/A</v>
      </c>
      <c r="FJ80" s="57" t="e">
        <f ca="1">AVERAGE(OFFSET($FI$3,0,0,'Données projet'!$E$16+1,1))-AVERAGE(OFFSET($H$3,0,0,'Données projet'!$E$16+1,1))</f>
        <v>#N/A</v>
      </c>
      <c r="FK80" s="57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7" t="e">
        <f t="shared" si="80"/>
        <v>#N/A</v>
      </c>
      <c r="GE80" s="57" t="e">
        <f ca="1">AVERAGE(OFFSET($GD$3,0,0,'Données projet'!$E$17+1,1))-AVERAGE(OFFSET($H$3,0,0,'Données projet'!$E$17+1,1))</f>
        <v>#N/A</v>
      </c>
      <c r="GF80" s="57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7" t="e">
        <f t="shared" si="83"/>
        <v>#N/A</v>
      </c>
      <c r="GZ80" s="57" t="e">
        <f ca="1">AVERAGE(OFFSET($GY$3,0,0,'Données projet'!$E$18+1,1))-AVERAGE(OFFSET($H$3,0,0,'Données projet'!$E$18+1,1))</f>
        <v>#N/A</v>
      </c>
      <c r="HA80" s="57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1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5">
        <f t="shared" si="56"/>
        <v>256.66666666666669</v>
      </c>
      <c r="I81" s="6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248.99999999999994</v>
      </c>
      <c r="O81" s="13">
        <f>N81*VLOOKUP('Données projet'!$B$9,Paramètres!$A$1:$I$89,3,0)*VLOOKUP('Données projet'!$B$9,Paramètres!$A$1:$I$89,5,0)</f>
        <v>225.29519999999994</v>
      </c>
      <c r="P81" s="13">
        <f t="shared" si="87"/>
        <v>55.264173352293078</v>
      </c>
      <c r="Q81" s="20">
        <f t="shared" si="54"/>
        <v>488.64090858857691</v>
      </c>
      <c r="R81" s="57">
        <f t="shared" si="55"/>
        <v>781.97424192191022</v>
      </c>
      <c r="S81" s="57">
        <f ca="1">AVERAGE(OFFSET($R$3,0,0,'Données projet'!$E$9+1,1))-AVERAGE(OFFSET($H$3,0,0,'Données projet'!$E$9+1,1))</f>
        <v>373.45926089889866</v>
      </c>
      <c r="T81" s="57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18.497486829496737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18.497486829496737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248.99999999999994</v>
      </c>
      <c r="AJ81" s="13">
        <f>AI81*VLOOKUP('Données projet'!$B$10,Paramètres!$A$1:$I$89,3,0)*VLOOKUP('Données projet'!$B$10,Paramètres!$A$1:$I$89,5,0)</f>
        <v>236.94839999999994</v>
      </c>
      <c r="AK81" s="13">
        <f t="shared" si="89"/>
        <v>57.782475694292401</v>
      </c>
      <c r="AL81" s="20">
        <f t="shared" si="58"/>
        <v>513.32294183422573</v>
      </c>
      <c r="AM81" s="57">
        <f t="shared" si="59"/>
        <v>806.65627516755899</v>
      </c>
      <c r="AN81" s="57">
        <f ca="1">AVERAGE(OFFSET($AM$3,0,0,'Données projet'!$E$10+1,1))-AVERAGE(OFFSET($H$3,0,0,'Données projet'!$E$10+1,1))</f>
        <v>390.70240761116355</v>
      </c>
      <c r="AO81" s="57">
        <f t="shared" si="90"/>
        <v>241.18285512887638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19.45425338964311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19.45425338964311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248.99999999999994</v>
      </c>
      <c r="BE81" s="13">
        <f>BD81*VLOOKUP('Données projet'!$B$11,Paramètres!$A$1:$I$89,3,0)*VLOOKUP('Données projet'!$B$11,Paramètres!$A$1:$I$89,5,0)</f>
        <v>240.83279999999996</v>
      </c>
      <c r="BF81" s="13">
        <f t="shared" si="91"/>
        <v>58.618675319436669</v>
      </c>
      <c r="BG81" s="20">
        <f t="shared" si="61"/>
        <v>521.5446528480187</v>
      </c>
      <c r="BH81" s="57">
        <f t="shared" si="62"/>
        <v>814.87798618135207</v>
      </c>
      <c r="BI81" s="57">
        <f ca="1">AVERAGE(OFFSET($BH$3,0,0,'Données projet'!$E$11+1,1))-AVERAGE(OFFSET($H$3,0,0,'Données projet'!$E$11+1,1))</f>
        <v>396.44612884768748</v>
      </c>
      <c r="BJ81" s="57">
        <f t="shared" si="92"/>
        <v>244.451492444461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19.773175576358579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19.773175576358579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3.4106051316484809E-13</v>
      </c>
      <c r="BZ81" s="13">
        <f>BY81*VLOOKUP('Données projet'!$B$12,Paramètres!$A$1:$I$89,3,0)*VLOOKUP('Données projet'!$B$12,Paramètres!$A$1:$I$89,5,0)</f>
        <v>2.0395418687257919E-13</v>
      </c>
      <c r="CA81" s="13">
        <f t="shared" si="93"/>
        <v>2.8200388570161721E-12</v>
      </c>
      <c r="CB81" s="20">
        <f t="shared" si="64"/>
        <v>5.2667878847729083E-12</v>
      </c>
      <c r="CC81" s="57">
        <f t="shared" si="65"/>
        <v>293.3333333333386</v>
      </c>
      <c r="CD81" s="57">
        <f ca="1">AVERAGE(OFFSET($CC$3,0,0,'Données projet'!$E$12+1,1))-AVERAGE(OFFSET($H$3,0,0,'Données projet'!$E$12+1,1))</f>
        <v>259.64096626089821</v>
      </c>
      <c r="CE81" s="57">
        <f t="shared" si="94"/>
        <v>258.1415293081597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105.6384222947279</v>
      </c>
      <c r="CL81" s="21">
        <f>EXP(-LN(2)/25)*CL80+(1-EXP(-LN(2)/25))/(LN(2)/25)*Calculateur!CG81*Calculateur!CI81*VLOOKUP('Données projet'!$B$12,Paramètres!$A$1:$I$89,3,0)*0.475*44/12</f>
        <v>21.515807985726166</v>
      </c>
      <c r="CM81" s="21">
        <f>EXP(-LN(2)/2)*CM80+(1-EXP(-LN(2)/2))/(LN(2)/2)*CG81*CJ81*VLOOKUP('Données projet'!$B$12,Paramètres!$A$1:$I$89,3,0)*0.475*44/12</f>
        <v>5.3036070035618312E-2</v>
      </c>
      <c r="CN81" s="22">
        <f t="shared" si="66"/>
        <v>127.20726635048969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</v>
      </c>
      <c r="CT81" s="12">
        <f>IF('Données projet'!$A$140&gt;35,CT80+CS81-DB80,IF(A81&lt;'Données projet'!$A$140,$CQ$205^A81,IF(A81='Données projet'!$A$140,'Données projet'!$B$140,CT80+CS81-DB80)))</f>
        <v>248.99999999999994</v>
      </c>
      <c r="CU81" s="17">
        <f>CT81*VLOOKUP('Données projet'!$B$13,Paramètres!$A$1:$I$89,3,0)*VLOOKUP('Données projet'!$B$13,Paramètres!$A$1:$I$89,5,0)</f>
        <v>268.02359999999993</v>
      </c>
      <c r="CV81" s="13">
        <f t="shared" si="95"/>
        <v>64.429648145853221</v>
      </c>
      <c r="CW81" s="20">
        <f t="shared" si="67"/>
        <v>579.02274052069413</v>
      </c>
      <c r="CX81" s="57">
        <f t="shared" si="68"/>
        <v>872.3560738540275</v>
      </c>
      <c r="CY81" s="57">
        <f ca="1">AVERAGE(OFFSET($CX$3,0,0,'Données projet'!$E$13+1,1))-AVERAGE(OFFSET($H$3,0,0,'Données projet'!$E$13+1,1))</f>
        <v>436.59978658837537</v>
      </c>
      <c r="CZ81" s="57">
        <f t="shared" si="96"/>
        <v>267.2998309535638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22.005630883366806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22.005630883366806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4.5999999999999996</v>
      </c>
      <c r="DO81" s="12">
        <f>IF('Données projet'!$A$166&gt;35,DO80+DN81-DW80,IF(A81&lt;'Données projet'!$A$166,$DL$205^A81,IF(A81='Données projet'!$A$166,'Données projet'!$B$166,DO80+DN81-DW80)))</f>
        <v>182.79999999999998</v>
      </c>
      <c r="DP81" s="17">
        <f>DO81*VLOOKUP('Données projet'!$B$14,Paramètres!$A$1:$I$89,3,0)*VLOOKUP('Données projet'!$B$14,Paramètres!$A$1:$I$89,5,0)</f>
        <v>173.95247999999998</v>
      </c>
      <c r="DQ81" s="13">
        <f t="shared" si="97"/>
        <v>43.97406002672421</v>
      </c>
      <c r="DR81" s="20">
        <f t="shared" si="70"/>
        <v>379.55539054654463</v>
      </c>
      <c r="DS81" s="57">
        <f t="shared" si="71"/>
        <v>672.88872387987794</v>
      </c>
      <c r="DT81" s="57">
        <f ca="1">AVERAGE(OFFSET($DS$3,0,0,'Données projet'!$E$14+1,1))-AVERAGE(OFFSET($H$3,0,0,'Données projet'!$E$14+1,1))</f>
        <v>292.95981568144879</v>
      </c>
      <c r="DU81" s="57">
        <f t="shared" si="98"/>
        <v>152.23954167722536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11.621895496544427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11.621895496544427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7" t="e">
        <f t="shared" si="74"/>
        <v>#N/A</v>
      </c>
      <c r="EO81" s="57" t="e">
        <f ca="1">AVERAGE(OFFSET($EN$3,0,0,'Données projet'!$E$15+1,1))-AVERAGE(OFFSET($H$3,0,0,'Données projet'!$E$15+1,1))</f>
        <v>#N/A</v>
      </c>
      <c r="EP81" s="57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7" t="e">
        <f t="shared" si="77"/>
        <v>#N/A</v>
      </c>
      <c r="FJ81" s="57" t="e">
        <f ca="1">AVERAGE(OFFSET($FI$3,0,0,'Données projet'!$E$16+1,1))-AVERAGE(OFFSET($H$3,0,0,'Données projet'!$E$16+1,1))</f>
        <v>#N/A</v>
      </c>
      <c r="FK81" s="57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7" t="e">
        <f t="shared" si="80"/>
        <v>#N/A</v>
      </c>
      <c r="GE81" s="57" t="e">
        <f ca="1">AVERAGE(OFFSET($GD$3,0,0,'Données projet'!$E$17+1,1))-AVERAGE(OFFSET($H$3,0,0,'Données projet'!$E$17+1,1))</f>
        <v>#N/A</v>
      </c>
      <c r="GF81" s="57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7" t="e">
        <f t="shared" si="83"/>
        <v>#N/A</v>
      </c>
      <c r="GZ81" s="57" t="e">
        <f ca="1">AVERAGE(OFFSET($GY$3,0,0,'Données projet'!$E$18+1,1))-AVERAGE(OFFSET($H$3,0,0,'Données projet'!$E$18+1,1))</f>
        <v>#N/A</v>
      </c>
      <c r="HA81" s="57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1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5">
        <f t="shared" si="56"/>
        <v>256.66666666666669</v>
      </c>
      <c r="I82" s="6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254.99999999999994</v>
      </c>
      <c r="O82" s="13">
        <f>N82*VLOOKUP('Données projet'!$B$9,Paramètres!$A$1:$I$89,3,0)*VLOOKUP('Données projet'!$B$9,Paramètres!$A$1:$I$89,5,0)</f>
        <v>230.72399999999993</v>
      </c>
      <c r="P82" s="13">
        <f t="shared" si="87"/>
        <v>56.439198612082045</v>
      </c>
      <c r="Q82" s="20">
        <f t="shared" si="54"/>
        <v>500.14257091604276</v>
      </c>
      <c r="R82" s="57">
        <f t="shared" si="55"/>
        <v>793.47590424937607</v>
      </c>
      <c r="S82" s="57">
        <f ca="1">AVERAGE(OFFSET($R$3,0,0,'Données projet'!$E$9+1,1))-AVERAGE(OFFSET($H$3,0,0,'Données projet'!$E$9+1,1))</f>
        <v>373.45926089889866</v>
      </c>
      <c r="T82" s="57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18.134762395123232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18.134762395123232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254.99999999999994</v>
      </c>
      <c r="AJ82" s="13">
        <f>AI82*VLOOKUP('Données projet'!$B$10,Paramètres!$A$1:$I$89,3,0)*VLOOKUP('Données projet'!$B$10,Paramètres!$A$1:$I$89,5,0)</f>
        <v>242.65799999999993</v>
      </c>
      <c r="AK82" s="13">
        <f t="shared" si="89"/>
        <v>59.011045025839607</v>
      </c>
      <c r="AL82" s="20">
        <f t="shared" si="58"/>
        <v>525.40692008667054</v>
      </c>
      <c r="AM82" s="57">
        <f t="shared" si="59"/>
        <v>818.74025342000391</v>
      </c>
      <c r="AN82" s="57">
        <f ca="1">AVERAGE(OFFSET($AM$3,0,0,'Données projet'!$E$10+1,1))-AVERAGE(OFFSET($H$3,0,0,'Données projet'!$E$10+1,1))</f>
        <v>390.70240761116355</v>
      </c>
      <c r="AO82" s="57">
        <f t="shared" si="90"/>
        <v>241.18285512887638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19.072767346595114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19.072767346595114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254.99999999999994</v>
      </c>
      <c r="BE82" s="13">
        <f>BD82*VLOOKUP('Données projet'!$B$11,Paramètres!$A$1:$I$89,3,0)*VLOOKUP('Données projet'!$B$11,Paramètres!$A$1:$I$89,5,0)</f>
        <v>246.63599999999997</v>
      </c>
      <c r="BF82" s="13">
        <f t="shared" si="91"/>
        <v>59.865023903294535</v>
      </c>
      <c r="BG82" s="20">
        <f t="shared" si="61"/>
        <v>533.82261663157112</v>
      </c>
      <c r="BH82" s="57">
        <f t="shared" si="62"/>
        <v>827.15594996490449</v>
      </c>
      <c r="BI82" s="57">
        <f ca="1">AVERAGE(OFFSET($BH$3,0,0,'Données projet'!$E$11+1,1))-AVERAGE(OFFSET($H$3,0,0,'Données projet'!$E$11+1,1))</f>
        <v>396.44612884768748</v>
      </c>
      <c r="BJ82" s="57">
        <f t="shared" si="92"/>
        <v>244.451492444461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19.385435663752418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19.385435663752418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3.4106051316484809E-13</v>
      </c>
      <c r="BZ82" s="13">
        <f>BY82*VLOOKUP('Données projet'!$B$12,Paramètres!$A$1:$I$89,3,0)*VLOOKUP('Données projet'!$B$12,Paramètres!$A$1:$I$89,5,0)</f>
        <v>2.0395418687257919E-13</v>
      </c>
      <c r="CA82" s="13">
        <f t="shared" si="93"/>
        <v>2.8200388570161721E-12</v>
      </c>
      <c r="CB82" s="20">
        <f t="shared" si="64"/>
        <v>5.2667878847729083E-12</v>
      </c>
      <c r="CC82" s="57">
        <f t="shared" si="65"/>
        <v>293.3333333333386</v>
      </c>
      <c r="CD82" s="57">
        <f ca="1">AVERAGE(OFFSET($CC$3,0,0,'Données projet'!$E$12+1,1))-AVERAGE(OFFSET($H$3,0,0,'Données projet'!$E$12+1,1))</f>
        <v>259.64096626089821</v>
      </c>
      <c r="CE82" s="57">
        <f t="shared" si="94"/>
        <v>258.1415293081597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103.56691726660365</v>
      </c>
      <c r="CL82" s="21">
        <f>EXP(-LN(2)/25)*CL81+(1-EXP(-LN(2)/25))/(LN(2)/25)*Calculateur!CG82*Calculateur!CI82*VLOOKUP('Données projet'!$B$12,Paramètres!$A$1:$I$89,3,0)*0.475*44/12</f>
        <v>20.927457084889316</v>
      </c>
      <c r="CM82" s="21">
        <f>EXP(-LN(2)/2)*CM81+(1-EXP(-LN(2)/2))/(LN(2)/2)*CG82*CJ82*VLOOKUP('Données projet'!$B$12,Paramètres!$A$1:$I$89,3,0)*0.475*44/12</f>
        <v>3.7502164769670367E-2</v>
      </c>
      <c r="CN82" s="22">
        <f t="shared" si="66"/>
        <v>124.53187651626264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</v>
      </c>
      <c r="CT82" s="12">
        <f>IF('Données projet'!$A$140&gt;35,CT81+CS82-DB81,IF(A82&lt;'Données projet'!$A$140,$CQ$205^A82,IF(A82='Données projet'!$A$140,'Données projet'!$B$140,CT81+CS82-DB81)))</f>
        <v>254.99999999999994</v>
      </c>
      <c r="CU82" s="17">
        <f>CT82*VLOOKUP('Données projet'!$B$13,Paramètres!$A$1:$I$89,3,0)*VLOOKUP('Données projet'!$B$13,Paramètres!$A$1:$I$89,5,0)</f>
        <v>274.48199999999997</v>
      </c>
      <c r="CV82" s="13">
        <f t="shared" si="95"/>
        <v>65.799549466335947</v>
      </c>
      <c r="CW82" s="20">
        <f t="shared" si="67"/>
        <v>592.65703198720178</v>
      </c>
      <c r="CX82" s="57">
        <f t="shared" si="68"/>
        <v>885.99036532053515</v>
      </c>
      <c r="CY82" s="57">
        <f ca="1">AVERAGE(OFFSET($CX$3,0,0,'Données projet'!$E$13+1,1))-AVERAGE(OFFSET($H$3,0,0,'Données projet'!$E$13+1,1))</f>
        <v>436.59978658837537</v>
      </c>
      <c r="CZ82" s="57">
        <f t="shared" si="96"/>
        <v>267.2998309535638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21.574113883853499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21.574113883853499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4.5999999999999996</v>
      </c>
      <c r="DO82" s="12">
        <f>IF('Données projet'!$A$166&gt;35,DO81+DN82-DW81,IF(A82&lt;'Données projet'!$A$166,$DL$205^A82,IF(A82='Données projet'!$A$166,'Données projet'!$B$166,DO81+DN82-DW81)))</f>
        <v>187.39999999999998</v>
      </c>
      <c r="DP82" s="17">
        <f>DO82*VLOOKUP('Données projet'!$B$14,Paramètres!$A$1:$I$89,3,0)*VLOOKUP('Données projet'!$B$14,Paramètres!$A$1:$I$89,5,0)</f>
        <v>178.32983999999996</v>
      </c>
      <c r="DQ82" s="13">
        <f t="shared" si="97"/>
        <v>44.950404981211172</v>
      </c>
      <c r="DR82" s="20">
        <f t="shared" si="70"/>
        <v>388.8797600089427</v>
      </c>
      <c r="DS82" s="57">
        <f t="shared" si="71"/>
        <v>682.21309334227601</v>
      </c>
      <c r="DT82" s="57">
        <f ca="1">AVERAGE(OFFSET($DS$3,0,0,'Données projet'!$E$14+1,1))-AVERAGE(OFFSET($H$3,0,0,'Données projet'!$E$14+1,1))</f>
        <v>292.95981568144879</v>
      </c>
      <c r="DU82" s="57">
        <f t="shared" si="98"/>
        <v>152.23954167722536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11.393997214513497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11.393997214513497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7" t="e">
        <f t="shared" si="74"/>
        <v>#N/A</v>
      </c>
      <c r="EO82" s="57" t="e">
        <f ca="1">AVERAGE(OFFSET($EN$3,0,0,'Données projet'!$E$15+1,1))-AVERAGE(OFFSET($H$3,0,0,'Données projet'!$E$15+1,1))</f>
        <v>#N/A</v>
      </c>
      <c r="EP82" s="57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7" t="e">
        <f t="shared" si="77"/>
        <v>#N/A</v>
      </c>
      <c r="FJ82" s="57" t="e">
        <f ca="1">AVERAGE(OFFSET($FI$3,0,0,'Données projet'!$E$16+1,1))-AVERAGE(OFFSET($H$3,0,0,'Données projet'!$E$16+1,1))</f>
        <v>#N/A</v>
      </c>
      <c r="FK82" s="57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7" t="e">
        <f t="shared" si="80"/>
        <v>#N/A</v>
      </c>
      <c r="GE82" s="57" t="e">
        <f ca="1">AVERAGE(OFFSET($GD$3,0,0,'Données projet'!$E$17+1,1))-AVERAGE(OFFSET($H$3,0,0,'Données projet'!$E$17+1,1))</f>
        <v>#N/A</v>
      </c>
      <c r="GF82" s="57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7" t="e">
        <f t="shared" si="83"/>
        <v>#N/A</v>
      </c>
      <c r="GZ82" s="57" t="e">
        <f ca="1">AVERAGE(OFFSET($GY$3,0,0,'Données projet'!$E$18+1,1))-AVERAGE(OFFSET($H$3,0,0,'Données projet'!$E$18+1,1))</f>
        <v>#N/A</v>
      </c>
      <c r="HA82" s="57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1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5">
        <f t="shared" si="56"/>
        <v>256.66666666666669</v>
      </c>
      <c r="I83" s="6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260.99999999999994</v>
      </c>
      <c r="O83" s="13">
        <f>N83*VLOOKUP('Données projet'!$B$9,Paramètres!$A$1:$I$89,3,0)*VLOOKUP('Données projet'!$B$9,Paramètres!$A$1:$I$89,5,0)</f>
        <v>236.15279999999996</v>
      </c>
      <c r="P83" s="13">
        <f t="shared" si="87"/>
        <v>57.61100977459936</v>
      </c>
      <c r="Q83" s="20">
        <f t="shared" si="54"/>
        <v>511.63863535742718</v>
      </c>
      <c r="R83" s="57">
        <f t="shared" si="55"/>
        <v>804.97196869076049</v>
      </c>
      <c r="S83" s="57">
        <f ca="1">AVERAGE(OFFSET($R$3,0,0,'Données projet'!$E$9+1,1))-AVERAGE(OFFSET($H$3,0,0,'Données projet'!$E$9+1,1))</f>
        <v>373.45926089889866</v>
      </c>
      <c r="T83" s="57">
        <f t="shared" si="88"/>
        <v>231.36959598460686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23.198394735224589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23.198394735224589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260.99999999999994</v>
      </c>
      <c r="AJ83" s="13">
        <f>AI83*VLOOKUP('Données projet'!$B$10,Paramètres!$A$1:$I$89,3,0)*VLOOKUP('Données projet'!$B$10,Paramètres!$A$1:$I$89,5,0)</f>
        <v>248.36759999999992</v>
      </c>
      <c r="AK83" s="13">
        <f t="shared" si="89"/>
        <v>60.236253798706286</v>
      </c>
      <c r="AL83" s="20">
        <f t="shared" si="58"/>
        <v>537.48504536607993</v>
      </c>
      <c r="AM83" s="57">
        <f t="shared" si="59"/>
        <v>830.81837869941319</v>
      </c>
      <c r="AN83" s="57">
        <f ca="1">AVERAGE(OFFSET($AM$3,0,0,'Données projet'!$E$10+1,1))-AVERAGE(OFFSET($H$3,0,0,'Données projet'!$E$10+1,1))</f>
        <v>390.70240761116355</v>
      </c>
      <c r="AO83" s="57">
        <f t="shared" si="90"/>
        <v>241.18285512887638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24.398311704287924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24.398311704287924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260.99999999999994</v>
      </c>
      <c r="BE83" s="13">
        <f>BD83*VLOOKUP('Données projet'!$B$11,Paramètres!$A$1:$I$89,3,0)*VLOOKUP('Données projet'!$B$11,Paramètres!$A$1:$I$89,5,0)</f>
        <v>252.43919999999994</v>
      </c>
      <c r="BF83" s="13">
        <f t="shared" si="91"/>
        <v>61.107963296116218</v>
      </c>
      <c r="BG83" s="20">
        <f t="shared" si="61"/>
        <v>546.09464274073559</v>
      </c>
      <c r="BH83" s="57">
        <f t="shared" si="62"/>
        <v>839.42797607406897</v>
      </c>
      <c r="BI83" s="57">
        <f ca="1">AVERAGE(OFFSET($BH$3,0,0,'Données projet'!$E$11+1,1))-AVERAGE(OFFSET($H$3,0,0,'Données projet'!$E$11+1,1))</f>
        <v>396.44612884768748</v>
      </c>
      <c r="BJ83" s="57">
        <f t="shared" si="92"/>
        <v>244.451492444461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24.798284027309041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24.798284027309041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3.4106051316484809E-13</v>
      </c>
      <c r="BZ83" s="13">
        <f>BY83*VLOOKUP('Données projet'!$B$12,Paramètres!$A$1:$I$89,3,0)*VLOOKUP('Données projet'!$B$12,Paramètres!$A$1:$I$89,5,0)</f>
        <v>2.0395418687257919E-13</v>
      </c>
      <c r="CA83" s="13">
        <f t="shared" si="93"/>
        <v>2.8200388570161721E-12</v>
      </c>
      <c r="CB83" s="20">
        <f t="shared" si="64"/>
        <v>5.2667878847729083E-12</v>
      </c>
      <c r="CC83" s="57">
        <f t="shared" si="65"/>
        <v>293.3333333333386</v>
      </c>
      <c r="CD83" s="57">
        <f ca="1">AVERAGE(OFFSET($CC$3,0,0,'Données projet'!$E$12+1,1))-AVERAGE(OFFSET($H$3,0,0,'Données projet'!$E$12+1,1))</f>
        <v>259.64096626089821</v>
      </c>
      <c r="CE83" s="57">
        <f t="shared" si="94"/>
        <v>258.1415293081597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101.53603318858761</v>
      </c>
      <c r="CL83" s="21">
        <f>EXP(-LN(2)/25)*CL82+(1-EXP(-LN(2)/25))/(LN(2)/25)*Calculateur!CG83*Calculateur!CI83*VLOOKUP('Données projet'!$B$12,Paramètres!$A$1:$I$89,3,0)*0.475*44/12</f>
        <v>20.35519467037588</v>
      </c>
      <c r="CM83" s="21">
        <f>EXP(-LN(2)/2)*CM82+(1-EXP(-LN(2)/2))/(LN(2)/2)*CG83*CJ83*VLOOKUP('Données projet'!$B$12,Paramètres!$A$1:$I$89,3,0)*0.475*44/12</f>
        <v>2.6518035017809156E-2</v>
      </c>
      <c r="CN83" s="22">
        <f t="shared" si="66"/>
        <v>121.91774589398131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261</v>
      </c>
      <c r="CR83" s="12">
        <f>VLOOKUP(A83,'Données projet'!$A$139:$I$159,9,0)</f>
        <v>6</v>
      </c>
      <c r="CS83" s="12">
        <f t="array" ref="CS83">INDEX(CR:CR,MIN(IF(ISNUMBER(CR83:CR279),ROW(CR83:CR279),"")))</f>
        <v>6</v>
      </c>
      <c r="CT83" s="12">
        <f>IF('Données projet'!$A$140&gt;35,CT82+CS83-DB82,IF(A83&lt;'Données projet'!$A$140,$CQ$205^A83,IF(A83='Données projet'!$A$140,'Données projet'!$B$140,CT82+CS83-DB82)))</f>
        <v>260.99999999999994</v>
      </c>
      <c r="CU83" s="17">
        <f>CT83*VLOOKUP('Données projet'!$B$13,Paramètres!$A$1:$I$89,3,0)*VLOOKUP('Données projet'!$B$13,Paramètres!$A$1:$I$89,5,0)</f>
        <v>280.94039999999995</v>
      </c>
      <c r="CV83" s="13">
        <f t="shared" si="95"/>
        <v>67.165703636653205</v>
      </c>
      <c r="CW83" s="20">
        <f t="shared" si="67"/>
        <v>606.28479716717095</v>
      </c>
      <c r="CX83" s="57">
        <f t="shared" si="68"/>
        <v>899.61813050050432</v>
      </c>
      <c r="CY83" s="57">
        <f ca="1">AVERAGE(OFFSET($CX$3,0,0,'Données projet'!$E$13+1,1))-AVERAGE(OFFSET($H$3,0,0,'Données projet'!$E$13+1,1))</f>
        <v>436.59978658837537</v>
      </c>
      <c r="CZ83" s="57">
        <f t="shared" si="96"/>
        <v>267.2998309535638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21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27.598090288456838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27.598090288456838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192</v>
      </c>
      <c r="DM83" s="12">
        <f>VLOOKUP(A83,'Données projet'!$A$165:$I$185,9,0)</f>
        <v>4.5999999999999996</v>
      </c>
      <c r="DN83" s="12">
        <f t="array" ref="DN83">INDEX(DM:DM,MIN(IF(ISNUMBER(DM83:DM279),ROW(DM83:DM279),"")))</f>
        <v>4.5999999999999996</v>
      </c>
      <c r="DO83" s="12">
        <f>IF('Données projet'!$A$166&gt;35,DO82+DN83-DW82,IF(A83&lt;'Données projet'!$A$166,$DL$205^A83,IF(A83='Données projet'!$A$166,'Données projet'!$B$166,DO82+DN83-DW82)))</f>
        <v>191.99999999999997</v>
      </c>
      <c r="DP83" s="17">
        <f>DO83*VLOOKUP('Données projet'!$B$14,Paramètres!$A$1:$I$89,3,0)*VLOOKUP('Données projet'!$B$14,Paramètres!$A$1:$I$89,5,0)</f>
        <v>182.70719999999997</v>
      </c>
      <c r="DQ83" s="13">
        <f t="shared" si="97"/>
        <v>45.923964004932436</v>
      </c>
      <c r="DR83" s="20">
        <f t="shared" si="70"/>
        <v>398.19927730859058</v>
      </c>
      <c r="DS83" s="57">
        <f t="shared" si="71"/>
        <v>691.53261064192384</v>
      </c>
      <c r="DT83" s="57">
        <f ca="1">AVERAGE(OFFSET($DS$3,0,0,'Données projet'!$E$14+1,1))-AVERAGE(OFFSET($H$3,0,0,'Données projet'!$E$14+1,1))</f>
        <v>292.95981568144879</v>
      </c>
      <c r="DU83" s="57">
        <f t="shared" si="98"/>
        <v>152.23954167722536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14</v>
      </c>
      <c r="DX83" s="16">
        <f>IF(ISNA(VLOOKUP(A83,'Données projet'!$A$165:$I$185,5,0)),0%,VLOOKUP(A83,'Données projet'!$A$165:$I$185,5,0)*VLOOKUP('Données projet'!$B$14,Paramètres!$A$1:$I$89,7,0))</f>
        <v>0.215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14.336984374411267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14.336984374411267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7" t="e">
        <f t="shared" si="74"/>
        <v>#N/A</v>
      </c>
      <c r="EO83" s="57" t="e">
        <f ca="1">AVERAGE(OFFSET($EN$3,0,0,'Données projet'!$E$15+1,1))-AVERAGE(OFFSET($H$3,0,0,'Données projet'!$E$15+1,1))</f>
        <v>#N/A</v>
      </c>
      <c r="EP83" s="57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7" t="e">
        <f t="shared" si="77"/>
        <v>#N/A</v>
      </c>
      <c r="FJ83" s="57" t="e">
        <f ca="1">AVERAGE(OFFSET($FI$3,0,0,'Données projet'!$E$16+1,1))-AVERAGE(OFFSET($H$3,0,0,'Données projet'!$E$16+1,1))</f>
        <v>#N/A</v>
      </c>
      <c r="FK83" s="57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7" t="e">
        <f t="shared" si="80"/>
        <v>#N/A</v>
      </c>
      <c r="GE83" s="57" t="e">
        <f ca="1">AVERAGE(OFFSET($GD$3,0,0,'Données projet'!$E$17+1,1))-AVERAGE(OFFSET($H$3,0,0,'Données projet'!$E$17+1,1))</f>
        <v>#N/A</v>
      </c>
      <c r="GF83" s="57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7" t="e">
        <f t="shared" si="83"/>
        <v>#N/A</v>
      </c>
      <c r="GZ83" s="57" t="e">
        <f ca="1">AVERAGE(OFFSET($GY$3,0,0,'Données projet'!$E$18+1,1))-AVERAGE(OFFSET($H$3,0,0,'Données projet'!$E$18+1,1))</f>
        <v>#N/A</v>
      </c>
      <c r="HA83" s="57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1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5">
        <f t="shared" si="56"/>
        <v>256.66666666666669</v>
      </c>
      <c r="I84" s="6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245.79999999999995</v>
      </c>
      <c r="O84" s="13">
        <f>N84*VLOOKUP('Données projet'!$B$9,Paramètres!$A$1:$I$89,3,0)*VLOOKUP('Données projet'!$B$9,Paramètres!$A$1:$I$89,5,0)</f>
        <v>222.39983999999995</v>
      </c>
      <c r="P84" s="13">
        <f t="shared" si="87"/>
        <v>54.636149281681448</v>
      </c>
      <c r="Q84" s="20">
        <f t="shared" si="54"/>
        <v>482.50434799892838</v>
      </c>
      <c r="R84" s="57">
        <f t="shared" si="55"/>
        <v>775.8376813322617</v>
      </c>
      <c r="S84" s="57">
        <f ca="1">AVERAGE(OFFSET($R$3,0,0,'Données projet'!$E$9+1,1))-AVERAGE(OFFSET($H$3,0,0,'Données projet'!$E$9+1,1))</f>
        <v>373.45926089889866</v>
      </c>
      <c r="T84" s="57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22.743488364090464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22.743488364090464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245.79999999999995</v>
      </c>
      <c r="AJ84" s="13">
        <f>AI84*VLOOKUP('Données projet'!$B$10,Paramètres!$A$1:$I$89,3,0)*VLOOKUP('Données projet'!$B$10,Paramètres!$A$1:$I$89,5,0)</f>
        <v>233.90327999999994</v>
      </c>
      <c r="AK84" s="13">
        <f t="shared" si="89"/>
        <v>57.125833544518095</v>
      </c>
      <c r="AL84" s="20">
        <f t="shared" si="58"/>
        <v>506.87570609003552</v>
      </c>
      <c r="AM84" s="57">
        <f t="shared" si="59"/>
        <v>800.20903942336884</v>
      </c>
      <c r="AN84" s="57">
        <f ca="1">AVERAGE(OFFSET($AM$3,0,0,'Données projet'!$E$10+1,1))-AVERAGE(OFFSET($H$3,0,0,'Données projet'!$E$10+1,1))</f>
        <v>390.70240761116355</v>
      </c>
      <c r="AO84" s="57">
        <f t="shared" si="90"/>
        <v>241.18285512887638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23.919875693267549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23.919875693267549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245.79999999999995</v>
      </c>
      <c r="BE84" s="13">
        <f>BD84*VLOOKUP('Données projet'!$B$11,Paramètres!$A$1:$I$89,3,0)*VLOOKUP('Données projet'!$B$11,Paramètres!$A$1:$I$89,5,0)</f>
        <v>237.73775999999995</v>
      </c>
      <c r="BF84" s="13">
        <f t="shared" si="91"/>
        <v>57.952530566790166</v>
      </c>
      <c r="BG84" s="20">
        <f t="shared" si="61"/>
        <v>514.99392273715944</v>
      </c>
      <c r="BH84" s="57">
        <f t="shared" si="62"/>
        <v>808.32725607049269</v>
      </c>
      <c r="BI84" s="57">
        <f ca="1">AVERAGE(OFFSET($BH$3,0,0,'Données projet'!$E$11+1,1))-AVERAGE(OFFSET($H$3,0,0,'Données projet'!$E$11+1,1))</f>
        <v>396.44612884768748</v>
      </c>
      <c r="BJ84" s="57">
        <f t="shared" si="92"/>
        <v>244.451492444461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24.312004802993254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24.312004802993254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3.4106051316484809E-13</v>
      </c>
      <c r="BZ84" s="13">
        <f>BY84*VLOOKUP('Données projet'!$B$12,Paramètres!$A$1:$I$89,3,0)*VLOOKUP('Données projet'!$B$12,Paramètres!$A$1:$I$89,5,0)</f>
        <v>2.0395418687257919E-13</v>
      </c>
      <c r="CA84" s="13">
        <f t="shared" si="93"/>
        <v>2.8200388570161721E-12</v>
      </c>
      <c r="CB84" s="20">
        <f t="shared" si="64"/>
        <v>5.2667878847729083E-12</v>
      </c>
      <c r="CC84" s="57">
        <f t="shared" si="65"/>
        <v>293.3333333333386</v>
      </c>
      <c r="CD84" s="57">
        <f ca="1">AVERAGE(OFFSET($CC$3,0,0,'Données projet'!$E$12+1,1))-AVERAGE(OFFSET($H$3,0,0,'Données projet'!$E$12+1,1))</f>
        <v>259.64096626089821</v>
      </c>
      <c r="CE84" s="57">
        <f t="shared" si="94"/>
        <v>258.1415293081597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99.54497350862448</v>
      </c>
      <c r="CL84" s="21">
        <f>EXP(-LN(2)/25)*CL83+(1-EXP(-LN(2)/25))/(LN(2)/25)*Calculateur!CG84*Calculateur!CI84*VLOOKUP('Données projet'!$B$12,Paramètres!$A$1:$I$89,3,0)*0.475*44/12</f>
        <v>19.798580801681286</v>
      </c>
      <c r="CM84" s="21">
        <f>EXP(-LN(2)/2)*CM83+(1-EXP(-LN(2)/2))/(LN(2)/2)*CG84*CJ84*VLOOKUP('Données projet'!$B$12,Paramètres!$A$1:$I$89,3,0)*0.475*44/12</f>
        <v>1.8751082384835183E-2</v>
      </c>
      <c r="CN84" s="22">
        <f t="shared" si="66"/>
        <v>119.3623053926906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5.8</v>
      </c>
      <c r="CT84" s="12">
        <f>IF('Données projet'!$A$140&gt;35,CT83+CS84-DB83,IF(A84&lt;'Données projet'!$A$140,$CQ$205^A84,IF(A84='Données projet'!$A$140,'Données projet'!$B$140,CT83+CS84-DB83)))</f>
        <v>245.79999999999995</v>
      </c>
      <c r="CU84" s="17">
        <f>CT84*VLOOKUP('Données projet'!$B$13,Paramètres!$A$1:$I$89,3,0)*VLOOKUP('Données projet'!$B$13,Paramètres!$A$1:$I$89,5,0)</f>
        <v>264.57911999999993</v>
      </c>
      <c r="CV84" s="13">
        <f t="shared" si="95"/>
        <v>63.697467287221869</v>
      </c>
      <c r="CW84" s="20">
        <f t="shared" si="67"/>
        <v>571.74838952524453</v>
      </c>
      <c r="CX84" s="57">
        <f t="shared" si="68"/>
        <v>865.0817228585779</v>
      </c>
      <c r="CY84" s="57">
        <f ca="1">AVERAGE(OFFSET($CX$3,0,0,'Données projet'!$E$13+1,1))-AVERAGE(OFFSET($H$3,0,0,'Données projet'!$E$13+1,1))</f>
        <v>436.59978658837537</v>
      </c>
      <c r="CZ84" s="57">
        <f t="shared" si="96"/>
        <v>267.2998309535638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27.056908571073137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27.056908571073137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4.4000000000000004</v>
      </c>
      <c r="DO84" s="12">
        <f>IF('Données projet'!$A$166&gt;35,DO83+DN84-DW83,IF(A84&lt;'Données projet'!$A$166,$DL$205^A84,IF(A84='Données projet'!$A$166,'Données projet'!$B$166,DO83+DN84-DW83)))</f>
        <v>182.39999999999998</v>
      </c>
      <c r="DP84" s="17">
        <f>DO84*VLOOKUP('Données projet'!$B$14,Paramètres!$A$1:$I$89,3,0)*VLOOKUP('Données projet'!$B$14,Paramètres!$A$1:$I$89,5,0)</f>
        <v>173.57183999999998</v>
      </c>
      <c r="DQ84" s="13">
        <f t="shared" si="97"/>
        <v>43.889026259091224</v>
      </c>
      <c r="DR84" s="20">
        <f t="shared" si="70"/>
        <v>378.74434206791716</v>
      </c>
      <c r="DS84" s="57">
        <f t="shared" si="71"/>
        <v>672.07767540125042</v>
      </c>
      <c r="DT84" s="57">
        <f ca="1">AVERAGE(OFFSET($DS$3,0,0,'Données projet'!$E$14+1,1))-AVERAGE(OFFSET($H$3,0,0,'Données projet'!$E$14+1,1))</f>
        <v>292.95981568144879</v>
      </c>
      <c r="DU84" s="57">
        <f t="shared" si="98"/>
        <v>152.23954167722536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14.055844855526065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14.055844855526065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7" t="e">
        <f t="shared" si="74"/>
        <v>#N/A</v>
      </c>
      <c r="EO84" s="57" t="e">
        <f ca="1">AVERAGE(OFFSET($EN$3,0,0,'Données projet'!$E$15+1,1))-AVERAGE(OFFSET($H$3,0,0,'Données projet'!$E$15+1,1))</f>
        <v>#N/A</v>
      </c>
      <c r="EP84" s="57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7" t="e">
        <f t="shared" si="77"/>
        <v>#N/A</v>
      </c>
      <c r="FJ84" s="57" t="e">
        <f ca="1">AVERAGE(OFFSET($FI$3,0,0,'Données projet'!$E$16+1,1))-AVERAGE(OFFSET($H$3,0,0,'Données projet'!$E$16+1,1))</f>
        <v>#N/A</v>
      </c>
      <c r="FK84" s="57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7" t="e">
        <f t="shared" si="80"/>
        <v>#N/A</v>
      </c>
      <c r="GE84" s="57" t="e">
        <f ca="1">AVERAGE(OFFSET($GD$3,0,0,'Données projet'!$E$17+1,1))-AVERAGE(OFFSET($H$3,0,0,'Données projet'!$E$17+1,1))</f>
        <v>#N/A</v>
      </c>
      <c r="GF84" s="57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7" t="e">
        <f t="shared" si="83"/>
        <v>#N/A</v>
      </c>
      <c r="GZ84" s="57" t="e">
        <f ca="1">AVERAGE(OFFSET($GY$3,0,0,'Données projet'!$E$18+1,1))-AVERAGE(OFFSET($H$3,0,0,'Données projet'!$E$18+1,1))</f>
        <v>#N/A</v>
      </c>
      <c r="HA84" s="57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1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5">
        <f t="shared" si="56"/>
        <v>256.66666666666669</v>
      </c>
      <c r="I85" s="6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251.59999999999997</v>
      </c>
      <c r="O85" s="13">
        <f>N85*VLOOKUP('Données projet'!$B$9,Paramètres!$A$1:$I$89,3,0)*VLOOKUP('Données projet'!$B$9,Paramètres!$A$1:$I$89,5,0)</f>
        <v>227.64767999999995</v>
      </c>
      <c r="P85" s="13">
        <f t="shared" si="87"/>
        <v>55.773751036838362</v>
      </c>
      <c r="Q85" s="20">
        <f t="shared" si="54"/>
        <v>493.6256590558267</v>
      </c>
      <c r="R85" s="57">
        <f t="shared" si="55"/>
        <v>786.95899238916002</v>
      </c>
      <c r="S85" s="57">
        <f ca="1">AVERAGE(OFFSET($R$3,0,0,'Données projet'!$E$9+1,1))-AVERAGE(OFFSET($H$3,0,0,'Données projet'!$E$9+1,1))</f>
        <v>373.45926089889866</v>
      </c>
      <c r="T85" s="57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22.297502429428789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22.297502429428789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251.59999999999997</v>
      </c>
      <c r="AJ85" s="13">
        <f>AI85*VLOOKUP('Données projet'!$B$10,Paramètres!$A$1:$I$89,3,0)*VLOOKUP('Données projet'!$B$10,Paramètres!$A$1:$I$89,5,0)</f>
        <v>239.42255999999998</v>
      </c>
      <c r="AK85" s="13">
        <f t="shared" si="89"/>
        <v>58.315274040589699</v>
      </c>
      <c r="AL85" s="20">
        <f t="shared" si="58"/>
        <v>518.56006095402699</v>
      </c>
      <c r="AM85" s="57">
        <f t="shared" si="59"/>
        <v>811.89339428736025</v>
      </c>
      <c r="AN85" s="57">
        <f ca="1">AVERAGE(OFFSET($AM$3,0,0,'Données projet'!$E$10+1,1))-AVERAGE(OFFSET($H$3,0,0,'Données projet'!$E$10+1,1))</f>
        <v>390.70240761116355</v>
      </c>
      <c r="AO85" s="57">
        <f t="shared" si="90"/>
        <v>241.18285512887638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23.450821520606134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23.450821520606134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251.59999999999997</v>
      </c>
      <c r="BE85" s="13">
        <f>BD85*VLOOKUP('Données projet'!$B$11,Paramètres!$A$1:$I$89,3,0)*VLOOKUP('Données projet'!$B$11,Paramètres!$A$1:$I$89,5,0)</f>
        <v>243.34752</v>
      </c>
      <c r="BF85" s="13">
        <f t="shared" si="91"/>
        <v>59.159184061872203</v>
      </c>
      <c r="BG85" s="20">
        <f t="shared" si="61"/>
        <v>526.86584290776068</v>
      </c>
      <c r="BH85" s="57">
        <f t="shared" si="62"/>
        <v>820.19917624109394</v>
      </c>
      <c r="BI85" s="57">
        <f ca="1">AVERAGE(OFFSET($BH$3,0,0,'Données projet'!$E$11+1,1))-AVERAGE(OFFSET($H$3,0,0,'Données projet'!$E$11+1,1))</f>
        <v>396.44612884768748</v>
      </c>
      <c r="BJ85" s="57">
        <f t="shared" si="92"/>
        <v>244.451492444461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23.835261217665259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23.835261217665259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3.4106051316484809E-13</v>
      </c>
      <c r="BZ85" s="13">
        <f>BY85*VLOOKUP('Données projet'!$B$12,Paramètres!$A$1:$I$89,3,0)*VLOOKUP('Données projet'!$B$12,Paramètres!$A$1:$I$89,5,0)</f>
        <v>2.0395418687257919E-13</v>
      </c>
      <c r="CA85" s="13">
        <f t="shared" si="93"/>
        <v>2.8200388570161721E-12</v>
      </c>
      <c r="CB85" s="20">
        <f t="shared" si="64"/>
        <v>5.2667878847729083E-12</v>
      </c>
      <c r="CC85" s="57">
        <f t="shared" si="65"/>
        <v>293.3333333333386</v>
      </c>
      <c r="CD85" s="57">
        <f ca="1">AVERAGE(OFFSET($CC$3,0,0,'Données projet'!$E$12+1,1))-AVERAGE(OFFSET($H$3,0,0,'Données projet'!$E$12+1,1))</f>
        <v>259.64096626089821</v>
      </c>
      <c r="CE85" s="57">
        <f t="shared" si="94"/>
        <v>258.1415293081597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97.592957294558943</v>
      </c>
      <c r="CL85" s="21">
        <f>EXP(-LN(2)/25)*CL84+(1-EXP(-LN(2)/25))/(LN(2)/25)*Calculateur!CG85*Calculateur!CI85*VLOOKUP('Données projet'!$B$12,Paramètres!$A$1:$I$89,3,0)*0.475*44/12</f>
        <v>19.257187568497198</v>
      </c>
      <c r="CM85" s="21">
        <f>EXP(-LN(2)/2)*CM84+(1-EXP(-LN(2)/2))/(LN(2)/2)*CG85*CJ85*VLOOKUP('Données projet'!$B$12,Paramètres!$A$1:$I$89,3,0)*0.475*44/12</f>
        <v>1.3259017508904578E-2</v>
      </c>
      <c r="CN85" s="22">
        <f t="shared" si="66"/>
        <v>116.86340388056504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5.8</v>
      </c>
      <c r="CT85" s="12">
        <f>IF('Données projet'!$A$140&gt;35,CT84+CS85-DB84,IF(A85&lt;'Données projet'!$A$140,$CQ$205^A85,IF(A85='Données projet'!$A$140,'Données projet'!$B$140,CT84+CS85-DB84)))</f>
        <v>251.59999999999997</v>
      </c>
      <c r="CU85" s="17">
        <f>CT85*VLOOKUP('Données projet'!$B$13,Paramètres!$A$1:$I$89,3,0)*VLOOKUP('Données projet'!$B$13,Paramètres!$A$1:$I$89,5,0)</f>
        <v>270.82223999999997</v>
      </c>
      <c r="CV85" s="13">
        <f t="shared" si="95"/>
        <v>65.023738474662338</v>
      </c>
      <c r="CW85" s="20">
        <f t="shared" si="67"/>
        <v>584.93174584337009</v>
      </c>
      <c r="CX85" s="57">
        <f t="shared" si="68"/>
        <v>878.26507917670347</v>
      </c>
      <c r="CY85" s="57">
        <f ca="1">AVERAGE(OFFSET($CX$3,0,0,'Données projet'!$E$13+1,1))-AVERAGE(OFFSET($H$3,0,0,'Données projet'!$E$13+1,1))</f>
        <v>436.59978658837537</v>
      </c>
      <c r="CZ85" s="57">
        <f t="shared" si="96"/>
        <v>267.2998309535638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26.526339097079077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26.526339097079077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4.4000000000000004</v>
      </c>
      <c r="DO85" s="12">
        <f>IF('Données projet'!$A$166&gt;35,DO84+DN85-DW84,IF(A85&lt;'Données projet'!$A$166,$DL$205^A85,IF(A85='Données projet'!$A$166,'Données projet'!$B$166,DO84+DN85-DW84)))</f>
        <v>186.79999999999998</v>
      </c>
      <c r="DP85" s="17">
        <f>DO85*VLOOKUP('Données projet'!$B$14,Paramètres!$A$1:$I$89,3,0)*VLOOKUP('Données projet'!$B$14,Paramètres!$A$1:$I$89,5,0)</f>
        <v>177.75888</v>
      </c>
      <c r="DQ85" s="13">
        <f t="shared" si="97"/>
        <v>44.823215265943972</v>
      </c>
      <c r="DR85" s="20">
        <f t="shared" si="70"/>
        <v>387.66381592151902</v>
      </c>
      <c r="DS85" s="57">
        <f t="shared" si="71"/>
        <v>680.99714925485227</v>
      </c>
      <c r="DT85" s="57">
        <f ca="1">AVERAGE(OFFSET($DS$3,0,0,'Données projet'!$E$14+1,1))-AVERAGE(OFFSET($H$3,0,0,'Données projet'!$E$14+1,1))</f>
        <v>292.95981568144879</v>
      </c>
      <c r="DU85" s="57">
        <f t="shared" si="98"/>
        <v>152.23954167722536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13.780218311128026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13.780218311128026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7" t="e">
        <f t="shared" si="74"/>
        <v>#N/A</v>
      </c>
      <c r="EO85" s="57" t="e">
        <f ca="1">AVERAGE(OFFSET($EN$3,0,0,'Données projet'!$E$15+1,1))-AVERAGE(OFFSET($H$3,0,0,'Données projet'!$E$15+1,1))</f>
        <v>#N/A</v>
      </c>
      <c r="EP85" s="57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7" t="e">
        <f t="shared" si="77"/>
        <v>#N/A</v>
      </c>
      <c r="FJ85" s="57" t="e">
        <f ca="1">AVERAGE(OFFSET($FI$3,0,0,'Données projet'!$E$16+1,1))-AVERAGE(OFFSET($H$3,0,0,'Données projet'!$E$16+1,1))</f>
        <v>#N/A</v>
      </c>
      <c r="FK85" s="57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7" t="e">
        <f t="shared" si="80"/>
        <v>#N/A</v>
      </c>
      <c r="GE85" s="57" t="e">
        <f ca="1">AVERAGE(OFFSET($GD$3,0,0,'Données projet'!$E$17+1,1))-AVERAGE(OFFSET($H$3,0,0,'Données projet'!$E$17+1,1))</f>
        <v>#N/A</v>
      </c>
      <c r="GF85" s="57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7" t="e">
        <f t="shared" si="83"/>
        <v>#N/A</v>
      </c>
      <c r="GZ85" s="57" t="e">
        <f ca="1">AVERAGE(OFFSET($GY$3,0,0,'Données projet'!$E$18+1,1))-AVERAGE(OFFSET($H$3,0,0,'Données projet'!$E$18+1,1))</f>
        <v>#N/A</v>
      </c>
      <c r="HA85" s="57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1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5">
        <f t="shared" si="56"/>
        <v>256.66666666666669</v>
      </c>
      <c r="I86" s="6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257.39999999999998</v>
      </c>
      <c r="O86" s="13">
        <f>N86*VLOOKUP('Données projet'!$B$9,Paramètres!$A$1:$I$89,3,0)*VLOOKUP('Données projet'!$B$9,Paramètres!$A$1:$I$89,5,0)</f>
        <v>232.89551999999998</v>
      </c>
      <c r="P86" s="13">
        <f t="shared" si="87"/>
        <v>56.908304063818662</v>
      </c>
      <c r="Q86" s="20">
        <f t="shared" si="54"/>
        <v>504.74166024448414</v>
      </c>
      <c r="R86" s="57">
        <f t="shared" si="55"/>
        <v>798.07499357781739</v>
      </c>
      <c r="S86" s="57">
        <f ca="1">AVERAGE(OFFSET($R$3,0,0,'Données projet'!$E$9+1,1))-AVERAGE(OFFSET($H$3,0,0,'Données projet'!$E$9+1,1))</f>
        <v>373.45926089889866</v>
      </c>
      <c r="T86" s="57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21.860262006921271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21.860262006921271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257.39999999999998</v>
      </c>
      <c r="AJ86" s="13">
        <f>AI86*VLOOKUP('Données projet'!$B$10,Paramètres!$A$1:$I$89,3,0)*VLOOKUP('Données projet'!$B$10,Paramètres!$A$1:$I$89,5,0)</f>
        <v>244.94183999999998</v>
      </c>
      <c r="AK86" s="13">
        <f t="shared" si="89"/>
        <v>59.501526882688076</v>
      </c>
      <c r="AL86" s="20">
        <f t="shared" si="58"/>
        <v>530.2388639873484</v>
      </c>
      <c r="AM86" s="57">
        <f t="shared" si="59"/>
        <v>823.57219732068165</v>
      </c>
      <c r="AN86" s="57">
        <f ca="1">AVERAGE(OFFSET($AM$3,0,0,'Données projet'!$E$10+1,1))-AVERAGE(OFFSET($H$3,0,0,'Données projet'!$E$10+1,1))</f>
        <v>390.70240761116355</v>
      </c>
      <c r="AO86" s="57">
        <f t="shared" si="90"/>
        <v>241.18285512887638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22.990965214175812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22.990965214175812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257.39999999999998</v>
      </c>
      <c r="BE86" s="13">
        <f>BD86*VLOOKUP('Données projet'!$B$11,Paramètres!$A$1:$I$89,3,0)*VLOOKUP('Données projet'!$B$11,Paramètres!$A$1:$I$89,5,0)</f>
        <v>248.95728</v>
      </c>
      <c r="BF86" s="13">
        <f t="shared" si="91"/>
        <v>60.362603772817415</v>
      </c>
      <c r="BG86" s="20">
        <f t="shared" si="61"/>
        <v>538.73213090432375</v>
      </c>
      <c r="BH86" s="57">
        <f t="shared" si="62"/>
        <v>832.06546423765712</v>
      </c>
      <c r="BI86" s="57">
        <f ca="1">AVERAGE(OFFSET($BH$3,0,0,'Données projet'!$E$11+1,1))-AVERAGE(OFFSET($H$3,0,0,'Données projet'!$E$11+1,1))</f>
        <v>396.44612884768748</v>
      </c>
      <c r="BJ86" s="57">
        <f t="shared" si="92"/>
        <v>244.451492444461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23.367866283260671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23.367866283260671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3.4106051316484809E-13</v>
      </c>
      <c r="BZ86" s="13">
        <f>BY86*VLOOKUP('Données projet'!$B$12,Paramètres!$A$1:$I$89,3,0)*VLOOKUP('Données projet'!$B$12,Paramètres!$A$1:$I$89,5,0)</f>
        <v>2.0395418687257919E-13</v>
      </c>
      <c r="CA86" s="13">
        <f t="shared" si="93"/>
        <v>2.8200388570161721E-12</v>
      </c>
      <c r="CB86" s="20">
        <f t="shared" si="64"/>
        <v>5.2667878847729083E-12</v>
      </c>
      <c r="CC86" s="57">
        <f t="shared" si="65"/>
        <v>293.3333333333386</v>
      </c>
      <c r="CD86" s="57">
        <f ca="1">AVERAGE(OFFSET($CC$3,0,0,'Données projet'!$E$12+1,1))-AVERAGE(OFFSET($H$3,0,0,'Données projet'!$E$12+1,1))</f>
        <v>259.64096626089821</v>
      </c>
      <c r="CE86" s="57">
        <f t="shared" si="94"/>
        <v>258.1415293081597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95.679218927838903</v>
      </c>
      <c r="CL86" s="21">
        <f>EXP(-LN(2)/25)*CL85+(1-EXP(-LN(2)/25))/(LN(2)/25)*Calculateur!CG86*Calculateur!CI86*VLOOKUP('Données projet'!$B$12,Paramètres!$A$1:$I$89,3,0)*0.475*44/12</f>
        <v>18.73059876174516</v>
      </c>
      <c r="CM86" s="21">
        <f>EXP(-LN(2)/2)*CM85+(1-EXP(-LN(2)/2))/(LN(2)/2)*CG86*CJ86*VLOOKUP('Données projet'!$B$12,Paramètres!$A$1:$I$89,3,0)*0.475*44/12</f>
        <v>9.3755411924175917E-3</v>
      </c>
      <c r="CN86" s="22">
        <f t="shared" si="66"/>
        <v>114.41919323077647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5.8</v>
      </c>
      <c r="CT86" s="12">
        <f>IF('Données projet'!$A$140&gt;35,CT85+CS86-DB85,IF(A86&lt;'Données projet'!$A$140,$CQ$205^A86,IF(A86='Données projet'!$A$140,'Données projet'!$B$140,CT85+CS86-DB85)))</f>
        <v>257.39999999999998</v>
      </c>
      <c r="CU86" s="17">
        <f>CT86*VLOOKUP('Données projet'!$B$13,Paramètres!$A$1:$I$89,3,0)*VLOOKUP('Données projet'!$B$13,Paramètres!$A$1:$I$89,5,0)</f>
        <v>277.06535999999994</v>
      </c>
      <c r="CV86" s="13">
        <f t="shared" si="95"/>
        <v>66.346455307232503</v>
      </c>
      <c r="CW86" s="20">
        <f t="shared" si="67"/>
        <v>598.10891166009662</v>
      </c>
      <c r="CX86" s="57">
        <f t="shared" si="68"/>
        <v>891.44224499342999</v>
      </c>
      <c r="CY86" s="57">
        <f ca="1">AVERAGE(OFFSET($CX$3,0,0,'Données projet'!$E$13+1,1))-AVERAGE(OFFSET($H$3,0,0,'Données projet'!$E$13+1,1))</f>
        <v>436.59978658837537</v>
      </c>
      <c r="CZ86" s="57">
        <f t="shared" si="96"/>
        <v>267.2998309535638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26.006173766854616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26.006173766854616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4.4000000000000004</v>
      </c>
      <c r="DO86" s="12">
        <f>IF('Données projet'!$A$166&gt;35,DO85+DN86-DW85,IF(A86&lt;'Données projet'!$A$166,$DL$205^A86,IF(A86='Données projet'!$A$166,'Données projet'!$B$166,DO85+DN86-DW85)))</f>
        <v>191.2</v>
      </c>
      <c r="DP86" s="17">
        <f>DO86*VLOOKUP('Données projet'!$B$14,Paramètres!$A$1:$I$89,3,0)*VLOOKUP('Données projet'!$B$14,Paramètres!$A$1:$I$89,5,0)</f>
        <v>181.94592</v>
      </c>
      <c r="DQ86" s="13">
        <f t="shared" si="97"/>
        <v>45.754846212632849</v>
      </c>
      <c r="DR86" s="20">
        <f t="shared" si="70"/>
        <v>396.57883448700221</v>
      </c>
      <c r="DS86" s="57">
        <f t="shared" si="71"/>
        <v>689.91216782033553</v>
      </c>
      <c r="DT86" s="57">
        <f ca="1">AVERAGE(OFFSET($DS$3,0,0,'Données projet'!$E$14+1,1))-AVERAGE(OFFSET($H$3,0,0,'Données projet'!$E$14+1,1))</f>
        <v>292.95981568144879</v>
      </c>
      <c r="DU86" s="57">
        <f t="shared" si="98"/>
        <v>152.23954167722536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13.50999663515004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13.50999663515004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7" t="e">
        <f t="shared" si="74"/>
        <v>#N/A</v>
      </c>
      <c r="EO86" s="57" t="e">
        <f ca="1">AVERAGE(OFFSET($EN$3,0,0,'Données projet'!$E$15+1,1))-AVERAGE(OFFSET($H$3,0,0,'Données projet'!$E$15+1,1))</f>
        <v>#N/A</v>
      </c>
      <c r="EP86" s="57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7" t="e">
        <f t="shared" si="77"/>
        <v>#N/A</v>
      </c>
      <c r="FJ86" s="57" t="e">
        <f ca="1">AVERAGE(OFFSET($FI$3,0,0,'Données projet'!$E$16+1,1))-AVERAGE(OFFSET($H$3,0,0,'Données projet'!$E$16+1,1))</f>
        <v>#N/A</v>
      </c>
      <c r="FK86" s="57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7" t="e">
        <f t="shared" si="80"/>
        <v>#N/A</v>
      </c>
      <c r="GE86" s="57" t="e">
        <f ca="1">AVERAGE(OFFSET($GD$3,0,0,'Données projet'!$E$17+1,1))-AVERAGE(OFFSET($H$3,0,0,'Données projet'!$E$17+1,1))</f>
        <v>#N/A</v>
      </c>
      <c r="GF86" s="57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7" t="e">
        <f t="shared" si="83"/>
        <v>#N/A</v>
      </c>
      <c r="GZ86" s="57" t="e">
        <f ca="1">AVERAGE(OFFSET($GY$3,0,0,'Données projet'!$E$18+1,1))-AVERAGE(OFFSET($H$3,0,0,'Données projet'!$E$18+1,1))</f>
        <v>#N/A</v>
      </c>
      <c r="HA86" s="57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1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5">
        <f t="shared" si="56"/>
        <v>256.66666666666669</v>
      </c>
      <c r="I87" s="6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263.2</v>
      </c>
      <c r="O87" s="13">
        <f>N87*VLOOKUP('Données projet'!$B$9,Paramètres!$A$1:$I$89,3,0)*VLOOKUP('Données projet'!$B$9,Paramètres!$A$1:$I$89,5,0)</f>
        <v>238.14335999999997</v>
      </c>
      <c r="P87" s="13">
        <f t="shared" si="87"/>
        <v>58.039884968630489</v>
      </c>
      <c r="Q87" s="20">
        <f t="shared" si="54"/>
        <v>515.85248498703129</v>
      </c>
      <c r="R87" s="57">
        <f t="shared" si="55"/>
        <v>809.18581832036466</v>
      </c>
      <c r="S87" s="57">
        <f ca="1">AVERAGE(OFFSET($R$3,0,0,'Données projet'!$E$9+1,1))-AVERAGE(OFFSET($H$3,0,0,'Données projet'!$E$9+1,1))</f>
        <v>373.45926089889866</v>
      </c>
      <c r="T87" s="57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21.431595602408802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21.431595602408802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263.2</v>
      </c>
      <c r="AJ87" s="13">
        <f>AI87*VLOOKUP('Données projet'!$B$10,Paramètres!$A$1:$I$89,3,0)*VLOOKUP('Données projet'!$B$10,Paramètres!$A$1:$I$89,5,0)</f>
        <v>250.46111999999999</v>
      </c>
      <c r="AK87" s="13">
        <f t="shared" si="89"/>
        <v>60.684672167637892</v>
      </c>
      <c r="AL87" s="20">
        <f t="shared" si="58"/>
        <v>541.91225469196922</v>
      </c>
      <c r="AM87" s="57">
        <f t="shared" si="59"/>
        <v>835.2455880253026</v>
      </c>
      <c r="AN87" s="57">
        <f ca="1">AVERAGE(OFFSET($AM$3,0,0,'Données projet'!$E$10+1,1))-AVERAGE(OFFSET($H$3,0,0,'Données projet'!$E$10+1,1))</f>
        <v>390.70240761116355</v>
      </c>
      <c r="AO87" s="57">
        <f t="shared" si="90"/>
        <v>241.18285512887638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22.540126409429938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22.540126409429938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263.2</v>
      </c>
      <c r="BE87" s="13">
        <f>BD87*VLOOKUP('Données projet'!$B$11,Paramètres!$A$1:$I$89,3,0)*VLOOKUP('Données projet'!$B$11,Paramètres!$A$1:$I$89,5,0)</f>
        <v>254.56703999999999</v>
      </c>
      <c r="BF87" s="13">
        <f t="shared" si="91"/>
        <v>61.562870955572436</v>
      </c>
      <c r="BG87" s="20">
        <f t="shared" si="61"/>
        <v>550.5929282476219</v>
      </c>
      <c r="BH87" s="57">
        <f t="shared" si="62"/>
        <v>843.92626158095527</v>
      </c>
      <c r="BI87" s="57">
        <f ca="1">AVERAGE(OFFSET($BH$3,0,0,'Données projet'!$E$11+1,1))-AVERAGE(OFFSET($H$3,0,0,'Données projet'!$E$11+1,1))</f>
        <v>396.44612884768748</v>
      </c>
      <c r="BJ87" s="57">
        <f t="shared" si="92"/>
        <v>244.451492444461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22.909636678436996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22.909636678436996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3.4106051316484809E-13</v>
      </c>
      <c r="BZ87" s="13">
        <f>BY87*VLOOKUP('Données projet'!$B$12,Paramètres!$A$1:$I$89,3,0)*VLOOKUP('Données projet'!$B$12,Paramètres!$A$1:$I$89,5,0)</f>
        <v>2.0395418687257919E-13</v>
      </c>
      <c r="CA87" s="13">
        <f t="shared" si="93"/>
        <v>2.8200388570161721E-12</v>
      </c>
      <c r="CB87" s="20">
        <f t="shared" si="64"/>
        <v>5.2667878847729083E-12</v>
      </c>
      <c r="CC87" s="57">
        <f t="shared" si="65"/>
        <v>293.3333333333386</v>
      </c>
      <c r="CD87" s="57">
        <f ca="1">AVERAGE(OFFSET($CC$3,0,0,'Données projet'!$E$12+1,1))-AVERAGE(OFFSET($H$3,0,0,'Données projet'!$E$12+1,1))</f>
        <v>259.64096626089821</v>
      </c>
      <c r="CE87" s="57">
        <f t="shared" si="94"/>
        <v>258.1415293081597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93.8030078032251</v>
      </c>
      <c r="CL87" s="21">
        <f>EXP(-LN(2)/25)*CL86+(1-EXP(-LN(2)/25))/(LN(2)/25)*Calculateur!CG87*Calculateur!CI87*VLOOKUP('Données projet'!$B$12,Paramètres!$A$1:$I$89,3,0)*0.475*44/12</f>
        <v>18.218409553605859</v>
      </c>
      <c r="CM87" s="21">
        <f>EXP(-LN(2)/2)*CM86+(1-EXP(-LN(2)/2))/(LN(2)/2)*CG87*CJ87*VLOOKUP('Données projet'!$B$12,Paramètres!$A$1:$I$89,3,0)*0.475*44/12</f>
        <v>6.6295087544522889E-3</v>
      </c>
      <c r="CN87" s="22">
        <f t="shared" si="66"/>
        <v>112.02804686558542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5.8</v>
      </c>
      <c r="CT87" s="12">
        <f>IF('Données projet'!$A$140&gt;35,CT86+CS87-DB86,IF(A87&lt;'Données projet'!$A$140,$CQ$205^A87,IF(A87='Données projet'!$A$140,'Données projet'!$B$140,CT86+CS87-DB86)))</f>
        <v>263.2</v>
      </c>
      <c r="CU87" s="17">
        <f>CT87*VLOOKUP('Données projet'!$B$13,Paramètres!$A$1:$I$89,3,0)*VLOOKUP('Données projet'!$B$13,Paramètres!$A$1:$I$89,5,0)</f>
        <v>283.30847999999997</v>
      </c>
      <c r="CV87" s="13">
        <f t="shared" si="95"/>
        <v>67.665707095924404</v>
      </c>
      <c r="CW87" s="20">
        <f t="shared" si="67"/>
        <v>611.28004252540165</v>
      </c>
      <c r="CX87" s="57">
        <f t="shared" si="68"/>
        <v>904.61337585873503</v>
      </c>
      <c r="CY87" s="57">
        <f ca="1">AVERAGE(OFFSET($CX$3,0,0,'Données projet'!$E$13+1,1))-AVERAGE(OFFSET($H$3,0,0,'Données projet'!$E$13+1,1))</f>
        <v>436.59978658837537</v>
      </c>
      <c r="CZ87" s="57">
        <f t="shared" si="96"/>
        <v>267.2998309535638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25.496208561486334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25.496208561486334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4.4000000000000004</v>
      </c>
      <c r="DO87" s="12">
        <f>IF('Données projet'!$A$166&gt;35,DO86+DN87-DW86,IF(A87&lt;'Données projet'!$A$166,$DL$205^A87,IF(A87='Données projet'!$A$166,'Données projet'!$B$166,DO86+DN87-DW86)))</f>
        <v>195.6</v>
      </c>
      <c r="DP87" s="17">
        <f>DO87*VLOOKUP('Données projet'!$B$14,Paramètres!$A$1:$I$89,3,0)*VLOOKUP('Données projet'!$B$14,Paramètres!$A$1:$I$89,5,0)</f>
        <v>186.13296</v>
      </c>
      <c r="DQ87" s="13">
        <f t="shared" si="97"/>
        <v>46.683984742595676</v>
      </c>
      <c r="DR87" s="20">
        <f t="shared" si="70"/>
        <v>405.48951209335405</v>
      </c>
      <c r="DS87" s="57">
        <f t="shared" si="71"/>
        <v>698.82284542668731</v>
      </c>
      <c r="DT87" s="57">
        <f ca="1">AVERAGE(OFFSET($DS$3,0,0,'Données projet'!$E$14+1,1))-AVERAGE(OFFSET($H$3,0,0,'Données projet'!$E$14+1,1))</f>
        <v>292.95981568144879</v>
      </c>
      <c r="DU87" s="57">
        <f t="shared" si="98"/>
        <v>152.23954167722536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13.245073841419035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13.245073841419035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7" t="e">
        <f t="shared" si="74"/>
        <v>#N/A</v>
      </c>
      <c r="EO87" s="57" t="e">
        <f ca="1">AVERAGE(OFFSET($EN$3,0,0,'Données projet'!$E$15+1,1))-AVERAGE(OFFSET($H$3,0,0,'Données projet'!$E$15+1,1))</f>
        <v>#N/A</v>
      </c>
      <c r="EP87" s="57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7" t="e">
        <f t="shared" si="77"/>
        <v>#N/A</v>
      </c>
      <c r="FJ87" s="57" t="e">
        <f ca="1">AVERAGE(OFFSET($FI$3,0,0,'Données projet'!$E$16+1,1))-AVERAGE(OFFSET($H$3,0,0,'Données projet'!$E$16+1,1))</f>
        <v>#N/A</v>
      </c>
      <c r="FK87" s="57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7" t="e">
        <f t="shared" si="80"/>
        <v>#N/A</v>
      </c>
      <c r="GE87" s="57" t="e">
        <f ca="1">AVERAGE(OFFSET($GD$3,0,0,'Données projet'!$E$17+1,1))-AVERAGE(OFFSET($H$3,0,0,'Données projet'!$E$17+1,1))</f>
        <v>#N/A</v>
      </c>
      <c r="GF87" s="57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7" t="e">
        <f t="shared" si="83"/>
        <v>#N/A</v>
      </c>
      <c r="GZ87" s="57" t="e">
        <f ca="1">AVERAGE(OFFSET($GY$3,0,0,'Données projet'!$E$18+1,1))-AVERAGE(OFFSET($H$3,0,0,'Données projet'!$E$18+1,1))</f>
        <v>#N/A</v>
      </c>
      <c r="HA87" s="57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1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5">
        <f t="shared" si="56"/>
        <v>256.66666666666669</v>
      </c>
      <c r="I88" s="6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269</v>
      </c>
      <c r="O88" s="13">
        <f>N88*VLOOKUP('Données projet'!$B$9,Paramètres!$A$1:$I$89,3,0)*VLOOKUP('Données projet'!$B$9,Paramètres!$A$1:$I$89,5,0)</f>
        <v>243.39119999999997</v>
      </c>
      <c r="P88" s="13">
        <f t="shared" si="87"/>
        <v>59.168566788241527</v>
      </c>
      <c r="Q88" s="20">
        <f t="shared" si="54"/>
        <v>526.95826048952063</v>
      </c>
      <c r="R88" s="57">
        <f t="shared" si="55"/>
        <v>820.29159382285388</v>
      </c>
      <c r="S88" s="57">
        <f ca="1">AVERAGE(OFFSET($R$3,0,0,'Données projet'!$E$9+1,1))-AVERAGE(OFFSET($H$3,0,0,'Données projet'!$E$9+1,1))</f>
        <v>373.45926089889866</v>
      </c>
      <c r="T88" s="57">
        <f t="shared" si="88"/>
        <v>231.36959598460686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26.430579054184989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26.430579054184989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269</v>
      </c>
      <c r="AJ88" s="13">
        <f>AI88*VLOOKUP('Données projet'!$B$10,Paramètres!$A$1:$I$89,3,0)*VLOOKUP('Données projet'!$B$10,Paramètres!$A$1:$I$89,5,0)</f>
        <v>255.9804</v>
      </c>
      <c r="AK88" s="13">
        <f t="shared" si="89"/>
        <v>61.864786260587792</v>
      </c>
      <c r="AL88" s="20">
        <f t="shared" si="58"/>
        <v>553.58036607052372</v>
      </c>
      <c r="AM88" s="57">
        <f t="shared" si="59"/>
        <v>846.91369940385698</v>
      </c>
      <c r="AN88" s="57">
        <f ca="1">AVERAGE(OFFSET($AM$3,0,0,'Données projet'!$E$10+1,1))-AVERAGE(OFFSET($H$3,0,0,'Données projet'!$E$10+1,1))</f>
        <v>390.70240761116355</v>
      </c>
      <c r="AO88" s="57">
        <f t="shared" si="90"/>
        <v>241.18285512887638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27.797677970780757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27.797677970780757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269</v>
      </c>
      <c r="BE88" s="13">
        <f>BD88*VLOOKUP('Données projet'!$B$11,Paramètres!$A$1:$I$89,3,0)*VLOOKUP('Données projet'!$B$11,Paramètres!$A$1:$I$89,5,0)</f>
        <v>260.17680000000001</v>
      </c>
      <c r="BF88" s="13">
        <f t="shared" si="91"/>
        <v>62.760063080404699</v>
      </c>
      <c r="BG88" s="20">
        <f t="shared" si="61"/>
        <v>562.44836986503822</v>
      </c>
      <c r="BH88" s="57">
        <f t="shared" si="62"/>
        <v>855.78170319837159</v>
      </c>
      <c r="BI88" s="57">
        <f ca="1">AVERAGE(OFFSET($BH$3,0,0,'Données projet'!$E$11+1,1))-AVERAGE(OFFSET($H$3,0,0,'Données projet'!$E$11+1,1))</f>
        <v>396.44612884768748</v>
      </c>
      <c r="BJ88" s="57">
        <f t="shared" si="92"/>
        <v>244.451492444461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28.253377609646027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28.253377609646027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3.4106051316484809E-13</v>
      </c>
      <c r="BZ88" s="13">
        <f>BY88*VLOOKUP('Données projet'!$B$12,Paramètres!$A$1:$I$89,3,0)*VLOOKUP('Données projet'!$B$12,Paramètres!$A$1:$I$89,5,0)</f>
        <v>2.0395418687257919E-13</v>
      </c>
      <c r="CA88" s="13">
        <f t="shared" si="93"/>
        <v>2.8200388570161721E-12</v>
      </c>
      <c r="CB88" s="20">
        <f t="shared" si="64"/>
        <v>5.2667878847729083E-12</v>
      </c>
      <c r="CC88" s="57">
        <f t="shared" si="65"/>
        <v>293.3333333333386</v>
      </c>
      <c r="CD88" s="57">
        <f ca="1">AVERAGE(OFFSET($CC$3,0,0,'Données projet'!$E$12+1,1))-AVERAGE(OFFSET($H$3,0,0,'Données projet'!$E$12+1,1))</f>
        <v>259.64096626089821</v>
      </c>
      <c r="CE88" s="57">
        <f t="shared" si="94"/>
        <v>258.1415293081597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91.96358803438919</v>
      </c>
      <c r="CL88" s="21">
        <f>EXP(-LN(2)/25)*CL87+(1-EXP(-LN(2)/25))/(LN(2)/25)*Calculateur!CG88*Calculateur!CI88*VLOOKUP('Données projet'!$B$12,Paramètres!$A$1:$I$89,3,0)*0.475*44/12</f>
        <v>17.720226186297989</v>
      </c>
      <c r="CM88" s="21">
        <f>EXP(-LN(2)/2)*CM87+(1-EXP(-LN(2)/2))/(LN(2)/2)*CG88*CJ88*VLOOKUP('Données projet'!$B$12,Paramètres!$A$1:$I$89,3,0)*0.475*44/12</f>
        <v>4.6877705962087958E-3</v>
      </c>
      <c r="CN88" s="22">
        <f t="shared" si="66"/>
        <v>109.68850199128339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269</v>
      </c>
      <c r="CR88" s="12">
        <f>VLOOKUP(A88,'Données projet'!$A$139:$I$159,9,0)</f>
        <v>5.8</v>
      </c>
      <c r="CS88" s="12">
        <f t="array" ref="CS88">INDEX(CR:CR,MIN(IF(ISNUMBER(CR88:CR284),ROW(CR88:CR284),"")))</f>
        <v>5.8</v>
      </c>
      <c r="CT88" s="12">
        <f>IF('Données projet'!$A$140&gt;35,CT87+CS88-DB87,IF(A88&lt;'Données projet'!$A$140,$CQ$205^A88,IF(A88='Données projet'!$A$140,'Données projet'!$B$140,CT87+CS88-DB87)))</f>
        <v>269</v>
      </c>
      <c r="CU88" s="17">
        <f>CT88*VLOOKUP('Données projet'!$B$13,Paramètres!$A$1:$I$89,3,0)*VLOOKUP('Données projet'!$B$13,Paramètres!$A$1:$I$89,5,0)</f>
        <v>289.55160000000001</v>
      </c>
      <c r="CV88" s="13">
        <f t="shared" si="95"/>
        <v>68.981578990770117</v>
      </c>
      <c r="CW88" s="20">
        <f t="shared" si="67"/>
        <v>624.44528674225796</v>
      </c>
      <c r="CX88" s="57">
        <f t="shared" si="68"/>
        <v>917.77862007559133</v>
      </c>
      <c r="CY88" s="57">
        <f ca="1">AVERAGE(OFFSET($CX$3,0,0,'Données projet'!$E$13+1,1))-AVERAGE(OFFSET($H$3,0,0,'Données projet'!$E$13+1,1))</f>
        <v>436.59978658837537</v>
      </c>
      <c r="CZ88" s="57">
        <f t="shared" si="96"/>
        <v>267.2998309535638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21</v>
      </c>
      <c r="DC88" s="16">
        <f>IF(ISNA(VLOOKUP(A88,'Données projet'!$A$139:$I$159,5,0)),0%,VLOOKUP(A88,'Données projet'!$A$139:$I$159,5,0)*VLOOKUP('Données projet'!$B$13,Paramètres!$A$1:$I$89,7,0))</f>
        <v>0.25800000000000001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31.443275081702833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31.443275081702833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200</v>
      </c>
      <c r="DM88" s="12">
        <f>VLOOKUP(A88,'Données projet'!$A$165:$I$185,9,0)</f>
        <v>4.4000000000000004</v>
      </c>
      <c r="DN88" s="12">
        <f t="array" ref="DN88">INDEX(DM:DM,MIN(IF(ISNUMBER(DM88:DM284),ROW(DM88:DM284),"")))</f>
        <v>4.4000000000000004</v>
      </c>
      <c r="DO88" s="12">
        <f>IF('Données projet'!$A$166&gt;35,DO87+DN88-DW87,IF(A88&lt;'Données projet'!$A$166,$DL$205^A88,IF(A88='Données projet'!$A$166,'Données projet'!$B$166,DO87+DN88-DW87)))</f>
        <v>200</v>
      </c>
      <c r="DP88" s="17">
        <f>DO88*VLOOKUP('Données projet'!$B$14,Paramètres!$A$1:$I$89,3,0)*VLOOKUP('Données projet'!$B$14,Paramètres!$A$1:$I$89,5,0)</f>
        <v>190.32</v>
      </c>
      <c r="DQ88" s="13">
        <f t="shared" si="97"/>
        <v>47.61069337740188</v>
      </c>
      <c r="DR88" s="20">
        <f t="shared" si="70"/>
        <v>414.39595763230818</v>
      </c>
      <c r="DS88" s="57">
        <f t="shared" si="71"/>
        <v>707.72929096564144</v>
      </c>
      <c r="DT88" s="57">
        <f ca="1">AVERAGE(OFFSET($DS$3,0,0,'Données projet'!$E$14+1,1))-AVERAGE(OFFSET($H$3,0,0,'Données projet'!$E$14+1,1))</f>
        <v>292.95981568144879</v>
      </c>
      <c r="DU88" s="57">
        <f t="shared" si="98"/>
        <v>152.23954167722536</v>
      </c>
      <c r="DV88" s="15">
        <f>IF(ISNA(VLOOKUP(A88,'Données projet'!$A$165:$I$185,3,0)),0,VLOOKUP(A88,'Données projet'!$A$165:$I$185,3,0))</f>
        <v>13</v>
      </c>
      <c r="DW88" s="15">
        <f>IF(ISNA(VLOOKUP(A88,'Données projet'!$A$165:$I$185,4,0)),0,VLOOKUP(A88,'Données projet'!$A$165:$I$185,4,0))</f>
        <v>14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16.785045816832906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16.785045816832906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7" t="e">
        <f t="shared" si="74"/>
        <v>#N/A</v>
      </c>
      <c r="EO88" s="57" t="e">
        <f ca="1">AVERAGE(OFFSET($EN$3,0,0,'Données projet'!$E$15+1,1))-AVERAGE(OFFSET($H$3,0,0,'Données projet'!$E$15+1,1))</f>
        <v>#N/A</v>
      </c>
      <c r="EP88" s="57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7" t="e">
        <f t="shared" si="77"/>
        <v>#N/A</v>
      </c>
      <c r="FJ88" s="57" t="e">
        <f ca="1">AVERAGE(OFFSET($FI$3,0,0,'Données projet'!$E$16+1,1))-AVERAGE(OFFSET($H$3,0,0,'Données projet'!$E$16+1,1))</f>
        <v>#N/A</v>
      </c>
      <c r="FK88" s="57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7" t="e">
        <f t="shared" si="80"/>
        <v>#N/A</v>
      </c>
      <c r="GE88" s="57" t="e">
        <f ca="1">AVERAGE(OFFSET($GD$3,0,0,'Données projet'!$E$17+1,1))-AVERAGE(OFFSET($H$3,0,0,'Données projet'!$E$17+1,1))</f>
        <v>#N/A</v>
      </c>
      <c r="GF88" s="57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7" t="e">
        <f t="shared" si="83"/>
        <v>#N/A</v>
      </c>
      <c r="GZ88" s="57" t="e">
        <f ca="1">AVERAGE(OFFSET($GY$3,0,0,'Données projet'!$E$18+1,1))-AVERAGE(OFFSET($H$3,0,0,'Données projet'!$E$18+1,1))</f>
        <v>#N/A</v>
      </c>
      <c r="HA88" s="57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1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5">
        <f t="shared" si="56"/>
        <v>256.66666666666669</v>
      </c>
      <c r="I89" s="6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253.39999999999998</v>
      </c>
      <c r="O89" s="13">
        <f>N89*VLOOKUP('Données projet'!$B$9,Paramètres!$A$1:$I$89,3,0)*VLOOKUP('Données projet'!$B$9,Paramètres!$A$1:$I$89,5,0)</f>
        <v>229.27631999999997</v>
      </c>
      <c r="P89" s="13">
        <f t="shared" si="87"/>
        <v>56.126176307517476</v>
      </c>
      <c r="Q89" s="20">
        <f t="shared" si="54"/>
        <v>497.07601440225949</v>
      </c>
      <c r="R89" s="57">
        <f t="shared" si="55"/>
        <v>790.40934773559275</v>
      </c>
      <c r="S89" s="57">
        <f ca="1">AVERAGE(OFFSET($R$3,0,0,'Données projet'!$E$9+1,1))-AVERAGE(OFFSET($H$3,0,0,'Données projet'!$E$9+1,1))</f>
        <v>373.45926089889866</v>
      </c>
      <c r="T89" s="57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25.912291519993822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25.912291519993822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253.39999999999998</v>
      </c>
      <c r="AJ89" s="13">
        <f>AI89*VLOOKUP('Données projet'!$B$10,Paramètres!$A$1:$I$89,3,0)*VLOOKUP('Données projet'!$B$10,Paramètres!$A$1:$I$89,5,0)</f>
        <v>241.13543999999999</v>
      </c>
      <c r="AK89" s="13">
        <f t="shared" si="89"/>
        <v>58.6837587821827</v>
      </c>
      <c r="AL89" s="20">
        <f t="shared" si="58"/>
        <v>522.18510454563489</v>
      </c>
      <c r="AM89" s="57">
        <f t="shared" si="59"/>
        <v>815.51843787896814</v>
      </c>
      <c r="AN89" s="57">
        <f ca="1">AVERAGE(OFFSET($AM$3,0,0,'Données projet'!$E$10+1,1))-AVERAGE(OFFSET($H$3,0,0,'Données projet'!$E$10+1,1))</f>
        <v>390.70240761116355</v>
      </c>
      <c r="AO89" s="57">
        <f t="shared" si="90"/>
        <v>241.18285512887638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27.252582460683151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27.252582460683151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253.39999999999998</v>
      </c>
      <c r="BE89" s="13">
        <f>BD89*VLOOKUP('Données projet'!$B$11,Paramètres!$A$1:$I$89,3,0)*VLOOKUP('Données projet'!$B$11,Paramètres!$A$1:$I$89,5,0)</f>
        <v>245.08847999999998</v>
      </c>
      <c r="BF89" s="13">
        <f t="shared" si="91"/>
        <v>59.533001333771132</v>
      </c>
      <c r="BG89" s="20">
        <f t="shared" si="61"/>
        <v>530.54907998965132</v>
      </c>
      <c r="BH89" s="57">
        <f t="shared" si="62"/>
        <v>823.88241332298458</v>
      </c>
      <c r="BI89" s="57">
        <f ca="1">AVERAGE(OFFSET($BH$3,0,0,'Données projet'!$E$11+1,1))-AVERAGE(OFFSET($H$3,0,0,'Données projet'!$E$11+1,1))</f>
        <v>396.44612884768748</v>
      </c>
      <c r="BJ89" s="57">
        <f t="shared" si="92"/>
        <v>244.451492444461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27.699346107579608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27.699346107579608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3.4106051316484809E-13</v>
      </c>
      <c r="BZ89" s="13">
        <f>BY89*VLOOKUP('Données projet'!$B$12,Paramètres!$A$1:$I$89,3,0)*VLOOKUP('Données projet'!$B$12,Paramètres!$A$1:$I$89,5,0)</f>
        <v>2.0395418687257919E-13</v>
      </c>
      <c r="CA89" s="13">
        <f t="shared" si="93"/>
        <v>2.8200388570161721E-12</v>
      </c>
      <c r="CB89" s="20">
        <f t="shared" si="64"/>
        <v>5.2667878847729083E-12</v>
      </c>
      <c r="CC89" s="57">
        <f t="shared" si="65"/>
        <v>293.3333333333386</v>
      </c>
      <c r="CD89" s="57">
        <f ca="1">AVERAGE(OFFSET($CC$3,0,0,'Données projet'!$E$12+1,1))-AVERAGE(OFFSET($H$3,0,0,'Données projet'!$E$12+1,1))</f>
        <v>259.64096626089821</v>
      </c>
      <c r="CE89" s="57">
        <f t="shared" si="94"/>
        <v>258.1415293081597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90.160238165284866</v>
      </c>
      <c r="CL89" s="21">
        <f>EXP(-LN(2)/25)*CL88+(1-EXP(-LN(2)/25))/(LN(2)/25)*Calculateur!CG89*Calculateur!CI89*VLOOKUP('Données projet'!$B$12,Paramètres!$A$1:$I$89,3,0)*0.475*44/12</f>
        <v>17.235665669367474</v>
      </c>
      <c r="CM89" s="21">
        <f>EXP(-LN(2)/2)*CM88+(1-EXP(-LN(2)/2))/(LN(2)/2)*CG89*CJ89*VLOOKUP('Données projet'!$B$12,Paramètres!$A$1:$I$89,3,0)*0.475*44/12</f>
        <v>3.3147543772261445E-3</v>
      </c>
      <c r="CN89" s="22">
        <f t="shared" si="66"/>
        <v>107.39921858902957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5.4</v>
      </c>
      <c r="CT89" s="12">
        <f>IF('Données projet'!$A$140&gt;35,CT88+CS89-DB88,IF(A89&lt;'Données projet'!$A$140,$CQ$205^A89,IF(A89='Données projet'!$A$140,'Données projet'!$B$140,CT88+CS89-DB88)))</f>
        <v>253.39999999999998</v>
      </c>
      <c r="CU89" s="17">
        <f>CT89*VLOOKUP('Données projet'!$B$13,Paramètres!$A$1:$I$89,3,0)*VLOOKUP('Données projet'!$B$13,Paramètres!$A$1:$I$89,5,0)</f>
        <v>272.75975999999997</v>
      </c>
      <c r="CV89" s="13">
        <f t="shared" si="95"/>
        <v>65.434612913022505</v>
      </c>
      <c r="CW89" s="20">
        <f t="shared" si="67"/>
        <v>589.02186615684741</v>
      </c>
      <c r="CX89" s="57">
        <f t="shared" si="68"/>
        <v>882.35519949018067</v>
      </c>
      <c r="CY89" s="57">
        <f ca="1">AVERAGE(OFFSET($CX$3,0,0,'Données projet'!$E$13+1,1))-AVERAGE(OFFSET($H$3,0,0,'Données projet'!$E$13+1,1))</f>
        <v>436.59978658837537</v>
      </c>
      <c r="CZ89" s="57">
        <f t="shared" si="96"/>
        <v>267.2998309535638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30.826691635854718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30.826691635854718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4.2</v>
      </c>
      <c r="DO89" s="12">
        <f>IF('Données projet'!$A$166&gt;35,DO88+DN89-DW88,IF(A89&lt;'Données projet'!$A$166,$DL$205^A89,IF(A89='Données projet'!$A$166,'Données projet'!$B$166,DO88+DN89-DW88)))</f>
        <v>190.2</v>
      </c>
      <c r="DP89" s="17">
        <f>DO89*VLOOKUP('Données projet'!$B$14,Paramètres!$A$1:$I$89,3,0)*VLOOKUP('Données projet'!$B$14,Paramètres!$A$1:$I$89,5,0)</f>
        <v>180.99431999999999</v>
      </c>
      <c r="DQ89" s="13">
        <f t="shared" si="97"/>
        <v>45.543333072238994</v>
      </c>
      <c r="DR89" s="20">
        <f t="shared" si="70"/>
        <v>394.55307910081621</v>
      </c>
      <c r="DS89" s="57">
        <f t="shared" si="71"/>
        <v>687.88641243414952</v>
      </c>
      <c r="DT89" s="57">
        <f ca="1">AVERAGE(OFFSET($DS$3,0,0,'Données projet'!$E$14+1,1))-AVERAGE(OFFSET($H$3,0,0,'Données projet'!$E$14+1,1))</f>
        <v>292.95981568144879</v>
      </c>
      <c r="DU89" s="57">
        <f t="shared" si="98"/>
        <v>152.23954167722536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16.455901306231855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16.455901306231855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7" t="e">
        <f t="shared" si="74"/>
        <v>#N/A</v>
      </c>
      <c r="EO89" s="57" t="e">
        <f ca="1">AVERAGE(OFFSET($EN$3,0,0,'Données projet'!$E$15+1,1))-AVERAGE(OFFSET($H$3,0,0,'Données projet'!$E$15+1,1))</f>
        <v>#N/A</v>
      </c>
      <c r="EP89" s="57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7" t="e">
        <f t="shared" si="77"/>
        <v>#N/A</v>
      </c>
      <c r="FJ89" s="57" t="e">
        <f ca="1">AVERAGE(OFFSET($FI$3,0,0,'Données projet'!$E$16+1,1))-AVERAGE(OFFSET($H$3,0,0,'Données projet'!$E$16+1,1))</f>
        <v>#N/A</v>
      </c>
      <c r="FK89" s="57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7" t="e">
        <f t="shared" si="80"/>
        <v>#N/A</v>
      </c>
      <c r="GE89" s="57" t="e">
        <f ca="1">AVERAGE(OFFSET($GD$3,0,0,'Données projet'!$E$17+1,1))-AVERAGE(OFFSET($H$3,0,0,'Données projet'!$E$17+1,1))</f>
        <v>#N/A</v>
      </c>
      <c r="GF89" s="57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7" t="e">
        <f t="shared" si="83"/>
        <v>#N/A</v>
      </c>
      <c r="GZ89" s="57" t="e">
        <f ca="1">AVERAGE(OFFSET($GY$3,0,0,'Données projet'!$E$18+1,1))-AVERAGE(OFFSET($H$3,0,0,'Données projet'!$E$18+1,1))</f>
        <v>#N/A</v>
      </c>
      <c r="HA89" s="57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1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5">
        <f t="shared" si="56"/>
        <v>256.66666666666669</v>
      </c>
      <c r="I90" s="6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258.79999999999995</v>
      </c>
      <c r="O90" s="13">
        <f>N90*VLOOKUP('Données projet'!$B$9,Paramètres!$A$1:$I$89,3,0)*VLOOKUP('Données projet'!$B$9,Paramètres!$A$1:$I$89,5,0)</f>
        <v>234.16223999999994</v>
      </c>
      <c r="P90" s="13">
        <f t="shared" si="87"/>
        <v>57.181713578143096</v>
      </c>
      <c r="Q90" s="20">
        <f t="shared" si="54"/>
        <v>507.42405248193245</v>
      </c>
      <c r="R90" s="57">
        <f t="shared" si="55"/>
        <v>800.75738581526571</v>
      </c>
      <c r="S90" s="57">
        <f ca="1">AVERAGE(OFFSET($R$3,0,0,'Données projet'!$E$9+1,1))-AVERAGE(OFFSET($H$3,0,0,'Données projet'!$E$9+1,1))</f>
        <v>373.45926089889866</v>
      </c>
      <c r="T90" s="57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25.404167288223963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25.404167288223963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258.79999999999995</v>
      </c>
      <c r="AJ90" s="13">
        <f>AI90*VLOOKUP('Données projet'!$B$10,Paramètres!$A$1:$I$89,3,0)*VLOOKUP('Données projet'!$B$10,Paramètres!$A$1:$I$89,5,0)</f>
        <v>246.27407999999997</v>
      </c>
      <c r="AK90" s="13">
        <f t="shared" si="89"/>
        <v>59.787395242924475</v>
      </c>
      <c r="AL90" s="20">
        <f t="shared" si="58"/>
        <v>533.05706938142669</v>
      </c>
      <c r="AM90" s="57">
        <f t="shared" si="59"/>
        <v>826.39040271476006</v>
      </c>
      <c r="AN90" s="57">
        <f ca="1">AVERAGE(OFFSET($AM$3,0,0,'Données projet'!$E$10+1,1))-AVERAGE(OFFSET($H$3,0,0,'Données projet'!$E$10+1,1))</f>
        <v>390.70240761116355</v>
      </c>
      <c r="AO90" s="57">
        <f t="shared" si="90"/>
        <v>241.18285512887638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26.718175941063127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26.718175941063127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258.79999999999995</v>
      </c>
      <c r="BE90" s="13">
        <f>BD90*VLOOKUP('Données projet'!$B$11,Paramètres!$A$1:$I$89,3,0)*VLOOKUP('Données projet'!$B$11,Paramètres!$A$1:$I$89,5,0)</f>
        <v>250.31135999999995</v>
      </c>
      <c r="BF90" s="13">
        <f t="shared" si="91"/>
        <v>60.65260907964182</v>
      </c>
      <c r="BG90" s="20">
        <f t="shared" si="61"/>
        <v>541.59557948037605</v>
      </c>
      <c r="BH90" s="57">
        <f t="shared" si="62"/>
        <v>834.9289128137093</v>
      </c>
      <c r="BI90" s="57">
        <f ca="1">AVERAGE(OFFSET($BH$3,0,0,'Données projet'!$E$11+1,1))-AVERAGE(OFFSET($H$3,0,0,'Données projet'!$E$11+1,1))</f>
        <v>396.44612884768748</v>
      </c>
      <c r="BJ90" s="57">
        <f t="shared" si="92"/>
        <v>244.451492444461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27.15617882534286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27.15617882534286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3.4106051316484809E-13</v>
      </c>
      <c r="BZ90" s="13">
        <f>BY90*VLOOKUP('Données projet'!$B$12,Paramètres!$A$1:$I$89,3,0)*VLOOKUP('Données projet'!$B$12,Paramètres!$A$1:$I$89,5,0)</f>
        <v>2.0395418687257919E-13</v>
      </c>
      <c r="CA90" s="13">
        <f t="shared" si="93"/>
        <v>2.8200388570161721E-12</v>
      </c>
      <c r="CB90" s="20">
        <f t="shared" si="64"/>
        <v>5.2667878847729083E-12</v>
      </c>
      <c r="CC90" s="57">
        <f t="shared" si="65"/>
        <v>293.3333333333386</v>
      </c>
      <c r="CD90" s="57">
        <f ca="1">AVERAGE(OFFSET($CC$3,0,0,'Données projet'!$E$12+1,1))-AVERAGE(OFFSET($H$3,0,0,'Données projet'!$E$12+1,1))</f>
        <v>259.64096626089821</v>
      </c>
      <c r="CE90" s="57">
        <f t="shared" si="94"/>
        <v>258.1415293081597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88.392250887178875</v>
      </c>
      <c r="CL90" s="21">
        <f>EXP(-LN(2)/25)*CL89+(1-EXP(-LN(2)/25))/(LN(2)/25)*Calculateur!CG90*Calculateur!CI90*VLOOKUP('Données projet'!$B$12,Paramètres!$A$1:$I$89,3,0)*0.475*44/12</f>
        <v>16.764355485254356</v>
      </c>
      <c r="CM90" s="21">
        <f>EXP(-LN(2)/2)*CM89+(1-EXP(-LN(2)/2))/(LN(2)/2)*CG90*CJ90*VLOOKUP('Données projet'!$B$12,Paramètres!$A$1:$I$89,3,0)*0.475*44/12</f>
        <v>2.3438852981043979E-3</v>
      </c>
      <c r="CN90" s="22">
        <f t="shared" si="66"/>
        <v>105.15895025773133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5.4</v>
      </c>
      <c r="CT90" s="12">
        <f>IF('Données projet'!$A$140&gt;35,CT89+CS90-DB89,IF(A90&lt;'Données projet'!$A$140,$CQ$205^A90,IF(A90='Données projet'!$A$140,'Données projet'!$B$140,CT89+CS90-DB89)))</f>
        <v>258.79999999999995</v>
      </c>
      <c r="CU90" s="17">
        <f>CT90*VLOOKUP('Données projet'!$B$13,Paramètres!$A$1:$I$89,3,0)*VLOOKUP('Données projet'!$B$13,Paramètres!$A$1:$I$89,5,0)</f>
        <v>278.57231999999993</v>
      </c>
      <c r="CV90" s="13">
        <f t="shared" si="95"/>
        <v>66.665209352377758</v>
      </c>
      <c r="CW90" s="20">
        <f t="shared" si="67"/>
        <v>601.28869695539117</v>
      </c>
      <c r="CX90" s="57">
        <f t="shared" si="68"/>
        <v>894.62203028872455</v>
      </c>
      <c r="CY90" s="57">
        <f ca="1">AVERAGE(OFFSET($CX$3,0,0,'Données projet'!$E$13+1,1))-AVERAGE(OFFSET($H$3,0,0,'Données projet'!$E$13+1,1))</f>
        <v>436.59978658837537</v>
      </c>
      <c r="CZ90" s="57">
        <f t="shared" si="96"/>
        <v>267.2998309535638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30.222199015300919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30.222199015300919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4.2</v>
      </c>
      <c r="DO90" s="12">
        <f>IF('Données projet'!$A$166&gt;35,DO89+DN90-DW89,IF(A90&lt;'Données projet'!$A$166,$DL$205^A90,IF(A90='Données projet'!$A$166,'Données projet'!$B$166,DO89+DN90-DW89)))</f>
        <v>194.39999999999998</v>
      </c>
      <c r="DP90" s="17">
        <f>DO90*VLOOKUP('Données projet'!$B$14,Paramètres!$A$1:$I$89,3,0)*VLOOKUP('Données projet'!$B$14,Paramètres!$A$1:$I$89,5,0)</f>
        <v>184.99104</v>
      </c>
      <c r="DQ90" s="13">
        <f t="shared" si="97"/>
        <v>46.430826882655644</v>
      </c>
      <c r="DR90" s="20">
        <f t="shared" si="70"/>
        <v>403.05975148729186</v>
      </c>
      <c r="DS90" s="57">
        <f t="shared" si="71"/>
        <v>696.39308482062518</v>
      </c>
      <c r="DT90" s="57">
        <f ca="1">AVERAGE(OFFSET($DS$3,0,0,'Données projet'!$E$14+1,1))-AVERAGE(OFFSET($H$3,0,0,'Données projet'!$E$14+1,1))</f>
        <v>292.95981568144879</v>
      </c>
      <c r="DU90" s="57">
        <f t="shared" si="98"/>
        <v>152.23954167722536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16.133211118725363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16.133211118725363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7" t="e">
        <f t="shared" si="74"/>
        <v>#N/A</v>
      </c>
      <c r="EO90" s="57" t="e">
        <f ca="1">AVERAGE(OFFSET($EN$3,0,0,'Données projet'!$E$15+1,1))-AVERAGE(OFFSET($H$3,0,0,'Données projet'!$E$15+1,1))</f>
        <v>#N/A</v>
      </c>
      <c r="EP90" s="57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7" t="e">
        <f t="shared" si="77"/>
        <v>#N/A</v>
      </c>
      <c r="FJ90" s="57" t="e">
        <f ca="1">AVERAGE(OFFSET($FI$3,0,0,'Données projet'!$E$16+1,1))-AVERAGE(OFFSET($H$3,0,0,'Données projet'!$E$16+1,1))</f>
        <v>#N/A</v>
      </c>
      <c r="FK90" s="57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7" t="e">
        <f t="shared" si="80"/>
        <v>#N/A</v>
      </c>
      <c r="GE90" s="57" t="e">
        <f ca="1">AVERAGE(OFFSET($GD$3,0,0,'Données projet'!$E$17+1,1))-AVERAGE(OFFSET($H$3,0,0,'Données projet'!$E$17+1,1))</f>
        <v>#N/A</v>
      </c>
      <c r="GF90" s="57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7" t="e">
        <f t="shared" si="83"/>
        <v>#N/A</v>
      </c>
      <c r="GZ90" s="57" t="e">
        <f ca="1">AVERAGE(OFFSET($GY$3,0,0,'Données projet'!$E$18+1,1))-AVERAGE(OFFSET($H$3,0,0,'Données projet'!$E$18+1,1))</f>
        <v>#N/A</v>
      </c>
      <c r="HA90" s="57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1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5">
        <f t="shared" si="56"/>
        <v>256.66666666666669</v>
      </c>
      <c r="I91" s="6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264.19999999999993</v>
      </c>
      <c r="O91" s="13">
        <f>N91*VLOOKUP('Données projet'!$B$9,Paramètres!$A$1:$I$89,3,0)*VLOOKUP('Données projet'!$B$9,Paramètres!$A$1:$I$89,5,0)</f>
        <v>239.04815999999994</v>
      </c>
      <c r="P91" s="13">
        <f t="shared" si="87"/>
        <v>58.234690128947292</v>
      </c>
      <c r="Q91" s="20">
        <f t="shared" si="54"/>
        <v>517.76763064124975</v>
      </c>
      <c r="R91" s="57">
        <f t="shared" si="55"/>
        <v>811.10096397458301</v>
      </c>
      <c r="S91" s="57">
        <f ca="1">AVERAGE(OFFSET($R$3,0,0,'Données projet'!$E$9+1,1))-AVERAGE(OFFSET($H$3,0,0,'Données projet'!$E$9+1,1))</f>
        <v>373.45926089889866</v>
      </c>
      <c r="T91" s="57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24.906007062713932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24.906007062713932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264.19999999999993</v>
      </c>
      <c r="AJ91" s="13">
        <f>AI91*VLOOKUP('Données projet'!$B$10,Paramètres!$A$1:$I$89,3,0)*VLOOKUP('Données projet'!$B$10,Paramètres!$A$1:$I$89,5,0)</f>
        <v>251.41271999999992</v>
      </c>
      <c r="AK91" s="13">
        <f t="shared" si="89"/>
        <v>60.888354295829195</v>
      </c>
      <c r="AL91" s="20">
        <f t="shared" si="58"/>
        <v>543.92437106523562</v>
      </c>
      <c r="AM91" s="57">
        <f t="shared" si="59"/>
        <v>837.25770439856888</v>
      </c>
      <c r="AN91" s="57">
        <f ca="1">AVERAGE(OFFSET($AM$3,0,0,'Données projet'!$E$10+1,1))-AVERAGE(OFFSET($H$3,0,0,'Données projet'!$E$10+1,1))</f>
        <v>390.70240761116355</v>
      </c>
      <c r="AO91" s="57">
        <f t="shared" si="90"/>
        <v>241.18285512887638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26.194248807337058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26.194248807337058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264.19999999999993</v>
      </c>
      <c r="BE91" s="13">
        <f>BD91*VLOOKUP('Données projet'!$B$11,Paramètres!$A$1:$I$89,3,0)*VLOOKUP('Données projet'!$B$11,Paramètres!$A$1:$I$89,5,0)</f>
        <v>255.53423999999993</v>
      </c>
      <c r="BF91" s="13">
        <f t="shared" si="91"/>
        <v>61.769500671543469</v>
      </c>
      <c r="BG91" s="20">
        <f t="shared" si="61"/>
        <v>552.63734833627143</v>
      </c>
      <c r="BH91" s="57">
        <f t="shared" si="62"/>
        <v>845.9706816696048</v>
      </c>
      <c r="BI91" s="57">
        <f ca="1">AVERAGE(OFFSET($BH$3,0,0,'Données projet'!$E$11+1,1))-AVERAGE(OFFSET($H$3,0,0,'Données projet'!$E$11+1,1))</f>
        <v>396.44612884768748</v>
      </c>
      <c r="BJ91" s="57">
        <f t="shared" si="92"/>
        <v>244.451492444461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26.623662722211446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26.623662722211446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3.4106051316484809E-13</v>
      </c>
      <c r="BZ91" s="13">
        <f>BY91*VLOOKUP('Données projet'!$B$12,Paramètres!$A$1:$I$89,3,0)*VLOOKUP('Données projet'!$B$12,Paramètres!$A$1:$I$89,5,0)</f>
        <v>2.0395418687257919E-13</v>
      </c>
      <c r="CA91" s="13">
        <f t="shared" si="93"/>
        <v>2.8200388570161721E-12</v>
      </c>
      <c r="CB91" s="20">
        <f t="shared" si="64"/>
        <v>5.2667878847729083E-12</v>
      </c>
      <c r="CC91" s="57">
        <f t="shared" si="65"/>
        <v>293.3333333333386</v>
      </c>
      <c r="CD91" s="57">
        <f ca="1">AVERAGE(OFFSET($CC$3,0,0,'Données projet'!$E$12+1,1))-AVERAGE(OFFSET($H$3,0,0,'Données projet'!$E$12+1,1))</f>
        <v>259.64096626089821</v>
      </c>
      <c r="CE91" s="57">
        <f t="shared" si="94"/>
        <v>258.1415293081597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86.658932761230773</v>
      </c>
      <c r="CL91" s="21">
        <f>EXP(-LN(2)/25)*CL90+(1-EXP(-LN(2)/25))/(LN(2)/25)*Calculateur!CG91*Calculateur!CI91*VLOOKUP('Données projet'!$B$12,Paramètres!$A$1:$I$89,3,0)*0.475*44/12</f>
        <v>16.305933302910937</v>
      </c>
      <c r="CM91" s="21">
        <f>EXP(-LN(2)/2)*CM90+(1-EXP(-LN(2)/2))/(LN(2)/2)*CG91*CJ91*VLOOKUP('Données projet'!$B$12,Paramètres!$A$1:$I$89,3,0)*0.475*44/12</f>
        <v>1.6573771886130722E-3</v>
      </c>
      <c r="CN91" s="22">
        <f t="shared" si="66"/>
        <v>102.96652344133032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5.4</v>
      </c>
      <c r="CT91" s="12">
        <f>IF('Données projet'!$A$140&gt;35,CT90+CS91-DB90,IF(A91&lt;'Données projet'!$A$140,$CQ$205^A91,IF(A91='Données projet'!$A$140,'Données projet'!$B$140,CT90+CS91-DB90)))</f>
        <v>264.19999999999993</v>
      </c>
      <c r="CU91" s="17">
        <f>CT91*VLOOKUP('Données projet'!$B$13,Paramètres!$A$1:$I$89,3,0)*VLOOKUP('Données projet'!$B$13,Paramètres!$A$1:$I$89,5,0)</f>
        <v>284.3848799999999</v>
      </c>
      <c r="CV91" s="13">
        <f t="shared" si="95"/>
        <v>67.892820380623291</v>
      </c>
      <c r="CW91" s="20">
        <f t="shared" si="67"/>
        <v>613.55032816291862</v>
      </c>
      <c r="CX91" s="57">
        <f t="shared" si="68"/>
        <v>906.88366149625199</v>
      </c>
      <c r="CY91" s="57">
        <f ca="1">AVERAGE(OFFSET($CX$3,0,0,'Données projet'!$E$13+1,1))-AVERAGE(OFFSET($H$3,0,0,'Données projet'!$E$13+1,1))</f>
        <v>436.59978658837537</v>
      </c>
      <c r="CZ91" s="57">
        <f t="shared" si="96"/>
        <v>267.2998309535638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29.629560126332088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29.629560126332088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4.2</v>
      </c>
      <c r="DO91" s="12">
        <f>IF('Données projet'!$A$166&gt;35,DO90+DN91-DW90,IF(A91&lt;'Données projet'!$A$166,$DL$205^A91,IF(A91='Données projet'!$A$166,'Données projet'!$B$166,DO90+DN91-DW90)))</f>
        <v>198.59999999999997</v>
      </c>
      <c r="DP91" s="17">
        <f>DO91*VLOOKUP('Données projet'!$B$14,Paramètres!$A$1:$I$89,3,0)*VLOOKUP('Données projet'!$B$14,Paramètres!$A$1:$I$89,5,0)</f>
        <v>188.98775999999995</v>
      </c>
      <c r="DQ91" s="13">
        <f t="shared" si="97"/>
        <v>47.316091431214247</v>
      </c>
      <c r="DR91" s="20">
        <f t="shared" si="70"/>
        <v>411.56254124269799</v>
      </c>
      <c r="DS91" s="57">
        <f t="shared" si="71"/>
        <v>704.89587457603125</v>
      </c>
      <c r="DT91" s="57">
        <f ca="1">AVERAGE(OFFSET($DS$3,0,0,'Données projet'!$E$14+1,1))-AVERAGE(OFFSET($H$3,0,0,'Données projet'!$E$14+1,1))</f>
        <v>292.95981568144879</v>
      </c>
      <c r="DU91" s="57">
        <f t="shared" si="98"/>
        <v>152.23954167722536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15.816848688974293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15.816848688974293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7" t="e">
        <f t="shared" si="74"/>
        <v>#N/A</v>
      </c>
      <c r="EO91" s="57" t="e">
        <f ca="1">AVERAGE(OFFSET($EN$3,0,0,'Données projet'!$E$15+1,1))-AVERAGE(OFFSET($H$3,0,0,'Données projet'!$E$15+1,1))</f>
        <v>#N/A</v>
      </c>
      <c r="EP91" s="57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7" t="e">
        <f t="shared" si="77"/>
        <v>#N/A</v>
      </c>
      <c r="FJ91" s="57" t="e">
        <f ca="1">AVERAGE(OFFSET($FI$3,0,0,'Données projet'!$E$16+1,1))-AVERAGE(OFFSET($H$3,0,0,'Données projet'!$E$16+1,1))</f>
        <v>#N/A</v>
      </c>
      <c r="FK91" s="57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7" t="e">
        <f t="shared" si="80"/>
        <v>#N/A</v>
      </c>
      <c r="GE91" s="57" t="e">
        <f ca="1">AVERAGE(OFFSET($GD$3,0,0,'Données projet'!$E$17+1,1))-AVERAGE(OFFSET($H$3,0,0,'Données projet'!$E$17+1,1))</f>
        <v>#N/A</v>
      </c>
      <c r="GF91" s="57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7" t="e">
        <f t="shared" si="83"/>
        <v>#N/A</v>
      </c>
      <c r="GZ91" s="57" t="e">
        <f ca="1">AVERAGE(OFFSET($GY$3,0,0,'Données projet'!$E$18+1,1))-AVERAGE(OFFSET($H$3,0,0,'Données projet'!$E$18+1,1))</f>
        <v>#N/A</v>
      </c>
      <c r="HA91" s="57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1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5">
        <f t="shared" si="56"/>
        <v>256.66666666666669</v>
      </c>
      <c r="I92" s="6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269.59999999999991</v>
      </c>
      <c r="O92" s="13">
        <f>N92*VLOOKUP('Données projet'!$B$9,Paramètres!$A$1:$I$89,3,0)*VLOOKUP('Données projet'!$B$9,Paramètres!$A$1:$I$89,5,0)</f>
        <v>243.93407999999991</v>
      </c>
      <c r="P92" s="13">
        <f t="shared" si="87"/>
        <v>59.285164329617594</v>
      </c>
      <c r="Q92" s="20">
        <f t="shared" si="54"/>
        <v>528.10685054075043</v>
      </c>
      <c r="R92" s="57">
        <f t="shared" si="55"/>
        <v>821.44018387408369</v>
      </c>
      <c r="S92" s="57">
        <f ca="1">AVERAGE(OFFSET($R$3,0,0,'Données projet'!$E$9+1,1))-AVERAGE(OFFSET($H$3,0,0,'Données projet'!$E$9+1,1))</f>
        <v>373.45926089889866</v>
      </c>
      <c r="T92" s="57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24.417615455378417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24.417615455378417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269.59999999999991</v>
      </c>
      <c r="AJ92" s="13">
        <f>AI92*VLOOKUP('Données projet'!$B$10,Paramètres!$A$1:$I$89,3,0)*VLOOKUP('Données projet'!$B$10,Paramètres!$A$1:$I$89,5,0)</f>
        <v>256.55135999999987</v>
      </c>
      <c r="AK92" s="13">
        <f t="shared" si="89"/>
        <v>61.986696970400146</v>
      </c>
      <c r="AL92" s="20">
        <f t="shared" si="58"/>
        <v>554.78711589011334</v>
      </c>
      <c r="AM92" s="57">
        <f t="shared" si="59"/>
        <v>848.12044922344671</v>
      </c>
      <c r="AN92" s="57">
        <f ca="1">AVERAGE(OFFSET($AM$3,0,0,'Données projet'!$E$10+1,1))-AVERAGE(OFFSET($H$3,0,0,'Données projet'!$E$10+1,1))</f>
        <v>390.70240761116355</v>
      </c>
      <c r="AO92" s="57">
        <f t="shared" si="90"/>
        <v>241.18285512887638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25.68059556513936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25.68059556513936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269.59999999999991</v>
      </c>
      <c r="BE92" s="13">
        <f>BD92*VLOOKUP('Données projet'!$B$11,Paramètres!$A$1:$I$89,3,0)*VLOOKUP('Données projet'!$B$11,Paramètres!$A$1:$I$89,5,0)</f>
        <v>260.75711999999987</v>
      </c>
      <c r="BF92" s="13">
        <f t="shared" si="91"/>
        <v>62.883738022168366</v>
      </c>
      <c r="BG92" s="20">
        <f t="shared" si="61"/>
        <v>563.67449438860956</v>
      </c>
      <c r="BH92" s="57">
        <f t="shared" si="62"/>
        <v>857.00782772194293</v>
      </c>
      <c r="BI92" s="57">
        <f ca="1">AVERAGE(OFFSET($BH$3,0,0,'Données projet'!$E$11+1,1))-AVERAGE(OFFSET($H$3,0,0,'Données projet'!$E$11+1,1))</f>
        <v>396.44612884768748</v>
      </c>
      <c r="BJ92" s="57">
        <f t="shared" si="92"/>
        <v>244.451492444461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26.101588935059688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26.101588935059688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3.4106051316484809E-13</v>
      </c>
      <c r="BZ92" s="13">
        <f>BY92*VLOOKUP('Données projet'!$B$12,Paramètres!$A$1:$I$89,3,0)*VLOOKUP('Données projet'!$B$12,Paramètres!$A$1:$I$89,5,0)</f>
        <v>2.0395418687257919E-13</v>
      </c>
      <c r="CA92" s="13">
        <f t="shared" si="93"/>
        <v>2.8200388570161721E-12</v>
      </c>
      <c r="CB92" s="20">
        <f t="shared" si="64"/>
        <v>5.2667878847729083E-12</v>
      </c>
      <c r="CC92" s="57">
        <f t="shared" si="65"/>
        <v>293.3333333333386</v>
      </c>
      <c r="CD92" s="57">
        <f ca="1">AVERAGE(OFFSET($CC$3,0,0,'Données projet'!$E$12+1,1))-AVERAGE(OFFSET($H$3,0,0,'Données projet'!$E$12+1,1))</f>
        <v>259.64096626089821</v>
      </c>
      <c r="CE92" s="57">
        <f t="shared" si="94"/>
        <v>258.1415293081597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84.959603946512857</v>
      </c>
      <c r="CL92" s="21">
        <f>EXP(-LN(2)/25)*CL91+(1-EXP(-LN(2)/25))/(LN(2)/25)*Calculateur!CG92*Calculateur!CI92*VLOOKUP('Données projet'!$B$12,Paramètres!$A$1:$I$89,3,0)*0.475*44/12</f>
        <v>15.860046699251072</v>
      </c>
      <c r="CM92" s="21">
        <f>EXP(-LN(2)/2)*CM91+(1-EXP(-LN(2)/2))/(LN(2)/2)*CG92*CJ92*VLOOKUP('Données projet'!$B$12,Paramètres!$A$1:$I$89,3,0)*0.475*44/12</f>
        <v>1.171942649052199E-3</v>
      </c>
      <c r="CN92" s="22">
        <f t="shared" si="66"/>
        <v>100.82082258841298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5.4</v>
      </c>
      <c r="CT92" s="12">
        <f>IF('Données projet'!$A$140&gt;35,CT91+CS92-DB91,IF(A92&lt;'Données projet'!$A$140,$CQ$205^A92,IF(A92='Données projet'!$A$140,'Données projet'!$B$140,CT91+CS92-DB91)))</f>
        <v>269.59999999999991</v>
      </c>
      <c r="CU92" s="17">
        <f>CT92*VLOOKUP('Données projet'!$B$13,Paramètres!$A$1:$I$89,3,0)*VLOOKUP('Données projet'!$B$13,Paramètres!$A$1:$I$89,5,0)</f>
        <v>290.19743999999986</v>
      </c>
      <c r="CV92" s="13">
        <f t="shared" si="95"/>
        <v>69.117514047966026</v>
      </c>
      <c r="CW92" s="20">
        <f t="shared" si="67"/>
        <v>625.80687830020725</v>
      </c>
      <c r="CX92" s="57">
        <f t="shared" si="68"/>
        <v>919.1402116335405</v>
      </c>
      <c r="CY92" s="57">
        <f ca="1">AVERAGE(OFFSET($CX$3,0,0,'Données projet'!$E$13+1,1))-AVERAGE(OFFSET($H$3,0,0,'Données projet'!$E$13+1,1))</f>
        <v>436.59978658837537</v>
      </c>
      <c r="CZ92" s="57">
        <f t="shared" si="96"/>
        <v>267.2998309535638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29.048542524501904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29.048542524501904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4.2</v>
      </c>
      <c r="DO92" s="12">
        <f>IF('Données projet'!$A$166&gt;35,DO91+DN92-DW91,IF(A92&lt;'Données projet'!$A$166,$DL$205^A92,IF(A92='Données projet'!$A$166,'Données projet'!$B$166,DO91+DN92-DW91)))</f>
        <v>202.79999999999995</v>
      </c>
      <c r="DP92" s="17">
        <f>DO92*VLOOKUP('Données projet'!$B$14,Paramètres!$A$1:$I$89,3,0)*VLOOKUP('Données projet'!$B$14,Paramètres!$A$1:$I$89,5,0)</f>
        <v>192.98447999999996</v>
      </c>
      <c r="DQ92" s="13">
        <f t="shared" si="97"/>
        <v>48.199179293232802</v>
      </c>
      <c r="DR92" s="20">
        <f t="shared" si="70"/>
        <v>420.06153993571371</v>
      </c>
      <c r="DS92" s="57">
        <f t="shared" si="71"/>
        <v>713.39487326904703</v>
      </c>
      <c r="DT92" s="57">
        <f ca="1">AVERAGE(OFFSET($DS$3,0,0,'Données projet'!$E$14+1,1))-AVERAGE(OFFSET($H$3,0,0,'Données projet'!$E$14+1,1))</f>
        <v>292.95981568144879</v>
      </c>
      <c r="DU92" s="57">
        <f t="shared" si="98"/>
        <v>152.23954167722536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15.506689933508612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15.506689933508612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7" t="e">
        <f t="shared" si="74"/>
        <v>#N/A</v>
      </c>
      <c r="EO92" s="57" t="e">
        <f ca="1">AVERAGE(OFFSET($EN$3,0,0,'Données projet'!$E$15+1,1))-AVERAGE(OFFSET($H$3,0,0,'Données projet'!$E$15+1,1))</f>
        <v>#N/A</v>
      </c>
      <c r="EP92" s="57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7" t="e">
        <f t="shared" si="77"/>
        <v>#N/A</v>
      </c>
      <c r="FJ92" s="57" t="e">
        <f ca="1">AVERAGE(OFFSET($FI$3,0,0,'Données projet'!$E$16+1,1))-AVERAGE(OFFSET($H$3,0,0,'Données projet'!$E$16+1,1))</f>
        <v>#N/A</v>
      </c>
      <c r="FK92" s="57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7" t="e">
        <f t="shared" si="80"/>
        <v>#N/A</v>
      </c>
      <c r="GE92" s="57" t="e">
        <f ca="1">AVERAGE(OFFSET($GD$3,0,0,'Données projet'!$E$17+1,1))-AVERAGE(OFFSET($H$3,0,0,'Données projet'!$E$17+1,1))</f>
        <v>#N/A</v>
      </c>
      <c r="GF92" s="57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7" t="e">
        <f t="shared" si="83"/>
        <v>#N/A</v>
      </c>
      <c r="GZ92" s="57" t="e">
        <f ca="1">AVERAGE(OFFSET($GY$3,0,0,'Données projet'!$E$18+1,1))-AVERAGE(OFFSET($H$3,0,0,'Données projet'!$E$18+1,1))</f>
        <v>#N/A</v>
      </c>
      <c r="HA92" s="57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1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5">
        <f t="shared" si="56"/>
        <v>256.66666666666669</v>
      </c>
      <c r="I93" s="6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274.99999999999989</v>
      </c>
      <c r="O93" s="13">
        <f>N93*VLOOKUP('Données projet'!$B$9,Paramètres!$A$1:$I$89,3,0)*VLOOKUP('Données projet'!$B$9,Paramètres!$A$1:$I$89,5,0)</f>
        <v>248.81999999999988</v>
      </c>
      <c r="P93" s="13">
        <f t="shared" si="87"/>
        <v>60.333192077890018</v>
      </c>
      <c r="Q93" s="20">
        <f t="shared" si="54"/>
        <v>538.44180953565819</v>
      </c>
      <c r="R93" s="57">
        <f t="shared" si="55"/>
        <v>831.77514286899145</v>
      </c>
      <c r="S93" s="57">
        <f ca="1">AVERAGE(OFFSET($R$3,0,0,'Données projet'!$E$9+1,1))-AVERAGE(OFFSET($H$3,0,0,'Données projet'!$E$9+1,1))</f>
        <v>373.45926089889866</v>
      </c>
      <c r="T93" s="57">
        <f t="shared" si="88"/>
        <v>231.36959598460686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30.261252207389617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30.261252207389617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274.99999999999989</v>
      </c>
      <c r="AJ93" s="13">
        <f>AI93*VLOOKUP('Données projet'!$B$10,Paramètres!$A$1:$I$89,3,0)*VLOOKUP('Données projet'!$B$10,Paramètres!$A$1:$I$89,5,0)</f>
        <v>261.68999999999988</v>
      </c>
      <c r="AK93" s="13">
        <f t="shared" si="89"/>
        <v>63.082481711546343</v>
      </c>
      <c r="AL93" s="20">
        <f t="shared" si="58"/>
        <v>565.64540564760966</v>
      </c>
      <c r="AM93" s="57">
        <f t="shared" si="59"/>
        <v>858.97873898094304</v>
      </c>
      <c r="AN93" s="57">
        <f ca="1">AVERAGE(OFFSET($AM$3,0,0,'Données projet'!$E$10+1,1))-AVERAGE(OFFSET($H$3,0,0,'Données projet'!$E$10+1,1))</f>
        <v>390.70240761116355</v>
      </c>
      <c r="AO93" s="57">
        <f t="shared" si="90"/>
        <v>241.18285512887638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31.826489390530451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31.826489390530451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274.99999999999989</v>
      </c>
      <c r="BE93" s="13">
        <f>BD93*VLOOKUP('Données projet'!$B$11,Paramètres!$A$1:$I$89,3,0)*VLOOKUP('Données projet'!$B$11,Paramètres!$A$1:$I$89,5,0)</f>
        <v>265.97999999999985</v>
      </c>
      <c r="BF93" s="13">
        <f t="shared" si="91"/>
        <v>63.995380422211589</v>
      </c>
      <c r="BG93" s="20">
        <f t="shared" si="61"/>
        <v>574.70712090201823</v>
      </c>
      <c r="BH93" s="57">
        <f t="shared" si="62"/>
        <v>868.04045423535149</v>
      </c>
      <c r="BI93" s="57">
        <f ca="1">AVERAGE(OFFSET($BH$3,0,0,'Données projet'!$E$11+1,1))-AVERAGE(OFFSET($H$3,0,0,'Données projet'!$E$11+1,1))</f>
        <v>396.44612884768748</v>
      </c>
      <c r="BJ93" s="57">
        <f t="shared" si="92"/>
        <v>244.451492444461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32.348235118244077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32.348235118244077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3.4106051316484809E-13</v>
      </c>
      <c r="BZ93" s="13">
        <f>BY93*VLOOKUP('Données projet'!$B$12,Paramètres!$A$1:$I$89,3,0)*VLOOKUP('Données projet'!$B$12,Paramètres!$A$1:$I$89,5,0)</f>
        <v>2.0395418687257919E-13</v>
      </c>
      <c r="CA93" s="13">
        <f t="shared" si="93"/>
        <v>2.8200388570161721E-12</v>
      </c>
      <c r="CB93" s="20">
        <f t="shared" si="64"/>
        <v>5.2667878847729083E-12</v>
      </c>
      <c r="CC93" s="57">
        <f t="shared" si="65"/>
        <v>293.3333333333386</v>
      </c>
      <c r="CD93" s="57">
        <f ca="1">AVERAGE(OFFSET($CC$3,0,0,'Données projet'!$E$12+1,1))-AVERAGE(OFFSET($H$3,0,0,'Données projet'!$E$12+1,1))</f>
        <v>259.64096626089821</v>
      </c>
      <c r="CE93" s="57">
        <f t="shared" si="94"/>
        <v>258.1415293081597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83.29359793336333</v>
      </c>
      <c r="CL93" s="21">
        <f>EXP(-LN(2)/25)*CL92+(1-EXP(-LN(2)/25))/(LN(2)/25)*Calculateur!CG93*Calculateur!CI93*VLOOKUP('Données projet'!$B$12,Paramètres!$A$1:$I$89,3,0)*0.475*44/12</f>
        <v>15.426352888216444</v>
      </c>
      <c r="CM93" s="21">
        <f>EXP(-LN(2)/2)*CM92+(1-EXP(-LN(2)/2))/(LN(2)/2)*CG93*CJ93*VLOOKUP('Données projet'!$B$12,Paramètres!$A$1:$I$89,3,0)*0.475*44/12</f>
        <v>8.2868859430653612E-4</v>
      </c>
      <c r="CN93" s="22">
        <f t="shared" si="66"/>
        <v>98.720779510174083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275</v>
      </c>
      <c r="CR93" s="12">
        <f>VLOOKUP(A93,'Données projet'!$A$139:$I$159,9,0)</f>
        <v>5.4</v>
      </c>
      <c r="CS93" s="12">
        <f t="array" ref="CS93">INDEX(CR:CR,MIN(IF(ISNUMBER(CR93:CR289),ROW(CR93:CR289),"")))</f>
        <v>5.4</v>
      </c>
      <c r="CT93" s="12">
        <f>IF('Données projet'!$A$140&gt;35,CT92+CS93-DB92,IF(A93&lt;'Données projet'!$A$140,$CQ$205^A93,IF(A93='Données projet'!$A$140,'Données projet'!$B$140,CT92+CS93-DB92)))</f>
        <v>274.99999999999989</v>
      </c>
      <c r="CU93" s="17">
        <f>CT93*VLOOKUP('Données projet'!$B$13,Paramètres!$A$1:$I$89,3,0)*VLOOKUP('Données projet'!$B$13,Paramètres!$A$1:$I$89,5,0)</f>
        <v>296.00999999999988</v>
      </c>
      <c r="CV93" s="13">
        <f t="shared" si="95"/>
        <v>70.339355522692159</v>
      </c>
      <c r="CW93" s="20">
        <f t="shared" si="67"/>
        <v>638.0584608686886</v>
      </c>
      <c r="CX93" s="57">
        <f t="shared" si="68"/>
        <v>931.39179420202186</v>
      </c>
      <c r="CY93" s="57">
        <f ca="1">AVERAGE(OFFSET($CX$3,0,0,'Données projet'!$E$13+1,1))-AVERAGE(OFFSET($H$3,0,0,'Données projet'!$E$13+1,1))</f>
        <v>436.59978658837537</v>
      </c>
      <c r="CZ93" s="57">
        <f t="shared" si="96"/>
        <v>267.2998309535638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21</v>
      </c>
      <c r="DC93" s="16">
        <f>IF(ISNA(VLOOKUP(A93,'Données projet'!$A$139:$I$159,5,0)),0%,VLOOKUP(A93,'Données projet'!$A$139:$I$159,5,0)*VLOOKUP('Données projet'!$B$13,Paramètres!$A$1:$I$89,7,0))</f>
        <v>0.30099999999999999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36.000455212239366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36.000455212239366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207</v>
      </c>
      <c r="DM93" s="12">
        <f>VLOOKUP(A93,'Données projet'!$A$165:$I$185,9,0)</f>
        <v>4.2</v>
      </c>
      <c r="DN93" s="12">
        <f t="array" ref="DN93">INDEX(DM:DM,MIN(IF(ISNUMBER(DM93:DM289),ROW(DM93:DM289),"")))</f>
        <v>4.2</v>
      </c>
      <c r="DO93" s="12">
        <f>IF('Données projet'!$A$166&gt;35,DO92+DN93-DW92,IF(A93&lt;'Données projet'!$A$166,$DL$205^A93,IF(A93='Données projet'!$A$166,'Données projet'!$B$166,DO92+DN93-DW92)))</f>
        <v>206.99999999999994</v>
      </c>
      <c r="DP93" s="17">
        <f>DO93*VLOOKUP('Données projet'!$B$14,Paramètres!$A$1:$I$89,3,0)*VLOOKUP('Données projet'!$B$14,Paramètres!$A$1:$I$89,5,0)</f>
        <v>196.98119999999994</v>
      </c>
      <c r="DQ93" s="13">
        <f t="shared" si="97"/>
        <v>49.080140741894134</v>
      </c>
      <c r="DR93" s="20">
        <f t="shared" si="70"/>
        <v>428.55683512546551</v>
      </c>
      <c r="DS93" s="57">
        <f t="shared" si="71"/>
        <v>721.89016845879883</v>
      </c>
      <c r="DT93" s="57">
        <f ca="1">AVERAGE(OFFSET($DS$3,0,0,'Données projet'!$E$14+1,1))-AVERAGE(OFFSET($H$3,0,0,'Données projet'!$E$14+1,1))</f>
        <v>292.95981568144879</v>
      </c>
      <c r="DU93" s="57">
        <f t="shared" si="98"/>
        <v>152.23954167722536</v>
      </c>
      <c r="DV93" s="15">
        <f>IF(ISNA(VLOOKUP(A93,'Données projet'!$A$165:$I$185,3,0)),0,VLOOKUP(A93,'Données projet'!$A$165:$I$185,3,0))</f>
        <v>14</v>
      </c>
      <c r="DW93" s="15">
        <f>IF(ISNA(VLOOKUP(A93,'Données projet'!$A$165:$I$185,4,0)),0,VLOOKUP(A93,'Données projet'!$A$165:$I$185,4,0))</f>
        <v>14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19.002312996806214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19.002312996806214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7" t="e">
        <f t="shared" si="74"/>
        <v>#N/A</v>
      </c>
      <c r="EO93" s="57" t="e">
        <f ca="1">AVERAGE(OFFSET($EN$3,0,0,'Données projet'!$E$15+1,1))-AVERAGE(OFFSET($H$3,0,0,'Données projet'!$E$15+1,1))</f>
        <v>#N/A</v>
      </c>
      <c r="EP93" s="57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7" t="e">
        <f t="shared" si="77"/>
        <v>#N/A</v>
      </c>
      <c r="FJ93" s="57" t="e">
        <f ca="1">AVERAGE(OFFSET($FI$3,0,0,'Données projet'!$E$16+1,1))-AVERAGE(OFFSET($H$3,0,0,'Données projet'!$E$16+1,1))</f>
        <v>#N/A</v>
      </c>
      <c r="FK93" s="57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7" t="e">
        <f t="shared" si="80"/>
        <v>#N/A</v>
      </c>
      <c r="GE93" s="57" t="e">
        <f ca="1">AVERAGE(OFFSET($GD$3,0,0,'Données projet'!$E$17+1,1))-AVERAGE(OFFSET($H$3,0,0,'Données projet'!$E$17+1,1))</f>
        <v>#N/A</v>
      </c>
      <c r="GF93" s="57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7" t="e">
        <f t="shared" si="83"/>
        <v>#N/A</v>
      </c>
      <c r="GZ93" s="57" t="e">
        <f ca="1">AVERAGE(OFFSET($GY$3,0,0,'Données projet'!$E$18+1,1))-AVERAGE(OFFSET($H$3,0,0,'Données projet'!$E$18+1,1))</f>
        <v>#N/A</v>
      </c>
      <c r="HA93" s="57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1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5">
        <f t="shared" si="56"/>
        <v>256.66666666666669</v>
      </c>
      <c r="I94" s="6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</v>
      </c>
      <c r="N94" s="13">
        <f>IF('Données projet'!$A$36&gt;35,N93+M94-V93,IF(A94&lt;'Données projet'!$A$36,$K$205^A94,IF(A94='Données projet'!$A$36,'Données projet'!$B$36,N93+M94-V93)))</f>
        <v>260.99999999999989</v>
      </c>
      <c r="O94" s="13">
        <f>N94*VLOOKUP('Données projet'!$B$9,Paramètres!$A$1:$I$89,3,0)*VLOOKUP('Données projet'!$B$9,Paramètres!$A$1:$I$89,5,0)</f>
        <v>236.15279999999987</v>
      </c>
      <c r="P94" s="13">
        <f t="shared" si="87"/>
        <v>57.61100977459931</v>
      </c>
      <c r="Q94" s="20">
        <f t="shared" si="54"/>
        <v>511.63863535742689</v>
      </c>
      <c r="R94" s="57">
        <f t="shared" si="55"/>
        <v>804.97196869076015</v>
      </c>
      <c r="S94" s="57">
        <f ca="1">AVERAGE(OFFSET($R$3,0,0,'Données projet'!$E$9+1,1))-AVERAGE(OFFSET($H$3,0,0,'Données projet'!$E$9+1,1))</f>
        <v>373.45926089889866</v>
      </c>
      <c r="T94" s="57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29.667847509144021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29.667847509144021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</v>
      </c>
      <c r="AI94" s="13">
        <f>IF('Données projet'!$A$62&gt;35,AI93+AH94-AQ93,IF(A94&lt;'Données projet'!$A$62,$AF$205^A94,IF(A94='Données projet'!$A$62,'Données projet'!$B$62,AI93+AH94-AQ93)))</f>
        <v>260.99999999999989</v>
      </c>
      <c r="AJ94" s="13">
        <f>AI94*VLOOKUP('Données projet'!$B$10,Paramètres!$A$1:$I$89,3,0)*VLOOKUP('Données projet'!$B$10,Paramètres!$A$1:$I$89,5,0)</f>
        <v>248.3675999999999</v>
      </c>
      <c r="AK94" s="13">
        <f t="shared" si="89"/>
        <v>60.236253798706286</v>
      </c>
      <c r="AL94" s="20">
        <f t="shared" si="58"/>
        <v>537.48504536607982</v>
      </c>
      <c r="AM94" s="57">
        <f t="shared" si="59"/>
        <v>830.81837869941319</v>
      </c>
      <c r="AN94" s="57">
        <f ca="1">AVERAGE(OFFSET($AM$3,0,0,'Données projet'!$E$10+1,1))-AVERAGE(OFFSET($H$3,0,0,'Données projet'!$E$10+1,1))</f>
        <v>390.70240761116355</v>
      </c>
      <c r="AO94" s="57">
        <f t="shared" si="90"/>
        <v>241.18285512887638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31.202391345823877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31.202391345823877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</v>
      </c>
      <c r="BD94" s="12">
        <f>IF('Données projet'!$A$88&gt;35,BD93+BC94-BL93,IF(A94&lt;'Données projet'!$A$88,$BA$205^A94,IF(A94='Données projet'!$A$88,'Données projet'!$B$88,BD93+BC94-BL93)))</f>
        <v>260.99999999999989</v>
      </c>
      <c r="BE94" s="13">
        <f>BD94*VLOOKUP('Données projet'!$B$11,Paramètres!$A$1:$I$89,3,0)*VLOOKUP('Données projet'!$B$11,Paramètres!$A$1:$I$89,5,0)</f>
        <v>252.43919999999991</v>
      </c>
      <c r="BF94" s="13">
        <f t="shared" si="91"/>
        <v>61.107963296116218</v>
      </c>
      <c r="BG94" s="20">
        <f t="shared" si="61"/>
        <v>546.09464274073559</v>
      </c>
      <c r="BH94" s="57">
        <f t="shared" si="62"/>
        <v>839.42797607406897</v>
      </c>
      <c r="BI94" s="57">
        <f ca="1">AVERAGE(OFFSET($BH$3,0,0,'Données projet'!$E$11+1,1))-AVERAGE(OFFSET($H$3,0,0,'Données projet'!$E$11+1,1))</f>
        <v>396.44612884768748</v>
      </c>
      <c r="BJ94" s="57">
        <f t="shared" si="92"/>
        <v>244.451492444461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31.71390595805051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31.71390595805051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3.4106051316484809E-13</v>
      </c>
      <c r="BZ94" s="13">
        <f>BY94*VLOOKUP('Données projet'!$B$12,Paramètres!$A$1:$I$89,3,0)*VLOOKUP('Données projet'!$B$12,Paramètres!$A$1:$I$89,5,0)</f>
        <v>2.0395418687257919E-13</v>
      </c>
      <c r="CA94" s="13">
        <f t="shared" si="93"/>
        <v>2.8200388570161721E-12</v>
      </c>
      <c r="CB94" s="20">
        <f t="shared" si="64"/>
        <v>5.2667878847729083E-12</v>
      </c>
      <c r="CC94" s="57">
        <f t="shared" si="65"/>
        <v>293.3333333333386</v>
      </c>
      <c r="CD94" s="57">
        <f ca="1">AVERAGE(OFFSET($CC$3,0,0,'Données projet'!$E$12+1,1))-AVERAGE(OFFSET($H$3,0,0,'Données projet'!$E$12+1,1))</f>
        <v>259.64096626089821</v>
      </c>
      <c r="CE94" s="57">
        <f t="shared" si="94"/>
        <v>258.1415293081597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81.660261281968332</v>
      </c>
      <c r="CL94" s="21">
        <f>EXP(-LN(2)/25)*CL93+(1-EXP(-LN(2)/25))/(LN(2)/25)*Calculateur!CG94*Calculateur!CI94*VLOOKUP('Données projet'!$B$12,Paramètres!$A$1:$I$89,3,0)*0.475*44/12</f>
        <v>15.004518457251525</v>
      </c>
      <c r="CM94" s="21">
        <f>EXP(-LN(2)/2)*CM93+(1-EXP(-LN(2)/2))/(LN(2)/2)*CG94*CJ94*VLOOKUP('Données projet'!$B$12,Paramètres!$A$1:$I$89,3,0)*0.475*44/12</f>
        <v>5.8597132452609948E-4</v>
      </c>
      <c r="CN94" s="22">
        <f t="shared" si="66"/>
        <v>96.665365710544378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</v>
      </c>
      <c r="CT94" s="12">
        <f>IF('Données projet'!$A$140&gt;35,CT93+CS94-DB93,IF(A94&lt;'Données projet'!$A$140,$CQ$205^A94,IF(A94='Données projet'!$A$140,'Données projet'!$B$140,CT93+CS94-DB93)))</f>
        <v>260.99999999999989</v>
      </c>
      <c r="CU94" s="17">
        <f>CT94*VLOOKUP('Données projet'!$B$13,Paramètres!$A$1:$I$89,3,0)*VLOOKUP('Données projet'!$B$13,Paramètres!$A$1:$I$89,5,0)</f>
        <v>280.9403999999999</v>
      </c>
      <c r="CV94" s="13">
        <f t="shared" si="95"/>
        <v>67.165703636653205</v>
      </c>
      <c r="CW94" s="20">
        <f t="shared" si="67"/>
        <v>606.28479716717072</v>
      </c>
      <c r="CX94" s="57">
        <f t="shared" si="68"/>
        <v>899.61813050050409</v>
      </c>
      <c r="CY94" s="57">
        <f ca="1">AVERAGE(OFFSET($CX$3,0,0,'Données projet'!$E$13+1,1))-AVERAGE(OFFSET($H$3,0,0,'Données projet'!$E$13+1,1))</f>
        <v>436.59978658837537</v>
      </c>
      <c r="CZ94" s="57">
        <f t="shared" si="96"/>
        <v>267.2998309535638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35.294508243636848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35.294508243636848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3.8</v>
      </c>
      <c r="DO94" s="12">
        <f>IF('Données projet'!$A$166&gt;35,DO93+DN94-DW93,IF(A94&lt;'Données projet'!$A$166,$DL$205^A94,IF(A94='Données projet'!$A$166,'Données projet'!$B$166,DO93+DN94-DW93)))</f>
        <v>196.79999999999995</v>
      </c>
      <c r="DP94" s="17">
        <f>DO94*VLOOKUP('Données projet'!$B$14,Paramètres!$A$1:$I$89,3,0)*VLOOKUP('Données projet'!$B$14,Paramètres!$A$1:$I$89,5,0)</f>
        <v>187.27487999999997</v>
      </c>
      <c r="DQ94" s="13">
        <f t="shared" si="97"/>
        <v>46.936961883202507</v>
      </c>
      <c r="DR94" s="20">
        <f t="shared" si="70"/>
        <v>407.91895794657762</v>
      </c>
      <c r="DS94" s="57">
        <f t="shared" si="71"/>
        <v>701.25229127991088</v>
      </c>
      <c r="DT94" s="57">
        <f ca="1">AVERAGE(OFFSET($DS$3,0,0,'Données projet'!$E$14+1,1))-AVERAGE(OFFSET($H$3,0,0,'Données projet'!$E$14+1,1))</f>
        <v>292.95981568144879</v>
      </c>
      <c r="DU94" s="57">
        <f t="shared" si="98"/>
        <v>152.23954167722536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18.629689229205329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18.629689229205329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7" t="e">
        <f t="shared" si="74"/>
        <v>#N/A</v>
      </c>
      <c r="EO94" s="57" t="e">
        <f ca="1">AVERAGE(OFFSET($EN$3,0,0,'Données projet'!$E$15+1,1))-AVERAGE(OFFSET($H$3,0,0,'Données projet'!$E$15+1,1))</f>
        <v>#N/A</v>
      </c>
      <c r="EP94" s="57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7" t="e">
        <f t="shared" si="77"/>
        <v>#N/A</v>
      </c>
      <c r="FJ94" s="57" t="e">
        <f ca="1">AVERAGE(OFFSET($FI$3,0,0,'Données projet'!$E$16+1,1))-AVERAGE(OFFSET($H$3,0,0,'Données projet'!$E$16+1,1))</f>
        <v>#N/A</v>
      </c>
      <c r="FK94" s="57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7" t="e">
        <f t="shared" si="80"/>
        <v>#N/A</v>
      </c>
      <c r="GE94" s="57" t="e">
        <f ca="1">AVERAGE(OFFSET($GD$3,0,0,'Données projet'!$E$17+1,1))-AVERAGE(OFFSET($H$3,0,0,'Données projet'!$E$17+1,1))</f>
        <v>#N/A</v>
      </c>
      <c r="GF94" s="57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7" t="e">
        <f t="shared" si="83"/>
        <v>#N/A</v>
      </c>
      <c r="GZ94" s="57" t="e">
        <f ca="1">AVERAGE(OFFSET($GY$3,0,0,'Données projet'!$E$18+1,1))-AVERAGE(OFFSET($H$3,0,0,'Données projet'!$E$18+1,1))</f>
        <v>#N/A</v>
      </c>
      <c r="HA94" s="57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1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5">
        <f t="shared" si="56"/>
        <v>256.66666666666669</v>
      </c>
      <c r="I95" s="6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</v>
      </c>
      <c r="N95" s="13">
        <f>IF('Données projet'!$A$36&gt;35,N94+M95-V94,IF(A95&lt;'Données projet'!$A$36,$K$205^A95,IF(A95='Données projet'!$A$36,'Données projet'!$B$36,N94+M95-V94)))</f>
        <v>267.99999999999989</v>
      </c>
      <c r="O95" s="13">
        <f>N95*VLOOKUP('Données projet'!$B$9,Paramètres!$A$1:$I$89,3,0)*VLOOKUP('Données projet'!$B$9,Paramètres!$A$1:$I$89,5,0)</f>
        <v>242.48639999999986</v>
      </c>
      <c r="P95" s="13">
        <f t="shared" si="87"/>
        <v>58.974170235372419</v>
      </c>
      <c r="Q95" s="20">
        <f t="shared" si="54"/>
        <v>525.04382649327329</v>
      </c>
      <c r="R95" s="57">
        <f t="shared" si="55"/>
        <v>818.37715982660666</v>
      </c>
      <c r="S95" s="57">
        <f ca="1">AVERAGE(OFFSET($R$3,0,0,'Données projet'!$E$9+1,1))-AVERAGE(OFFSET($H$3,0,0,'Données projet'!$E$9+1,1))</f>
        <v>373.45926089889866</v>
      </c>
      <c r="T95" s="57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29.086079115089895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29.086079115089895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</v>
      </c>
      <c r="AI95" s="13">
        <f>IF('Données projet'!$A$62&gt;35,AI94+AH95-AQ94,IF(A95&lt;'Données projet'!$A$62,$AF$205^A95,IF(A95='Données projet'!$A$62,'Données projet'!$B$62,AI94+AH95-AQ94)))</f>
        <v>267.99999999999989</v>
      </c>
      <c r="AJ95" s="13">
        <f>AI95*VLOOKUP('Données projet'!$B$10,Paramètres!$A$1:$I$89,3,0)*VLOOKUP('Données projet'!$B$10,Paramètres!$A$1:$I$89,5,0)</f>
        <v>255.0287999999999</v>
      </c>
      <c r="AK95" s="13">
        <f t="shared" si="89"/>
        <v>61.661531359449384</v>
      </c>
      <c r="AL95" s="20">
        <f t="shared" si="58"/>
        <v>551.56899378437413</v>
      </c>
      <c r="AM95" s="57">
        <f t="shared" si="59"/>
        <v>844.9023271177075</v>
      </c>
      <c r="AN95" s="57">
        <f ca="1">AVERAGE(OFFSET($AM$3,0,0,'Données projet'!$E$10+1,1))-AVERAGE(OFFSET($H$3,0,0,'Données projet'!$E$10+1,1))</f>
        <v>390.70240761116355</v>
      </c>
      <c r="AO95" s="57">
        <f t="shared" si="90"/>
        <v>241.18285512887638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30.590531483111778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30.590531483111778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</v>
      </c>
      <c r="BD95" s="12">
        <f>IF('Données projet'!$A$88&gt;35,BD94+BC95-BL94,IF(A95&lt;'Données projet'!$A$88,$BA$205^A95,IF(A95='Données projet'!$A$88,'Données projet'!$B$88,BD94+BC95-BL94)))</f>
        <v>267.99999999999989</v>
      </c>
      <c r="BE95" s="13">
        <f>BD95*VLOOKUP('Données projet'!$B$11,Paramètres!$A$1:$I$89,3,0)*VLOOKUP('Données projet'!$B$11,Paramètres!$A$1:$I$89,5,0)</f>
        <v>259.20959999999991</v>
      </c>
      <c r="BF95" s="13">
        <f t="shared" si="91"/>
        <v>62.553866774106702</v>
      </c>
      <c r="BG95" s="20">
        <f t="shared" si="61"/>
        <v>560.40470463156896</v>
      </c>
      <c r="BH95" s="57">
        <f t="shared" si="62"/>
        <v>853.73803796490233</v>
      </c>
      <c r="BI95" s="57">
        <f ca="1">AVERAGE(OFFSET($BH$3,0,0,'Données projet'!$E$11+1,1))-AVERAGE(OFFSET($H$3,0,0,'Données projet'!$E$11+1,1))</f>
        <v>396.44612884768748</v>
      </c>
      <c r="BJ95" s="57">
        <f t="shared" si="92"/>
        <v>244.451492444461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31.092015605785754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31.092015605785754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3.4106051316484809E-13</v>
      </c>
      <c r="BZ95" s="13">
        <f>BY95*VLOOKUP('Données projet'!$B$12,Paramètres!$A$1:$I$89,3,0)*VLOOKUP('Données projet'!$B$12,Paramètres!$A$1:$I$89,5,0)</f>
        <v>2.0395418687257919E-13</v>
      </c>
      <c r="CA95" s="13">
        <f t="shared" si="93"/>
        <v>2.8200388570161721E-12</v>
      </c>
      <c r="CB95" s="20">
        <f t="shared" si="64"/>
        <v>5.2667878847729083E-12</v>
      </c>
      <c r="CC95" s="57">
        <f t="shared" si="65"/>
        <v>293.3333333333386</v>
      </c>
      <c r="CD95" s="57">
        <f ca="1">AVERAGE(OFFSET($CC$3,0,0,'Données projet'!$E$12+1,1))-AVERAGE(OFFSET($H$3,0,0,'Données projet'!$E$12+1,1))</f>
        <v>259.64096626089821</v>
      </c>
      <c r="CE95" s="57">
        <f t="shared" si="94"/>
        <v>258.1415293081597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80.058953366070199</v>
      </c>
      <c r="CL95" s="21">
        <f>EXP(-LN(2)/25)*CL94+(1-EXP(-LN(2)/25))/(LN(2)/25)*Calculateur!CG95*Calculateur!CI95*VLOOKUP('Données projet'!$B$12,Paramètres!$A$1:$I$89,3,0)*0.475*44/12</f>
        <v>14.59421911098465</v>
      </c>
      <c r="CM95" s="21">
        <f>EXP(-LN(2)/2)*CM94+(1-EXP(-LN(2)/2))/(LN(2)/2)*CG95*CJ95*VLOOKUP('Données projet'!$B$12,Paramètres!$A$1:$I$89,3,0)*0.475*44/12</f>
        <v>4.1434429715326806E-4</v>
      </c>
      <c r="CN95" s="22">
        <f t="shared" si="66"/>
        <v>94.653586821352008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</v>
      </c>
      <c r="CT95" s="12">
        <f>IF('Données projet'!$A$140&gt;35,CT94+CS95-DB94,IF(A95&lt;'Données projet'!$A$140,$CQ$205^A95,IF(A95='Données projet'!$A$140,'Données projet'!$B$140,CT94+CS95-DB94)))</f>
        <v>267.99999999999989</v>
      </c>
      <c r="CU95" s="17">
        <f>CT95*VLOOKUP('Données projet'!$B$13,Paramètres!$A$1:$I$89,3,0)*VLOOKUP('Données projet'!$B$13,Paramètres!$A$1:$I$89,5,0)</f>
        <v>288.47519999999986</v>
      </c>
      <c r="CV95" s="13">
        <f t="shared" si="95"/>
        <v>68.754942080410785</v>
      </c>
      <c r="CW95" s="20">
        <f t="shared" si="67"/>
        <v>622.17583079004851</v>
      </c>
      <c r="CX95" s="57">
        <f t="shared" si="68"/>
        <v>915.50916412338188</v>
      </c>
      <c r="CY95" s="57">
        <f ca="1">AVERAGE(OFFSET($CX$3,0,0,'Données projet'!$E$13+1,1))-AVERAGE(OFFSET($H$3,0,0,'Données projet'!$E$13+1,1))</f>
        <v>436.59978658837537</v>
      </c>
      <c r="CZ95" s="57">
        <f t="shared" si="96"/>
        <v>267.2998309535638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34.602404464503493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34.602404464503493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3.8</v>
      </c>
      <c r="DO95" s="12">
        <f>IF('Données projet'!$A$166&gt;35,DO94+DN95-DW94,IF(A95&lt;'Données projet'!$A$166,$DL$205^A95,IF(A95='Données projet'!$A$166,'Données projet'!$B$166,DO94+DN95-DW94)))</f>
        <v>200.59999999999997</v>
      </c>
      <c r="DP95" s="17">
        <f>DO95*VLOOKUP('Données projet'!$B$14,Paramètres!$A$1:$I$89,3,0)*VLOOKUP('Données projet'!$B$14,Paramètres!$A$1:$I$89,5,0)</f>
        <v>190.89095999999995</v>
      </c>
      <c r="DQ95" s="13">
        <f t="shared" si="97"/>
        <v>47.736877792326297</v>
      </c>
      <c r="DR95" s="20">
        <f t="shared" si="70"/>
        <v>415.61015082163493</v>
      </c>
      <c r="DS95" s="57">
        <f t="shared" si="71"/>
        <v>708.94348415496825</v>
      </c>
      <c r="DT95" s="57">
        <f ca="1">AVERAGE(OFFSET($DS$3,0,0,'Données projet'!$E$14+1,1))-AVERAGE(OFFSET($H$3,0,0,'Données projet'!$E$14+1,1))</f>
        <v>292.95981568144879</v>
      </c>
      <c r="DU95" s="57">
        <f t="shared" si="98"/>
        <v>152.23954167722536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18.26437238640904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18.26437238640904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7" t="e">
        <f t="shared" si="74"/>
        <v>#N/A</v>
      </c>
      <c r="EO95" s="57" t="e">
        <f ca="1">AVERAGE(OFFSET($EN$3,0,0,'Données projet'!$E$15+1,1))-AVERAGE(OFFSET($H$3,0,0,'Données projet'!$E$15+1,1))</f>
        <v>#N/A</v>
      </c>
      <c r="EP95" s="57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7" t="e">
        <f t="shared" si="77"/>
        <v>#N/A</v>
      </c>
      <c r="FJ95" s="57" t="e">
        <f ca="1">AVERAGE(OFFSET($FI$3,0,0,'Données projet'!$E$16+1,1))-AVERAGE(OFFSET($H$3,0,0,'Données projet'!$E$16+1,1))</f>
        <v>#N/A</v>
      </c>
      <c r="FK95" s="57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7" t="e">
        <f t="shared" si="80"/>
        <v>#N/A</v>
      </c>
      <c r="GE95" s="57" t="e">
        <f ca="1">AVERAGE(OFFSET($GD$3,0,0,'Données projet'!$E$17+1,1))-AVERAGE(OFFSET($H$3,0,0,'Données projet'!$E$17+1,1))</f>
        <v>#N/A</v>
      </c>
      <c r="GF95" s="57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7" t="e">
        <f t="shared" si="83"/>
        <v>#N/A</v>
      </c>
      <c r="GZ95" s="57" t="e">
        <f ca="1">AVERAGE(OFFSET($GY$3,0,0,'Données projet'!$E$18+1,1))-AVERAGE(OFFSET($H$3,0,0,'Données projet'!$E$18+1,1))</f>
        <v>#N/A</v>
      </c>
      <c r="HA95" s="57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1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5">
        <f t="shared" si="56"/>
        <v>256.66666666666669</v>
      </c>
      <c r="I96" s="6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</v>
      </c>
      <c r="N96" s="13">
        <f>IF('Données projet'!$A$36&gt;35,N95+M96-V95,IF(A96&lt;'Données projet'!$A$36,$K$205^A96,IF(A96='Données projet'!$A$36,'Données projet'!$B$36,N95+M96-V95)))</f>
        <v>274.99999999999989</v>
      </c>
      <c r="O96" s="13">
        <f>N96*VLOOKUP('Données projet'!$B$9,Paramètres!$A$1:$I$89,3,0)*VLOOKUP('Données projet'!$B$9,Paramètres!$A$1:$I$89,5,0)</f>
        <v>248.81999999999988</v>
      </c>
      <c r="P96" s="13">
        <f t="shared" si="87"/>
        <v>60.333192077890018</v>
      </c>
      <c r="Q96" s="20">
        <f t="shared" si="54"/>
        <v>538.44180953565819</v>
      </c>
      <c r="R96" s="57">
        <f t="shared" si="55"/>
        <v>831.77514286899145</v>
      </c>
      <c r="S96" s="57">
        <f ca="1">AVERAGE(OFFSET($R$3,0,0,'Données projet'!$E$9+1,1))-AVERAGE(OFFSET($H$3,0,0,'Données projet'!$E$9+1,1))</f>
        <v>373.45926089889866</v>
      </c>
      <c r="T96" s="57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28.515718844399487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28.515718844399487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</v>
      </c>
      <c r="AI96" s="13">
        <f>IF('Données projet'!$A$62&gt;35,AI95+AH96-AQ95,IF(A96&lt;'Données projet'!$A$62,$AF$205^A96,IF(A96='Données projet'!$A$62,'Données projet'!$B$62,AI95+AH96-AQ95)))</f>
        <v>274.99999999999989</v>
      </c>
      <c r="AJ96" s="13">
        <f>AI96*VLOOKUP('Données projet'!$B$10,Paramètres!$A$1:$I$89,3,0)*VLOOKUP('Données projet'!$B$10,Paramètres!$A$1:$I$89,5,0)</f>
        <v>261.68999999999988</v>
      </c>
      <c r="AK96" s="13">
        <f t="shared" si="89"/>
        <v>63.082481711546343</v>
      </c>
      <c r="AL96" s="20">
        <f t="shared" si="58"/>
        <v>565.64540564760966</v>
      </c>
      <c r="AM96" s="57">
        <f t="shared" si="59"/>
        <v>858.97873898094304</v>
      </c>
      <c r="AN96" s="57">
        <f ca="1">AVERAGE(OFFSET($AM$3,0,0,'Données projet'!$E$10+1,1))-AVERAGE(OFFSET($H$3,0,0,'Données projet'!$E$10+1,1))</f>
        <v>390.70240761116355</v>
      </c>
      <c r="AO96" s="57">
        <f t="shared" si="90"/>
        <v>241.18285512887638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29.990669819109797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29.990669819109797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</v>
      </c>
      <c r="BD96" s="12">
        <f>IF('Données projet'!$A$88&gt;35,BD95+BC96-BL95,IF(A96&lt;'Données projet'!$A$88,$BA$205^A96,IF(A96='Données projet'!$A$88,'Données projet'!$B$88,BD95+BC96-BL95)))</f>
        <v>274.99999999999989</v>
      </c>
      <c r="BE96" s="13">
        <f>BD96*VLOOKUP('Données projet'!$B$11,Paramètres!$A$1:$I$89,3,0)*VLOOKUP('Données projet'!$B$11,Paramètres!$A$1:$I$89,5,0)</f>
        <v>265.97999999999985</v>
      </c>
      <c r="BF96" s="13">
        <f t="shared" si="91"/>
        <v>63.995380422211589</v>
      </c>
      <c r="BG96" s="20">
        <f t="shared" si="61"/>
        <v>574.70712090201823</v>
      </c>
      <c r="BH96" s="57">
        <f t="shared" si="62"/>
        <v>868.04045423535149</v>
      </c>
      <c r="BI96" s="57">
        <f ca="1">AVERAGE(OFFSET($BH$3,0,0,'Données projet'!$E$11+1,1))-AVERAGE(OFFSET($H$3,0,0,'Données projet'!$E$11+1,1))</f>
        <v>396.44612884768748</v>
      </c>
      <c r="BJ96" s="57">
        <f t="shared" si="92"/>
        <v>244.451492444461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30.482320144013251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30.482320144013251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3.4106051316484809E-13</v>
      </c>
      <c r="BZ96" s="13">
        <f>BY96*VLOOKUP('Données projet'!$B$12,Paramètres!$A$1:$I$89,3,0)*VLOOKUP('Données projet'!$B$12,Paramètres!$A$1:$I$89,5,0)</f>
        <v>2.0395418687257919E-13</v>
      </c>
      <c r="CA96" s="13">
        <f t="shared" si="93"/>
        <v>2.8200388570161721E-12</v>
      </c>
      <c r="CB96" s="20">
        <f t="shared" si="64"/>
        <v>5.2667878847729083E-12</v>
      </c>
      <c r="CC96" s="57">
        <f t="shared" si="65"/>
        <v>293.3333333333386</v>
      </c>
      <c r="CD96" s="57">
        <f ca="1">AVERAGE(OFFSET($CC$3,0,0,'Données projet'!$E$12+1,1))-AVERAGE(OFFSET($H$3,0,0,'Données projet'!$E$12+1,1))</f>
        <v>259.64096626089821</v>
      </c>
      <c r="CE96" s="57">
        <f t="shared" si="94"/>
        <v>258.1415293081597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78.489046121701435</v>
      </c>
      <c r="CL96" s="21">
        <f>EXP(-LN(2)/25)*CL95+(1-EXP(-LN(2)/25))/(LN(2)/25)*Calculateur!CG96*Calculateur!CI96*VLOOKUP('Données projet'!$B$12,Paramètres!$A$1:$I$89,3,0)*0.475*44/12</f>
        <v>14.195139421918148</v>
      </c>
      <c r="CM96" s="21">
        <f>EXP(-LN(2)/2)*CM95+(1-EXP(-LN(2)/2))/(LN(2)/2)*CG96*CJ96*VLOOKUP('Données projet'!$B$12,Paramètres!$A$1:$I$89,3,0)*0.475*44/12</f>
        <v>2.9298566226304974E-4</v>
      </c>
      <c r="CN96" s="22">
        <f t="shared" si="66"/>
        <v>92.684478529281847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</v>
      </c>
      <c r="CT96" s="12">
        <f>IF('Données projet'!$A$140&gt;35,CT95+CS96-DB95,IF(A96&lt;'Données projet'!$A$140,$CQ$205^A96,IF(A96='Données projet'!$A$140,'Données projet'!$B$140,CT95+CS96-DB95)))</f>
        <v>274.99999999999989</v>
      </c>
      <c r="CU96" s="17">
        <f>CT96*VLOOKUP('Données projet'!$B$13,Paramètres!$A$1:$I$89,3,0)*VLOOKUP('Données projet'!$B$13,Paramètres!$A$1:$I$89,5,0)</f>
        <v>296.00999999999988</v>
      </c>
      <c r="CV96" s="13">
        <f t="shared" si="95"/>
        <v>70.339355522692159</v>
      </c>
      <c r="CW96" s="20">
        <f t="shared" si="67"/>
        <v>638.0584608686886</v>
      </c>
      <c r="CX96" s="57">
        <f t="shared" si="68"/>
        <v>931.39179420202186</v>
      </c>
      <c r="CY96" s="57">
        <f ca="1">AVERAGE(OFFSET($CX$3,0,0,'Données projet'!$E$13+1,1))-AVERAGE(OFFSET($H$3,0,0,'Données projet'!$E$13+1,1))</f>
        <v>436.59978658837537</v>
      </c>
      <c r="CZ96" s="57">
        <f t="shared" si="96"/>
        <v>267.2998309535638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33.923872418337318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33.923872418337318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3.8</v>
      </c>
      <c r="DO96" s="12">
        <f>IF('Données projet'!$A$166&gt;35,DO95+DN96-DW95,IF(A96&lt;'Données projet'!$A$166,$DL$205^A96,IF(A96='Données projet'!$A$166,'Données projet'!$B$166,DO95+DN96-DW95)))</f>
        <v>204.39999999999998</v>
      </c>
      <c r="DP96" s="17">
        <f>DO96*VLOOKUP('Données projet'!$B$14,Paramètres!$A$1:$I$89,3,0)*VLOOKUP('Données projet'!$B$14,Paramètres!$A$1:$I$89,5,0)</f>
        <v>194.50703999999999</v>
      </c>
      <c r="DQ96" s="13">
        <f t="shared" si="97"/>
        <v>48.535031730585615</v>
      </c>
      <c r="DR96" s="20">
        <f t="shared" si="70"/>
        <v>423.29827493076988</v>
      </c>
      <c r="DS96" s="57">
        <f t="shared" si="71"/>
        <v>716.63160826410319</v>
      </c>
      <c r="DT96" s="57">
        <f ca="1">AVERAGE(OFFSET($DS$3,0,0,'Données projet'!$E$14+1,1))-AVERAGE(OFFSET($H$3,0,0,'Données projet'!$E$14+1,1))</f>
        <v>292.95981568144879</v>
      </c>
      <c r="DU96" s="57">
        <f t="shared" si="98"/>
        <v>152.23954167722536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17.906219184078715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17.906219184078715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7" t="e">
        <f t="shared" si="74"/>
        <v>#N/A</v>
      </c>
      <c r="EO96" s="57" t="e">
        <f ca="1">AVERAGE(OFFSET($EN$3,0,0,'Données projet'!$E$15+1,1))-AVERAGE(OFFSET($H$3,0,0,'Données projet'!$E$15+1,1))</f>
        <v>#N/A</v>
      </c>
      <c r="EP96" s="57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7" t="e">
        <f t="shared" si="77"/>
        <v>#N/A</v>
      </c>
      <c r="FJ96" s="57" t="e">
        <f ca="1">AVERAGE(OFFSET($FI$3,0,0,'Données projet'!$E$16+1,1))-AVERAGE(OFFSET($H$3,0,0,'Données projet'!$E$16+1,1))</f>
        <v>#N/A</v>
      </c>
      <c r="FK96" s="57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7" t="e">
        <f t="shared" si="80"/>
        <v>#N/A</v>
      </c>
      <c r="GE96" s="57" t="e">
        <f ca="1">AVERAGE(OFFSET($GD$3,0,0,'Données projet'!$E$17+1,1))-AVERAGE(OFFSET($H$3,0,0,'Données projet'!$E$17+1,1))</f>
        <v>#N/A</v>
      </c>
      <c r="GF96" s="57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7" t="e">
        <f t="shared" si="83"/>
        <v>#N/A</v>
      </c>
      <c r="GZ96" s="57" t="e">
        <f ca="1">AVERAGE(OFFSET($GY$3,0,0,'Données projet'!$E$18+1,1))-AVERAGE(OFFSET($H$3,0,0,'Données projet'!$E$18+1,1))</f>
        <v>#N/A</v>
      </c>
      <c r="HA96" s="57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1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5">
        <f t="shared" si="56"/>
        <v>256.66666666666669</v>
      </c>
      <c r="I97" s="6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</v>
      </c>
      <c r="N97" s="13">
        <f>IF('Données projet'!$A$36&gt;35,N96+M97-V96,IF(A97&lt;'Données projet'!$A$36,$K$205^A97,IF(A97='Données projet'!$A$36,'Données projet'!$B$36,N96+M97-V96)))</f>
        <v>281.99999999999989</v>
      </c>
      <c r="O97" s="13">
        <f>N97*VLOOKUP('Données projet'!$B$9,Paramètres!$A$1:$I$89,3,0)*VLOOKUP('Données projet'!$B$9,Paramètres!$A$1:$I$89,5,0)</f>
        <v>255.15359999999987</v>
      </c>
      <c r="P97" s="13">
        <f t="shared" si="87"/>
        <v>61.688192762754376</v>
      </c>
      <c r="Q97" s="20">
        <f t="shared" si="54"/>
        <v>551.83278906179692</v>
      </c>
      <c r="R97" s="57">
        <f t="shared" si="55"/>
        <v>845.16612239513029</v>
      </c>
      <c r="S97" s="57">
        <f ca="1">AVERAGE(OFFSET($R$3,0,0,'Données projet'!$E$9+1,1))-AVERAGE(OFFSET($H$3,0,0,'Données projet'!$E$9+1,1))</f>
        <v>373.45926089889866</v>
      </c>
      <c r="T97" s="57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27.956542990731904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27.956542990731904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</v>
      </c>
      <c r="AI97" s="13">
        <f>IF('Données projet'!$A$62&gt;35,AI96+AH97-AQ96,IF(A97&lt;'Données projet'!$A$62,$AF$205^A97,IF(A97='Données projet'!$A$62,'Données projet'!$B$62,AI96+AH97-AQ96)))</f>
        <v>281.99999999999989</v>
      </c>
      <c r="AJ97" s="13">
        <f>AI97*VLOOKUP('Données projet'!$B$10,Paramètres!$A$1:$I$89,3,0)*VLOOKUP('Données projet'!$B$10,Paramètres!$A$1:$I$89,5,0)</f>
        <v>268.35119999999989</v>
      </c>
      <c r="AK97" s="13">
        <f t="shared" si="89"/>
        <v>64.499227668096069</v>
      </c>
      <c r="AL97" s="20">
        <f t="shared" si="58"/>
        <v>579.71449485526716</v>
      </c>
      <c r="AM97" s="57">
        <f t="shared" si="59"/>
        <v>873.04782818860053</v>
      </c>
      <c r="AN97" s="57">
        <f ca="1">AVERAGE(OFFSET($AM$3,0,0,'Données projet'!$E$10+1,1))-AVERAGE(OFFSET($H$3,0,0,'Données projet'!$E$10+1,1))</f>
        <v>390.70240761116355</v>
      </c>
      <c r="AO97" s="57">
        <f t="shared" si="90"/>
        <v>241.18285512887638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29.402571076459409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29.402571076459409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</v>
      </c>
      <c r="BD97" s="12">
        <f>IF('Données projet'!$A$88&gt;35,BD96+BC97-BL96,IF(A97&lt;'Données projet'!$A$88,$BA$205^A97,IF(A97='Données projet'!$A$88,'Données projet'!$B$88,BD96+BC97-BL96)))</f>
        <v>281.99999999999989</v>
      </c>
      <c r="BE97" s="13">
        <f>BD97*VLOOKUP('Données projet'!$B$11,Paramètres!$A$1:$I$89,3,0)*VLOOKUP('Données projet'!$B$11,Paramètres!$A$1:$I$89,5,0)</f>
        <v>272.7503999999999</v>
      </c>
      <c r="BF97" s="13">
        <f t="shared" si="91"/>
        <v>65.432628830820633</v>
      </c>
      <c r="BG97" s="20">
        <f t="shared" si="61"/>
        <v>589.00210854701243</v>
      </c>
      <c r="BH97" s="57">
        <f t="shared" si="62"/>
        <v>882.3354418803458</v>
      </c>
      <c r="BI97" s="57">
        <f ca="1">AVERAGE(OFFSET($BH$3,0,0,'Données projet'!$E$11+1,1))-AVERAGE(OFFSET($H$3,0,0,'Données projet'!$E$11+1,1))</f>
        <v>396.44612884768748</v>
      </c>
      <c r="BJ97" s="57">
        <f t="shared" si="92"/>
        <v>244.451492444461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29.884580438368594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29.884580438368594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3.4106051316484809E-13</v>
      </c>
      <c r="BZ97" s="13">
        <f>BY97*VLOOKUP('Données projet'!$B$12,Paramètres!$A$1:$I$89,3,0)*VLOOKUP('Données projet'!$B$12,Paramètres!$A$1:$I$89,5,0)</f>
        <v>2.0395418687257919E-13</v>
      </c>
      <c r="CA97" s="13">
        <f t="shared" si="93"/>
        <v>2.8200388570161721E-12</v>
      </c>
      <c r="CB97" s="20">
        <f t="shared" si="64"/>
        <v>5.2667878847729083E-12</v>
      </c>
      <c r="CC97" s="57">
        <f t="shared" si="65"/>
        <v>293.3333333333386</v>
      </c>
      <c r="CD97" s="57">
        <f ca="1">AVERAGE(OFFSET($CC$3,0,0,'Données projet'!$E$12+1,1))-AVERAGE(OFFSET($H$3,0,0,'Données projet'!$E$12+1,1))</f>
        <v>259.64096626089821</v>
      </c>
      <c r="CE97" s="57">
        <f t="shared" si="94"/>
        <v>258.1415293081597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76.94992380084588</v>
      </c>
      <c r="CL97" s="21">
        <f>EXP(-LN(2)/25)*CL96+(1-EXP(-LN(2)/25))/(LN(2)/25)*Calculateur!CG97*Calculateur!CI97*VLOOKUP('Données projet'!$B$12,Paramètres!$A$1:$I$89,3,0)*0.475*44/12</f>
        <v>13.806972587935856</v>
      </c>
      <c r="CM97" s="21">
        <f>EXP(-LN(2)/2)*CM96+(1-EXP(-LN(2)/2))/(LN(2)/2)*CG97*CJ97*VLOOKUP('Données projet'!$B$12,Paramètres!$A$1:$I$89,3,0)*0.475*44/12</f>
        <v>2.0717214857663403E-4</v>
      </c>
      <c r="CN97" s="22">
        <f t="shared" si="66"/>
        <v>90.757103560930318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</v>
      </c>
      <c r="CT97" s="12">
        <f>IF('Données projet'!$A$140&gt;35,CT96+CS97-DB96,IF(A97&lt;'Données projet'!$A$140,$CQ$205^A97,IF(A97='Données projet'!$A$140,'Données projet'!$B$140,CT96+CS97-DB96)))</f>
        <v>281.99999999999989</v>
      </c>
      <c r="CU97" s="17">
        <f>CT97*VLOOKUP('Données projet'!$B$13,Paramètres!$A$1:$I$89,3,0)*VLOOKUP('Données projet'!$B$13,Paramètres!$A$1:$I$89,5,0)</f>
        <v>303.54479999999984</v>
      </c>
      <c r="CV97" s="13">
        <f t="shared" si="95"/>
        <v>71.919080904752505</v>
      </c>
      <c r="CW97" s="20">
        <f t="shared" si="67"/>
        <v>653.93292590911028</v>
      </c>
      <c r="CX97" s="57">
        <f t="shared" si="68"/>
        <v>947.26625924244354</v>
      </c>
      <c r="CY97" s="57">
        <f ca="1">AVERAGE(OFFSET($CX$3,0,0,'Données projet'!$E$13+1,1))-AVERAGE(OFFSET($H$3,0,0,'Données projet'!$E$13+1,1))</f>
        <v>436.59978658837537</v>
      </c>
      <c r="CZ97" s="57">
        <f t="shared" si="96"/>
        <v>267.2998309535638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33.258645971732783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33.258645971732783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3.8</v>
      </c>
      <c r="DO97" s="12">
        <f>IF('Données projet'!$A$166&gt;35,DO96+DN97-DW96,IF(A97&lt;'Données projet'!$A$166,$DL$205^A97,IF(A97='Données projet'!$A$166,'Données projet'!$B$166,DO96+DN97-DW96)))</f>
        <v>208.2</v>
      </c>
      <c r="DP97" s="17">
        <f>DO97*VLOOKUP('Données projet'!$B$14,Paramètres!$A$1:$I$89,3,0)*VLOOKUP('Données projet'!$B$14,Paramètres!$A$1:$I$89,5,0)</f>
        <v>198.12312</v>
      </c>
      <c r="DQ97" s="13">
        <f t="shared" si="97"/>
        <v>49.331460232373296</v>
      </c>
      <c r="DR97" s="20">
        <f t="shared" si="70"/>
        <v>430.98339390471682</v>
      </c>
      <c r="DS97" s="57">
        <f t="shared" si="71"/>
        <v>724.31672723805013</v>
      </c>
      <c r="DT97" s="57">
        <f ca="1">AVERAGE(OFFSET($DS$3,0,0,'Données projet'!$E$14+1,1))-AVERAGE(OFFSET($H$3,0,0,'Données projet'!$E$14+1,1))</f>
        <v>292.95981568144879</v>
      </c>
      <c r="DU97" s="57">
        <f t="shared" si="98"/>
        <v>152.23954167722536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17.555089147594202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17.555089147594202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7" t="e">
        <f t="shared" si="74"/>
        <v>#N/A</v>
      </c>
      <c r="EO97" s="57" t="e">
        <f ca="1">AVERAGE(OFFSET($EN$3,0,0,'Données projet'!$E$15+1,1))-AVERAGE(OFFSET($H$3,0,0,'Données projet'!$E$15+1,1))</f>
        <v>#N/A</v>
      </c>
      <c r="EP97" s="57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7" t="e">
        <f t="shared" si="77"/>
        <v>#N/A</v>
      </c>
      <c r="FJ97" s="57" t="e">
        <f ca="1">AVERAGE(OFFSET($FI$3,0,0,'Données projet'!$E$16+1,1))-AVERAGE(OFFSET($H$3,0,0,'Données projet'!$E$16+1,1))</f>
        <v>#N/A</v>
      </c>
      <c r="FK97" s="57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7" t="e">
        <f t="shared" si="80"/>
        <v>#N/A</v>
      </c>
      <c r="GE97" s="57" t="e">
        <f ca="1">AVERAGE(OFFSET($GD$3,0,0,'Données projet'!$E$17+1,1))-AVERAGE(OFFSET($H$3,0,0,'Données projet'!$E$17+1,1))</f>
        <v>#N/A</v>
      </c>
      <c r="GF97" s="57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7" t="e">
        <f t="shared" si="83"/>
        <v>#N/A</v>
      </c>
      <c r="GZ97" s="57" t="e">
        <f ca="1">AVERAGE(OFFSET($GY$3,0,0,'Données projet'!$E$18+1,1))-AVERAGE(OFFSET($H$3,0,0,'Données projet'!$E$18+1,1))</f>
        <v>#N/A</v>
      </c>
      <c r="HA97" s="57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1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5">
        <f t="shared" si="56"/>
        <v>256.66666666666669</v>
      </c>
      <c r="I98" s="6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289</v>
      </c>
      <c r="L98" s="12">
        <f>VLOOKUP(A98,'Données projet'!$A$35:$I$55,9,0)</f>
        <v>7</v>
      </c>
      <c r="M98" s="12">
        <f t="array" ref="M98">INDEX(L:L,MIN(IF(ISNUMBER(L98:L294),ROW(L98:L294),"")))</f>
        <v>7</v>
      </c>
      <c r="N98" s="13">
        <f>IF('Données projet'!$A$36&gt;35,N97+M98-V97,IF(A98&lt;'Données projet'!$A$36,$K$205^A98,IF(A98='Données projet'!$A$36,'Données projet'!$B$36,N97+M98-V97)))</f>
        <v>288.99999999999989</v>
      </c>
      <c r="O98" s="13">
        <f>N98*VLOOKUP('Données projet'!$B$9,Paramètres!$A$1:$I$89,3,0)*VLOOKUP('Données projet'!$B$9,Paramètres!$A$1:$I$89,5,0)</f>
        <v>261.48719999999986</v>
      </c>
      <c r="P98" s="13">
        <f t="shared" si="87"/>
        <v>63.039283586802334</v>
      </c>
      <c r="Q98" s="20">
        <f t="shared" si="54"/>
        <v>565.21695891368051</v>
      </c>
      <c r="R98" s="57">
        <f t="shared" si="55"/>
        <v>858.55029224701389</v>
      </c>
      <c r="S98" s="57">
        <f ca="1">AVERAGE(OFFSET($R$3,0,0,'Données projet'!$E$9+1,1))-AVERAGE(OFFSET($H$3,0,0,'Données projet'!$E$9+1,1))</f>
        <v>373.45926089889866</v>
      </c>
      <c r="T98" s="57">
        <f t="shared" si="88"/>
        <v>231.36959598460686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33.730783532307484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33.730783532307484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289</v>
      </c>
      <c r="AG98" s="12">
        <f>VLOOKUP(A98,'Données projet'!$A$61:$I$81,9,0)</f>
        <v>7</v>
      </c>
      <c r="AH98" s="12">
        <f t="array" ref="AH98">INDEX(AG:AG,MIN(IF(ISNUMBER(AG98:AG294),ROW(AG98:AG294),"")))</f>
        <v>7</v>
      </c>
      <c r="AI98" s="13">
        <f>IF('Données projet'!$A$62&gt;35,AI97+AH98-AQ97,IF(A98&lt;'Données projet'!$A$62,$AF$205^A98,IF(A98='Données projet'!$A$62,'Données projet'!$B$62,AI97+AH98-AQ97)))</f>
        <v>288.99999999999989</v>
      </c>
      <c r="AJ98" s="13">
        <f>AI98*VLOOKUP('Données projet'!$B$10,Paramètres!$A$1:$I$89,3,0)*VLOOKUP('Données projet'!$B$10,Paramètres!$A$1:$I$89,5,0)</f>
        <v>275.0123999999999</v>
      </c>
      <c r="AK98" s="13">
        <f t="shared" si="89"/>
        <v>65.911885597558978</v>
      </c>
      <c r="AL98" s="20">
        <f t="shared" si="58"/>
        <v>593.77646408241492</v>
      </c>
      <c r="AM98" s="57">
        <f t="shared" si="59"/>
        <v>887.10979741574829</v>
      </c>
      <c r="AN98" s="57">
        <f ca="1">AVERAGE(OFFSET($AM$3,0,0,'Données projet'!$E$10+1,1))-AVERAGE(OFFSET($H$3,0,0,'Données projet'!$E$10+1,1))</f>
        <v>390.70240761116355</v>
      </c>
      <c r="AO98" s="57">
        <f t="shared" si="90"/>
        <v>241.18285512887638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0.30099999999999999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35.475479232254415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35.475479232254415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289</v>
      </c>
      <c r="BB98" s="12">
        <f>VLOOKUP(A98,'Données projet'!$A$87:$I$107,9,0)</f>
        <v>7</v>
      </c>
      <c r="BC98" s="12">
        <f t="array" ref="BC98">INDEX(BB:BB,MIN(IF(ISNUMBER(BB98:BB294),ROW(BB98:BB294),"")))</f>
        <v>7</v>
      </c>
      <c r="BD98" s="12">
        <f>IF('Données projet'!$A$88&gt;35,BD97+BC98-BL97,IF(A98&lt;'Données projet'!$A$88,$BA$205^A98,IF(A98='Données projet'!$A$88,'Données projet'!$B$88,BD97+BC98-BL97)))</f>
        <v>288.99999999999989</v>
      </c>
      <c r="BE98" s="13">
        <f>BD98*VLOOKUP('Données projet'!$B$11,Paramètres!$A$1:$I$89,3,0)*VLOOKUP('Données projet'!$B$11,Paramètres!$A$1:$I$89,5,0)</f>
        <v>279.52079999999989</v>
      </c>
      <c r="BF98" s="13">
        <f t="shared" si="91"/>
        <v>66.865730052421583</v>
      </c>
      <c r="BG98" s="20">
        <f t="shared" si="61"/>
        <v>603.28987317463395</v>
      </c>
      <c r="BH98" s="57">
        <f t="shared" si="62"/>
        <v>896.62320650796732</v>
      </c>
      <c r="BI98" s="57">
        <f ca="1">AVERAGE(OFFSET($BH$3,0,0,'Données projet'!$E$11+1,1))-AVERAGE(OFFSET($H$3,0,0,'Données projet'!$E$11+1,1))</f>
        <v>396.44612884768748</v>
      </c>
      <c r="BJ98" s="57">
        <f t="shared" si="92"/>
        <v>244.451492444461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21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36.057044465570073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36.057044465570073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3.4106051316484809E-13</v>
      </c>
      <c r="BZ98" s="13">
        <f>BY98*VLOOKUP('Données projet'!$B$12,Paramètres!$A$1:$I$89,3,0)*VLOOKUP('Données projet'!$B$12,Paramètres!$A$1:$I$89,5,0)</f>
        <v>2.0395418687257919E-13</v>
      </c>
      <c r="CA98" s="13">
        <f t="shared" si="93"/>
        <v>2.8200388570161721E-12</v>
      </c>
      <c r="CB98" s="20">
        <f t="shared" si="64"/>
        <v>5.2667878847729083E-12</v>
      </c>
      <c r="CC98" s="57">
        <f t="shared" si="65"/>
        <v>293.3333333333386</v>
      </c>
      <c r="CD98" s="57">
        <f ca="1">AVERAGE(OFFSET($CC$3,0,0,'Données projet'!$E$12+1,1))-AVERAGE(OFFSET($H$3,0,0,'Données projet'!$E$12+1,1))</f>
        <v>259.64096626089821</v>
      </c>
      <c r="CE98" s="57">
        <f t="shared" si="94"/>
        <v>258.1415293081597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75.440982729930383</v>
      </c>
      <c r="CL98" s="21">
        <f>EXP(-LN(2)/25)*CL97+(1-EXP(-LN(2)/25))/(LN(2)/25)*Calculateur!CG98*Calculateur!CI98*VLOOKUP('Données projet'!$B$12,Paramètres!$A$1:$I$89,3,0)*0.475*44/12</f>
        <v>13.429420196441619</v>
      </c>
      <c r="CM98" s="21">
        <f>EXP(-LN(2)/2)*CM97+(1-EXP(-LN(2)/2))/(LN(2)/2)*CG98*CJ98*VLOOKUP('Données projet'!$B$12,Paramètres!$A$1:$I$89,3,0)*0.475*44/12</f>
        <v>1.4649283113152487E-4</v>
      </c>
      <c r="CN98" s="22">
        <f t="shared" si="66"/>
        <v>88.870549419203144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289</v>
      </c>
      <c r="CR98" s="12">
        <f>VLOOKUP(A98,'Données projet'!$A$139:$I$159,9,0)</f>
        <v>7</v>
      </c>
      <c r="CS98" s="12">
        <f t="array" ref="CS98">INDEX(CR:CR,MIN(IF(ISNUMBER(CR98:CR294),ROW(CR98:CR294),"")))</f>
        <v>7</v>
      </c>
      <c r="CT98" s="12">
        <f>IF('Données projet'!$A$140&gt;35,CT97+CS98-DB97,IF(A98&lt;'Données projet'!$A$140,$CQ$205^A98,IF(A98='Données projet'!$A$140,'Données projet'!$B$140,CT97+CS98-DB97)))</f>
        <v>288.99999999999989</v>
      </c>
      <c r="CU98" s="17">
        <f>CT98*VLOOKUP('Données projet'!$B$13,Paramètres!$A$1:$I$89,3,0)*VLOOKUP('Données projet'!$B$13,Paramètres!$A$1:$I$89,5,0)</f>
        <v>311.07959999999986</v>
      </c>
      <c r="CV98" s="13">
        <f t="shared" si="95"/>
        <v>73.49424798183118</v>
      </c>
      <c r="CW98" s="20">
        <f t="shared" si="67"/>
        <v>669.79945190168894</v>
      </c>
      <c r="CX98" s="57">
        <f t="shared" si="68"/>
        <v>963.13278523502231</v>
      </c>
      <c r="CY98" s="57">
        <f ca="1">AVERAGE(OFFSET($CX$3,0,0,'Données projet'!$E$13+1,1))-AVERAGE(OFFSET($H$3,0,0,'Données projet'!$E$13+1,1))</f>
        <v>436.59978658837537</v>
      </c>
      <c r="CZ98" s="57">
        <f t="shared" si="96"/>
        <v>267.2998309535638</v>
      </c>
      <c r="DA98" s="15">
        <f>IF(ISNA(VLOOKUP(A98,'Données projet'!$A$139:$I$159,3,0)),0,VLOOKUP(A98,'Données projet'!$A$139:$I$159,3,0))</f>
        <v>16</v>
      </c>
      <c r="DB98" s="15">
        <f>IF(ISNA(VLOOKUP(A98,'Données projet'!$A$139:$I$159,4,0)),0,VLOOKUP(A98,'Données projet'!$A$139:$I$159,4,0))</f>
        <v>21</v>
      </c>
      <c r="DC98" s="16">
        <f>IF(ISNA(VLOOKUP(A98,'Données projet'!$A$139:$I$159,5,0)),0%,VLOOKUP(A98,'Données projet'!$A$139:$I$159,5,0)*VLOOKUP('Données projet'!$B$13,Paramètres!$A$1:$I$89,7,0))</f>
        <v>0.30099999999999999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40.128001098779592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40.128001098779592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212</v>
      </c>
      <c r="DM98" s="12">
        <f>VLOOKUP(A98,'Données projet'!$A$165:$I$185,9,0)</f>
        <v>3.8</v>
      </c>
      <c r="DN98" s="12">
        <f t="array" ref="DN98">INDEX(DM:DM,MIN(IF(ISNUMBER(DM98:DM294),ROW(DM98:DM294),"")))</f>
        <v>3.8</v>
      </c>
      <c r="DO98" s="12">
        <f>IF('Données projet'!$A$166&gt;35,DO97+DN98-DW97,IF(A98&lt;'Données projet'!$A$166,$DL$205^A98,IF(A98='Données projet'!$A$166,'Données projet'!$B$166,DO97+DN98-DW97)))</f>
        <v>212</v>
      </c>
      <c r="DP98" s="17">
        <f>DO98*VLOOKUP('Données projet'!$B$14,Paramètres!$A$1:$I$89,3,0)*VLOOKUP('Données projet'!$B$14,Paramètres!$A$1:$I$89,5,0)</f>
        <v>201.73919999999998</v>
      </c>
      <c r="DQ98" s="13">
        <f t="shared" si="97"/>
        <v>50.126198422100714</v>
      </c>
      <c r="DR98" s="20">
        <f t="shared" si="70"/>
        <v>438.665568918492</v>
      </c>
      <c r="DS98" s="57">
        <f t="shared" si="71"/>
        <v>731.99890225182526</v>
      </c>
      <c r="DT98" s="57">
        <f ca="1">AVERAGE(OFFSET($DS$3,0,0,'Données projet'!$E$14+1,1))-AVERAGE(OFFSET($H$3,0,0,'Données projet'!$E$14+1,1))</f>
        <v>292.95981568144879</v>
      </c>
      <c r="DU98" s="57">
        <f t="shared" si="98"/>
        <v>152.23954167722536</v>
      </c>
      <c r="DV98" s="15">
        <f>IF(ISNA(VLOOKUP(A98,'Données projet'!$A$165:$I$185,3,0)),0,VLOOKUP(A98,'Données projet'!$A$165:$I$185,3,0))</f>
        <v>15</v>
      </c>
      <c r="DW98" s="15">
        <f>IF(ISNA(VLOOKUP(A98,'Données projet'!$A$165:$I$185,4,0)),0,VLOOKUP(A98,'Données projet'!$A$165:$I$185,4,0))</f>
        <v>14</v>
      </c>
      <c r="DX98" s="16">
        <f>IF(ISNA(VLOOKUP(A98,'Données projet'!$A$165:$I$185,5,0)),0%,VLOOKUP(A98,'Données projet'!$A$165:$I$185,5,0)*VLOOKUP('Données projet'!$B$14,Paramètres!$A$1:$I$89,7,0))</f>
        <v>0.30099999999999999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21.6438276508282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21.6438276508282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7" t="e">
        <f t="shared" si="74"/>
        <v>#N/A</v>
      </c>
      <c r="EO98" s="57" t="e">
        <f ca="1">AVERAGE(OFFSET($EN$3,0,0,'Données projet'!$E$15+1,1))-AVERAGE(OFFSET($H$3,0,0,'Données projet'!$E$15+1,1))</f>
        <v>#N/A</v>
      </c>
      <c r="EP98" s="57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7" t="e">
        <f t="shared" si="77"/>
        <v>#N/A</v>
      </c>
      <c r="FJ98" s="57" t="e">
        <f ca="1">AVERAGE(OFFSET($FI$3,0,0,'Données projet'!$E$16+1,1))-AVERAGE(OFFSET($H$3,0,0,'Données projet'!$E$16+1,1))</f>
        <v>#N/A</v>
      </c>
      <c r="FK98" s="57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7" t="e">
        <f t="shared" si="80"/>
        <v>#N/A</v>
      </c>
      <c r="GE98" s="57" t="e">
        <f ca="1">AVERAGE(OFFSET($GD$3,0,0,'Données projet'!$E$17+1,1))-AVERAGE(OFFSET($H$3,0,0,'Données projet'!$E$17+1,1))</f>
        <v>#N/A</v>
      </c>
      <c r="GF98" s="57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7" t="e">
        <f t="shared" si="83"/>
        <v>#N/A</v>
      </c>
      <c r="GZ98" s="57" t="e">
        <f ca="1">AVERAGE(OFFSET($GY$3,0,0,'Données projet'!$E$18+1,1))-AVERAGE(OFFSET($H$3,0,0,'Données projet'!$E$18+1,1))</f>
        <v>#N/A</v>
      </c>
      <c r="HA98" s="57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1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5">
        <f t="shared" si="56"/>
        <v>256.66666666666669</v>
      </c>
      <c r="I99" s="6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2.8</v>
      </c>
      <c r="N99" s="13">
        <f>IF('Données projet'!$A$36&gt;35,N98+M99-V98,IF(A99&lt;'Données projet'!$A$36,$K$205^A99,IF(A99='Données projet'!$A$36,'Données projet'!$B$36,N98+M99-V98)))</f>
        <v>270.7999999999999</v>
      </c>
      <c r="O99" s="13">
        <f>N99*VLOOKUP('Données projet'!$B$9,Paramètres!$A$1:$I$89,3,0)*VLOOKUP('Données projet'!$B$9,Paramètres!$A$1:$I$89,5,0)</f>
        <v>245.0198399999999</v>
      </c>
      <c r="P99" s="13">
        <f t="shared" si="87"/>
        <v>59.518268884951055</v>
      </c>
      <c r="Q99" s="20">
        <f t="shared" ref="Q99:Q130" si="107">(O99+P99)*0.475*44/12</f>
        <v>530.40387297462291</v>
      </c>
      <c r="R99" s="57">
        <f t="shared" si="55"/>
        <v>823.73720630795628</v>
      </c>
      <c r="S99" s="57">
        <f ca="1">AVERAGE(OFFSET($R$3,0,0,'Données projet'!$E$9+1,1))-AVERAGE(OFFSET($H$3,0,0,'Données projet'!$E$9+1,1))</f>
        <v>373.45926089889866</v>
      </c>
      <c r="T99" s="57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33.069343440985399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33.069343440985399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2.8</v>
      </c>
      <c r="AI99" s="13">
        <f>IF('Données projet'!$A$62&gt;35,AI98+AH99-AQ98,IF(A99&lt;'Données projet'!$A$62,$AF$205^A99,IF(A99='Données projet'!$A$62,'Données projet'!$B$62,AI98+AH99-AQ98)))</f>
        <v>270.7999999999999</v>
      </c>
      <c r="AJ99" s="13">
        <f>AI99*VLOOKUP('Données projet'!$B$10,Paramètres!$A$1:$I$89,3,0)*VLOOKUP('Données projet'!$B$10,Paramètres!$A$1:$I$89,5,0)</f>
        <v>257.6932799999999</v>
      </c>
      <c r="AK99" s="13">
        <f t="shared" si="89"/>
        <v>62.230423737412856</v>
      </c>
      <c r="AL99" s="20">
        <f t="shared" si="58"/>
        <v>557.20045067599392</v>
      </c>
      <c r="AM99" s="57">
        <f t="shared" si="59"/>
        <v>850.53378400932729</v>
      </c>
      <c r="AN99" s="57">
        <f ca="1">AVERAGE(OFFSET($AM$3,0,0,'Données projet'!$E$10+1,1))-AVERAGE(OFFSET($H$3,0,0,'Données projet'!$E$10+1,1))</f>
        <v>390.70240761116355</v>
      </c>
      <c r="AO99" s="57">
        <f t="shared" si="90"/>
        <v>241.18285512887638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34.77982672241567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34.77982672241567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2.8</v>
      </c>
      <c r="BD99" s="12">
        <f>IF('Données projet'!$A$88&gt;35,BD98+BC99-BL98,IF(A99&lt;'Données projet'!$A$88,$BA$205^A99,IF(A99='Données projet'!$A$88,'Données projet'!$B$88,BD98+BC99-BL98)))</f>
        <v>270.7999999999999</v>
      </c>
      <c r="BE99" s="13">
        <f>BD99*VLOOKUP('Données projet'!$B$11,Paramètres!$A$1:$I$89,3,0)*VLOOKUP('Données projet'!$B$11,Paramètres!$A$1:$I$89,5,0)</f>
        <v>261.91775999999987</v>
      </c>
      <c r="BF99" s="13">
        <f t="shared" si="91"/>
        <v>63.130991883317577</v>
      </c>
      <c r="BG99" s="20">
        <f t="shared" si="61"/>
        <v>566.12657619677782</v>
      </c>
      <c r="BH99" s="57">
        <f t="shared" si="62"/>
        <v>859.45990953011119</v>
      </c>
      <c r="BI99" s="57">
        <f ca="1">AVERAGE(OFFSET($BH$3,0,0,'Données projet'!$E$11+1,1))-AVERAGE(OFFSET($H$3,0,0,'Données projet'!$E$11+1,1))</f>
        <v>396.44612884768748</v>
      </c>
      <c r="BJ99" s="57">
        <f t="shared" si="92"/>
        <v>244.451492444461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35.349987816225777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35.349987816225777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3.4106051316484809E-13</v>
      </c>
      <c r="BZ99" s="13">
        <f>BY99*VLOOKUP('Données projet'!$B$12,Paramètres!$A$1:$I$89,3,0)*VLOOKUP('Données projet'!$B$12,Paramètres!$A$1:$I$89,5,0)</f>
        <v>2.0395418687257919E-13</v>
      </c>
      <c r="CA99" s="13">
        <f t="shared" si="93"/>
        <v>2.8200388570161721E-12</v>
      </c>
      <c r="CB99" s="20">
        <f t="shared" si="64"/>
        <v>5.2667878847729083E-12</v>
      </c>
      <c r="CC99" s="57">
        <f t="shared" si="65"/>
        <v>293.3333333333386</v>
      </c>
      <c r="CD99" s="57">
        <f ca="1">AVERAGE(OFFSET($CC$3,0,0,'Données projet'!$E$12+1,1))-AVERAGE(OFFSET($H$3,0,0,'Données projet'!$E$12+1,1))</f>
        <v>259.64096626089821</v>
      </c>
      <c r="CE99" s="57">
        <f t="shared" si="94"/>
        <v>258.1415293081597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73.961631073052359</v>
      </c>
      <c r="CL99" s="21">
        <f>EXP(-LN(2)/25)*CL98+(1-EXP(-LN(2)/25))/(LN(2)/25)*Calculateur!CG99*Calculateur!CI99*VLOOKUP('Données projet'!$B$12,Paramètres!$A$1:$I$89,3,0)*0.475*44/12</f>
        <v>13.062191994947408</v>
      </c>
      <c r="CM99" s="21">
        <f>EXP(-LN(2)/2)*CM98+(1-EXP(-LN(2)/2))/(LN(2)/2)*CG99*CJ99*VLOOKUP('Données projet'!$B$12,Paramètres!$A$1:$I$89,3,0)*0.475*44/12</f>
        <v>1.0358607428831701E-4</v>
      </c>
      <c r="CN99" s="22">
        <f t="shared" si="66"/>
        <v>87.02392665407406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2.8</v>
      </c>
      <c r="CT99" s="12">
        <f>IF('Données projet'!$A$140&gt;35,CT98+CS99-DB98,IF(A99&lt;'Données projet'!$A$140,$CQ$205^A99,IF(A99='Données projet'!$A$140,'Données projet'!$B$140,CT98+CS99-DB98)))</f>
        <v>270.7999999999999</v>
      </c>
      <c r="CU99" s="17">
        <f>CT99*VLOOKUP('Données projet'!$B$13,Paramètres!$A$1:$I$89,3,0)*VLOOKUP('Données projet'!$B$13,Paramètres!$A$1:$I$89,5,0)</f>
        <v>291.4891199999999</v>
      </c>
      <c r="CV99" s="13">
        <f t="shared" si="95"/>
        <v>69.389278621111629</v>
      </c>
      <c r="CW99" s="20">
        <f t="shared" si="67"/>
        <v>628.52987759843575</v>
      </c>
      <c r="CX99" s="57">
        <f t="shared" si="68"/>
        <v>921.86321093176912</v>
      </c>
      <c r="CY99" s="57">
        <f ca="1">AVERAGE(OFFSET($CX$3,0,0,'Données projet'!$E$13+1,1))-AVERAGE(OFFSET($H$3,0,0,'Données projet'!$E$13+1,1))</f>
        <v>436.59978658837537</v>
      </c>
      <c r="CZ99" s="57">
        <f t="shared" si="96"/>
        <v>267.2998309535638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39.341115472896426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39.341115472896426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3.6</v>
      </c>
      <c r="DO99" s="12">
        <f>IF('Données projet'!$A$166&gt;35,DO98+DN99-DW98,IF(A99&lt;'Données projet'!$A$166,$DL$205^A99,IF(A99='Données projet'!$A$166,'Données projet'!$B$166,DO98+DN99-DW98)))</f>
        <v>201.6</v>
      </c>
      <c r="DP99" s="17">
        <f>DO99*VLOOKUP('Données projet'!$B$14,Paramètres!$A$1:$I$89,3,0)*VLOOKUP('Données projet'!$B$14,Paramètres!$A$1:$I$89,5,0)</f>
        <v>191.84255999999999</v>
      </c>
      <c r="DQ99" s="13">
        <f t="shared" si="97"/>
        <v>47.947087613384845</v>
      </c>
      <c r="DR99" s="20">
        <f t="shared" si="70"/>
        <v>417.63363625997857</v>
      </c>
      <c r="DS99" s="57">
        <f t="shared" si="71"/>
        <v>710.96696959331189</v>
      </c>
      <c r="DT99" s="57">
        <f ca="1">AVERAGE(OFFSET($DS$3,0,0,'Données projet'!$E$14+1,1))-AVERAGE(OFFSET($H$3,0,0,'Données projet'!$E$14+1,1))</f>
        <v>292.95981568144879</v>
      </c>
      <c r="DU99" s="57">
        <f t="shared" si="98"/>
        <v>152.23954167722536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21.219405392026793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21.219405392026793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7" t="e">
        <f t="shared" si="74"/>
        <v>#N/A</v>
      </c>
      <c r="EO99" s="57" t="e">
        <f ca="1">AVERAGE(OFFSET($EN$3,0,0,'Données projet'!$E$15+1,1))-AVERAGE(OFFSET($H$3,0,0,'Données projet'!$E$15+1,1))</f>
        <v>#N/A</v>
      </c>
      <c r="EP99" s="57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7" t="e">
        <f t="shared" si="77"/>
        <v>#N/A</v>
      </c>
      <c r="FJ99" s="57" t="e">
        <f ca="1">AVERAGE(OFFSET($FI$3,0,0,'Données projet'!$E$16+1,1))-AVERAGE(OFFSET($H$3,0,0,'Données projet'!$E$16+1,1))</f>
        <v>#N/A</v>
      </c>
      <c r="FK99" s="57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7" t="e">
        <f t="shared" si="80"/>
        <v>#N/A</v>
      </c>
      <c r="GE99" s="57" t="e">
        <f ca="1">AVERAGE(OFFSET($GD$3,0,0,'Données projet'!$E$17+1,1))-AVERAGE(OFFSET($H$3,0,0,'Données projet'!$E$17+1,1))</f>
        <v>#N/A</v>
      </c>
      <c r="GF99" s="57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7" t="e">
        <f t="shared" si="83"/>
        <v>#N/A</v>
      </c>
      <c r="GZ99" s="57" t="e">
        <f ca="1">AVERAGE(OFFSET($GY$3,0,0,'Données projet'!$E$18+1,1))-AVERAGE(OFFSET($H$3,0,0,'Données projet'!$E$18+1,1))</f>
        <v>#N/A</v>
      </c>
      <c r="HA99" s="57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1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5">
        <f t="shared" si="56"/>
        <v>256.66666666666669</v>
      </c>
      <c r="I100" s="6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2.8</v>
      </c>
      <c r="N100" s="13">
        <f>IF('Données projet'!$A$36&gt;35,N99+M100-V99,IF(A100&lt;'Données projet'!$A$36,$K$205^A100,IF(A100='Données projet'!$A$36,'Données projet'!$B$36,N99+M100-V99)))</f>
        <v>273.59999999999991</v>
      </c>
      <c r="O100" s="13">
        <f>N100*VLOOKUP('Données projet'!$B$9,Paramètres!$A$1:$I$89,3,0)*VLOOKUP('Données projet'!$B$9,Paramètres!$A$1:$I$89,5,0)</f>
        <v>247.55327999999989</v>
      </c>
      <c r="P100" s="13">
        <f t="shared" si="87"/>
        <v>60.061713068870255</v>
      </c>
      <c r="Q100" s="20">
        <f t="shared" si="107"/>
        <v>535.76277959494882</v>
      </c>
      <c r="R100" s="57">
        <f t="shared" si="55"/>
        <v>829.09611292828208</v>
      </c>
      <c r="S100" s="57">
        <f ca="1">AVERAGE(OFFSET($R$3,0,0,'Données projet'!$E$9+1,1))-AVERAGE(OFFSET($H$3,0,0,'Données projet'!$E$9+1,1))</f>
        <v>373.45926089889866</v>
      </c>
      <c r="T100" s="57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32.42087378641552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32.42087378641552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2.8</v>
      </c>
      <c r="AI100" s="13">
        <f>IF('Données projet'!$A$62&gt;35,AI99+AH100-AQ99,IF(A100&lt;'Données projet'!$A$62,$AF$205^A100,IF(A100='Données projet'!$A$62,'Données projet'!$B$62,AI99+AH100-AQ99)))</f>
        <v>273.59999999999991</v>
      </c>
      <c r="AJ100" s="13">
        <f>AI100*VLOOKUP('Données projet'!$B$10,Paramètres!$A$1:$I$89,3,0)*VLOOKUP('Données projet'!$B$10,Paramètres!$A$1:$I$89,5,0)</f>
        <v>260.35775999999987</v>
      </c>
      <c r="AK100" s="13">
        <f t="shared" si="89"/>
        <v>62.7986318267358</v>
      </c>
      <c r="AL100" s="20">
        <f t="shared" si="58"/>
        <v>562.83071576489795</v>
      </c>
      <c r="AM100" s="57">
        <f t="shared" si="59"/>
        <v>856.16404909823132</v>
      </c>
      <c r="AN100" s="57">
        <f ca="1">AVERAGE(OFFSET($AM$3,0,0,'Données projet'!$E$10+1,1))-AVERAGE(OFFSET($H$3,0,0,'Données projet'!$E$10+1,1))</f>
        <v>390.70240761116355</v>
      </c>
      <c r="AO100" s="57">
        <f t="shared" si="90"/>
        <v>241.18285512887638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34.097815533988729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34.097815533988729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2.8</v>
      </c>
      <c r="BD100" s="12">
        <f>IF('Données projet'!$A$88&gt;35,BD99+BC100-BL99,IF(A100&lt;'Données projet'!$A$88,$BA$205^A100,IF(A100='Données projet'!$A$88,'Données projet'!$B$88,BD99+BC100-BL99)))</f>
        <v>273.59999999999991</v>
      </c>
      <c r="BE100" s="13">
        <f>BD100*VLOOKUP('Données projet'!$B$11,Paramètres!$A$1:$I$89,3,0)*VLOOKUP('Données projet'!$B$11,Paramètres!$A$1:$I$89,5,0)</f>
        <v>264.62591999999995</v>
      </c>
      <c r="BF100" s="13">
        <f t="shared" si="91"/>
        <v>63.707422801198604</v>
      </c>
      <c r="BG100" s="20">
        <f t="shared" si="61"/>
        <v>571.84723871208746</v>
      </c>
      <c r="BH100" s="57">
        <f t="shared" si="62"/>
        <v>865.18057204542083</v>
      </c>
      <c r="BI100" s="57">
        <f ca="1">AVERAGE(OFFSET($BH$3,0,0,'Données projet'!$E$11+1,1))-AVERAGE(OFFSET($H$3,0,0,'Données projet'!$E$11+1,1))</f>
        <v>396.44612884768748</v>
      </c>
      <c r="BJ100" s="57">
        <f t="shared" si="92"/>
        <v>244.451492444461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34.656796116513149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34.656796116513149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3.4106051316484809E-13</v>
      </c>
      <c r="BZ100" s="13">
        <f>BY100*VLOOKUP('Données projet'!$B$12,Paramètres!$A$1:$I$89,3,0)*VLOOKUP('Données projet'!$B$12,Paramètres!$A$1:$I$89,5,0)</f>
        <v>2.0395418687257919E-13</v>
      </c>
      <c r="CA100" s="13">
        <f t="shared" si="93"/>
        <v>2.8200388570161721E-12</v>
      </c>
      <c r="CB100" s="20">
        <f t="shared" si="64"/>
        <v>5.2667878847729083E-12</v>
      </c>
      <c r="CC100" s="57">
        <f t="shared" si="65"/>
        <v>293.3333333333386</v>
      </c>
      <c r="CD100" s="57">
        <f ca="1">AVERAGE(OFFSET($CC$3,0,0,'Données projet'!$E$12+1,1))-AVERAGE(OFFSET($H$3,0,0,'Données projet'!$E$12+1,1))</f>
        <v>259.64096626089821</v>
      </c>
      <c r="CE100" s="57">
        <f t="shared" si="94"/>
        <v>258.1415293081597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72.511288599850303</v>
      </c>
      <c r="CL100" s="21">
        <f>EXP(-LN(2)/25)*CL99+(1-EXP(-LN(2)/25))/(LN(2)/25)*Calculateur!CG100*Calculateur!CI100*VLOOKUP('Données projet'!$B$12,Paramètres!$A$1:$I$89,3,0)*0.475*44/12</f>
        <v>12.705005667934749</v>
      </c>
      <c r="CM100" s="21">
        <f>EXP(-LN(2)/2)*CM99+(1-EXP(-LN(2)/2))/(LN(2)/2)*CG100*CJ100*VLOOKUP('Données projet'!$B$12,Paramètres!$A$1:$I$89,3,0)*0.475*44/12</f>
        <v>7.3246415565762435E-5</v>
      </c>
      <c r="CN100" s="22">
        <f t="shared" si="66"/>
        <v>85.216367514200627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2.8</v>
      </c>
      <c r="CT100" s="12">
        <f>IF('Données projet'!$A$140&gt;35,CT99+CS100-DB99,IF(A100&lt;'Données projet'!$A$140,$CQ$205^A100,IF(A100='Données projet'!$A$140,'Données projet'!$B$140,CT99+CS100-DB99)))</f>
        <v>273.59999999999991</v>
      </c>
      <c r="CU100" s="17">
        <f>CT100*VLOOKUP('Données projet'!$B$13,Paramètres!$A$1:$I$89,3,0)*VLOOKUP('Données projet'!$B$13,Paramètres!$A$1:$I$89,5,0)</f>
        <v>294.50303999999988</v>
      </c>
      <c r="CV100" s="13">
        <f t="shared" si="95"/>
        <v>70.022852154069838</v>
      </c>
      <c r="CW100" s="20">
        <f t="shared" si="67"/>
        <v>634.8825955016714</v>
      </c>
      <c r="CX100" s="57">
        <f t="shared" si="68"/>
        <v>928.21592883500466</v>
      </c>
      <c r="CY100" s="57">
        <f ca="1">AVERAGE(OFFSET($CX$3,0,0,'Données projet'!$E$13+1,1))-AVERAGE(OFFSET($H$3,0,0,'Données projet'!$E$13+1,1))</f>
        <v>436.59978658837537</v>
      </c>
      <c r="CZ100" s="57">
        <f t="shared" si="96"/>
        <v>267.2998309535638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38.569660194183989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38.569660194183989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3.6</v>
      </c>
      <c r="DO100" s="12">
        <f>IF('Données projet'!$A$166&gt;35,DO99+DN100-DW99,IF(A100&lt;'Données projet'!$A$166,$DL$205^A100,IF(A100='Données projet'!$A$166,'Données projet'!$B$166,DO99+DN100-DW99)))</f>
        <v>205.2</v>
      </c>
      <c r="DP100" s="17">
        <f>DO100*VLOOKUP('Données projet'!$B$14,Paramètres!$A$1:$I$89,3,0)*VLOOKUP('Données projet'!$B$14,Paramètres!$A$1:$I$89,5,0)</f>
        <v>195.26831999999999</v>
      </c>
      <c r="DQ100" s="13">
        <f t="shared" si="97"/>
        <v>48.702843078505502</v>
      </c>
      <c r="DR100" s="20">
        <f t="shared" si="70"/>
        <v>424.91644236173039</v>
      </c>
      <c r="DS100" s="57">
        <f t="shared" si="71"/>
        <v>718.2497756950637</v>
      </c>
      <c r="DT100" s="57">
        <f ca="1">AVERAGE(OFFSET($DS$3,0,0,'Données projet'!$E$14+1,1))-AVERAGE(OFFSET($H$3,0,0,'Données projet'!$E$14+1,1))</f>
        <v>292.95981568144879</v>
      </c>
      <c r="DU100" s="57">
        <f t="shared" si="98"/>
        <v>152.23954167722536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20.803305794848466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20.803305794848466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7" t="e">
        <f t="shared" si="74"/>
        <v>#N/A</v>
      </c>
      <c r="EO100" s="57" t="e">
        <f ca="1">AVERAGE(OFFSET($EN$3,0,0,'Données projet'!$E$15+1,1))-AVERAGE(OFFSET($H$3,0,0,'Données projet'!$E$15+1,1))</f>
        <v>#N/A</v>
      </c>
      <c r="EP100" s="57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7" t="e">
        <f t="shared" si="77"/>
        <v>#N/A</v>
      </c>
      <c r="FJ100" s="57" t="e">
        <f ca="1">AVERAGE(OFFSET($FI$3,0,0,'Données projet'!$E$16+1,1))-AVERAGE(OFFSET($H$3,0,0,'Données projet'!$E$16+1,1))</f>
        <v>#N/A</v>
      </c>
      <c r="FK100" s="57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7" t="e">
        <f t="shared" si="80"/>
        <v>#N/A</v>
      </c>
      <c r="GE100" s="57" t="e">
        <f ca="1">AVERAGE(OFFSET($GD$3,0,0,'Données projet'!$E$17+1,1))-AVERAGE(OFFSET($H$3,0,0,'Données projet'!$E$17+1,1))</f>
        <v>#N/A</v>
      </c>
      <c r="GF100" s="57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7" t="e">
        <f t="shared" si="83"/>
        <v>#N/A</v>
      </c>
      <c r="GZ100" s="57" t="e">
        <f ca="1">AVERAGE(OFFSET($GY$3,0,0,'Données projet'!$E$18+1,1))-AVERAGE(OFFSET($H$3,0,0,'Données projet'!$E$18+1,1))</f>
        <v>#N/A</v>
      </c>
      <c r="HA100" s="57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1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5">
        <f t="shared" si="56"/>
        <v>256.66666666666669</v>
      </c>
      <c r="I101" s="6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2.8</v>
      </c>
      <c r="N101" s="13">
        <f>IF('Données projet'!$A$36&gt;35,N100+M101-V100,IF(A101&lt;'Données projet'!$A$36,$K$205^A101,IF(A101='Données projet'!$A$36,'Données projet'!$B$36,N100+M101-V100)))</f>
        <v>276.39999999999992</v>
      </c>
      <c r="O101" s="13">
        <f>N101*VLOOKUP('Données projet'!$B$9,Paramètres!$A$1:$I$89,3,0)*VLOOKUP('Données projet'!$B$9,Paramètres!$A$1:$I$89,5,0)</f>
        <v>250.08671999999993</v>
      </c>
      <c r="P101" s="13">
        <f t="shared" si="87"/>
        <v>60.604510260306157</v>
      </c>
      <c r="Q101" s="20">
        <f t="shared" si="107"/>
        <v>541.12055937003311</v>
      </c>
      <c r="R101" s="57">
        <f t="shared" si="55"/>
        <v>834.45389270336636</v>
      </c>
      <c r="S101" s="57">
        <f ca="1">AVERAGE(OFFSET($R$3,0,0,'Données projet'!$E$9+1,1))-AVERAGE(OFFSET($H$3,0,0,'Données projet'!$E$9+1,1))</f>
        <v>373.45926089889866</v>
      </c>
      <c r="T101" s="57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31.785120226244324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31.785120226244324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2.8</v>
      </c>
      <c r="AI101" s="13">
        <f>IF('Données projet'!$A$62&gt;35,AI100+AH101-AQ100,IF(A101&lt;'Données projet'!$A$62,$AF$205^A101,IF(A101='Données projet'!$A$62,'Données projet'!$B$62,AI100+AH101-AQ100)))</f>
        <v>276.39999999999992</v>
      </c>
      <c r="AJ101" s="13">
        <f>AI101*VLOOKUP('Données projet'!$B$10,Paramètres!$A$1:$I$89,3,0)*VLOOKUP('Données projet'!$B$10,Paramètres!$A$1:$I$89,5,0)</f>
        <v>263.02223999999995</v>
      </c>
      <c r="AK101" s="13">
        <f t="shared" si="89"/>
        <v>63.3661634411352</v>
      </c>
      <c r="AL101" s="20">
        <f t="shared" si="58"/>
        <v>568.45980265997707</v>
      </c>
      <c r="AM101" s="57">
        <f t="shared" si="59"/>
        <v>861.79313599331044</v>
      </c>
      <c r="AN101" s="57">
        <f ca="1">AVERAGE(OFFSET($AM$3,0,0,'Données projet'!$E$10+1,1))-AVERAGE(OFFSET($H$3,0,0,'Données projet'!$E$10+1,1))</f>
        <v>390.70240761116355</v>
      </c>
      <c r="AO101" s="57">
        <f t="shared" si="90"/>
        <v>241.18285512887638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33.429178168981089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33.429178168981089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2.8</v>
      </c>
      <c r="BD101" s="12">
        <f>IF('Données projet'!$A$88&gt;35,BD100+BC101-BL100,IF(A101&lt;'Données projet'!$A$88,$BA$205^A101,IF(A101='Données projet'!$A$88,'Données projet'!$B$88,BD100+BC101-BL100)))</f>
        <v>276.39999999999992</v>
      </c>
      <c r="BE101" s="13">
        <f>BD101*VLOOKUP('Données projet'!$B$11,Paramètres!$A$1:$I$89,3,0)*VLOOKUP('Données projet'!$B$11,Paramètres!$A$1:$I$89,5,0)</f>
        <v>267.33407999999991</v>
      </c>
      <c r="BF101" s="13">
        <f t="shared" si="91"/>
        <v>64.283167454543047</v>
      </c>
      <c r="BG101" s="20">
        <f t="shared" si="61"/>
        <v>577.56670598332892</v>
      </c>
      <c r="BH101" s="57">
        <f t="shared" si="62"/>
        <v>870.90003931666229</v>
      </c>
      <c r="BI101" s="57">
        <f ca="1">AVERAGE(OFFSET($BH$3,0,0,'Données projet'!$E$11+1,1))-AVERAGE(OFFSET($H$3,0,0,'Données projet'!$E$11+1,1))</f>
        <v>396.44612884768748</v>
      </c>
      <c r="BJ101" s="57">
        <f t="shared" si="92"/>
        <v>244.451492444461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33.977197483226696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33.977197483226696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3.4106051316484809E-13</v>
      </c>
      <c r="BZ101" s="13">
        <f>BY101*VLOOKUP('Données projet'!$B$12,Paramètres!$A$1:$I$89,3,0)*VLOOKUP('Données projet'!$B$12,Paramètres!$A$1:$I$89,5,0)</f>
        <v>2.0395418687257919E-13</v>
      </c>
      <c r="CA101" s="13">
        <f t="shared" si="93"/>
        <v>2.8200388570161721E-12</v>
      </c>
      <c r="CB101" s="20">
        <f t="shared" si="64"/>
        <v>5.2667878847729083E-12</v>
      </c>
      <c r="CC101" s="57">
        <f t="shared" si="65"/>
        <v>293.3333333333386</v>
      </c>
      <c r="CD101" s="57">
        <f ca="1">AVERAGE(OFFSET($CC$3,0,0,'Données projet'!$E$12+1,1))-AVERAGE(OFFSET($H$3,0,0,'Données projet'!$E$12+1,1))</f>
        <v>259.64096626089821</v>
      </c>
      <c r="CE101" s="57">
        <f t="shared" si="94"/>
        <v>258.1415293081597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71.089386457926182</v>
      </c>
      <c r="CL101" s="21">
        <f>EXP(-LN(2)/25)*CL100+(1-EXP(-LN(2)/25))/(LN(2)/25)*Calculateur!CG101*Calculateur!CI101*VLOOKUP('Données projet'!$B$12,Paramètres!$A$1:$I$89,3,0)*0.475*44/12</f>
        <v>12.357586619817862</v>
      </c>
      <c r="CM101" s="21">
        <f>EXP(-LN(2)/2)*CM100+(1-EXP(-LN(2)/2))/(LN(2)/2)*CG101*CJ101*VLOOKUP('Données projet'!$B$12,Paramètres!$A$1:$I$89,3,0)*0.475*44/12</f>
        <v>5.1793037144158507E-5</v>
      </c>
      <c r="CN101" s="22">
        <f t="shared" si="66"/>
        <v>83.447024870781192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2.8</v>
      </c>
      <c r="CT101" s="12">
        <f>IF('Données projet'!$A$140&gt;35,CT100+CS101-DB100,IF(A101&lt;'Données projet'!$A$140,$CQ$205^A101,IF(A101='Données projet'!$A$140,'Données projet'!$B$140,CT100+CS101-DB100)))</f>
        <v>276.39999999999992</v>
      </c>
      <c r="CU101" s="17">
        <f>CT101*VLOOKUP('Données projet'!$B$13,Paramètres!$A$1:$I$89,3,0)*VLOOKUP('Données projet'!$B$13,Paramètres!$A$1:$I$89,5,0)</f>
        <v>297.51695999999987</v>
      </c>
      <c r="CV101" s="13">
        <f t="shared" si="95"/>
        <v>70.6556713918757</v>
      </c>
      <c r="CW101" s="20">
        <f t="shared" si="67"/>
        <v>641.23399967418334</v>
      </c>
      <c r="CX101" s="57">
        <f t="shared" si="68"/>
        <v>934.56733300751671</v>
      </c>
      <c r="CY101" s="57">
        <f ca="1">AVERAGE(OFFSET($CX$3,0,0,'Données projet'!$E$13+1,1))-AVERAGE(OFFSET($H$3,0,0,'Données projet'!$E$13+1,1))</f>
        <v>436.59978658837537</v>
      </c>
      <c r="CZ101" s="57">
        <f t="shared" si="96"/>
        <v>267.2998309535638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37.813332682945841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37.813332682945841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3.6</v>
      </c>
      <c r="DO101" s="12">
        <f>IF('Données projet'!$A$166&gt;35,DO100+DN101-DW100,IF(A101&lt;'Données projet'!$A$166,$DL$205^A101,IF(A101='Données projet'!$A$166,'Données projet'!$B$166,DO100+DN101-DW100)))</f>
        <v>208.79999999999998</v>
      </c>
      <c r="DP101" s="17">
        <f>DO101*VLOOKUP('Données projet'!$B$14,Paramètres!$A$1:$I$89,3,0)*VLOOKUP('Données projet'!$B$14,Paramètres!$A$1:$I$89,5,0)</f>
        <v>198.69407999999999</v>
      </c>
      <c r="DQ101" s="13">
        <f t="shared" si="97"/>
        <v>49.457056702547348</v>
      </c>
      <c r="DR101" s="20">
        <f t="shared" si="70"/>
        <v>432.19656309026988</v>
      </c>
      <c r="DS101" s="57">
        <f t="shared" si="71"/>
        <v>725.52989642360319</v>
      </c>
      <c r="DT101" s="57">
        <f ca="1">AVERAGE(OFFSET($DS$3,0,0,'Données projet'!$E$14+1,1))-AVERAGE(OFFSET($H$3,0,0,'Données projet'!$E$14+1,1))</f>
        <v>292.95981568144879</v>
      </c>
      <c r="DU101" s="57">
        <f t="shared" si="98"/>
        <v>152.23954167722536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20.395365656975113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20.395365656975113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7" t="e">
        <f t="shared" si="74"/>
        <v>#N/A</v>
      </c>
      <c r="EO101" s="57" t="e">
        <f ca="1">AVERAGE(OFFSET($EN$3,0,0,'Données projet'!$E$15+1,1))-AVERAGE(OFFSET($H$3,0,0,'Données projet'!$E$15+1,1))</f>
        <v>#N/A</v>
      </c>
      <c r="EP101" s="57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7" t="e">
        <f t="shared" si="77"/>
        <v>#N/A</v>
      </c>
      <c r="FJ101" s="57" t="e">
        <f ca="1">AVERAGE(OFFSET($FI$3,0,0,'Données projet'!$E$16+1,1))-AVERAGE(OFFSET($H$3,0,0,'Données projet'!$E$16+1,1))</f>
        <v>#N/A</v>
      </c>
      <c r="FK101" s="57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7" t="e">
        <f t="shared" si="80"/>
        <v>#N/A</v>
      </c>
      <c r="GE101" s="57" t="e">
        <f ca="1">AVERAGE(OFFSET($GD$3,0,0,'Données projet'!$E$17+1,1))-AVERAGE(OFFSET($H$3,0,0,'Données projet'!$E$17+1,1))</f>
        <v>#N/A</v>
      </c>
      <c r="GF101" s="57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7" t="e">
        <f t="shared" si="83"/>
        <v>#N/A</v>
      </c>
      <c r="GZ101" s="57" t="e">
        <f ca="1">AVERAGE(OFFSET($GY$3,0,0,'Données projet'!$E$18+1,1))-AVERAGE(OFFSET($H$3,0,0,'Données projet'!$E$18+1,1))</f>
        <v>#N/A</v>
      </c>
      <c r="HA101" s="57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1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5">
        <f t="shared" si="56"/>
        <v>256.66666666666669</v>
      </c>
      <c r="I102" s="6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2.8</v>
      </c>
      <c r="N102" s="13">
        <f>IF('Données projet'!$A$36&gt;35,N101+M102-V101,IF(A102&lt;'Données projet'!$A$36,$K$205^A102,IF(A102='Données projet'!$A$36,'Données projet'!$B$36,N101+M102-V101)))</f>
        <v>279.19999999999993</v>
      </c>
      <c r="O102" s="13">
        <f>N102*VLOOKUP('Données projet'!$B$9,Paramètres!$A$1:$I$89,3,0)*VLOOKUP('Données projet'!$B$9,Paramètres!$A$1:$I$89,5,0)</f>
        <v>252.62015999999994</v>
      </c>
      <c r="P102" s="13">
        <f t="shared" si="87"/>
        <v>61.14666777229877</v>
      </c>
      <c r="Q102" s="20">
        <f t="shared" si="107"/>
        <v>546.47722503675357</v>
      </c>
      <c r="R102" s="57">
        <f t="shared" si="55"/>
        <v>839.81055837008694</v>
      </c>
      <c r="S102" s="57">
        <f ca="1">AVERAGE(OFFSET($R$3,0,0,'Données projet'!$E$9+1,1))-AVERAGE(OFFSET($H$3,0,0,'Données projet'!$E$9+1,1))</f>
        <v>373.45926089889866</v>
      </c>
      <c r="T102" s="57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31.161833405616701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31.161833405616701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2.8</v>
      </c>
      <c r="AI102" s="13">
        <f>IF('Données projet'!$A$62&gt;35,AI101+AH102-AQ101,IF(A102&lt;'Données projet'!$A$62,$AF$205^A102,IF(A102='Données projet'!$A$62,'Données projet'!$B$62,AI101+AH102-AQ101)))</f>
        <v>279.19999999999993</v>
      </c>
      <c r="AJ102" s="13">
        <f>AI102*VLOOKUP('Données projet'!$B$10,Paramètres!$A$1:$I$89,3,0)*VLOOKUP('Données projet'!$B$10,Paramètres!$A$1:$I$89,5,0)</f>
        <v>265.68671999999992</v>
      </c>
      <c r="AK102" s="13">
        <f t="shared" si="89"/>
        <v>63.933026226895024</v>
      </c>
      <c r="AL102" s="20">
        <f t="shared" si="58"/>
        <v>574.08772467850861</v>
      </c>
      <c r="AM102" s="57">
        <f t="shared" si="59"/>
        <v>867.42105801184198</v>
      </c>
      <c r="AN102" s="57">
        <f ca="1">AVERAGE(OFFSET($AM$3,0,0,'Données projet'!$E$10+1,1))-AVERAGE(OFFSET($H$3,0,0,'Données projet'!$E$10+1,1))</f>
        <v>390.70240761116355</v>
      </c>
      <c r="AO102" s="57">
        <f t="shared" si="90"/>
        <v>241.18285512887638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32.773652374872732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32.773652374872732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2.8</v>
      </c>
      <c r="BD102" s="12">
        <f>IF('Données projet'!$A$88&gt;35,BD101+BC102-BL101,IF(A102&lt;'Données projet'!$A$88,$BA$205^A102,IF(A102='Données projet'!$A$88,'Données projet'!$B$88,BD101+BC102-BL101)))</f>
        <v>279.19999999999993</v>
      </c>
      <c r="BE102" s="13">
        <f>BD102*VLOOKUP('Données projet'!$B$11,Paramètres!$A$1:$I$89,3,0)*VLOOKUP('Données projet'!$B$11,Paramètres!$A$1:$I$89,5,0)</f>
        <v>270.04223999999994</v>
      </c>
      <c r="BF102" s="13">
        <f t="shared" si="91"/>
        <v>64.858233600288145</v>
      </c>
      <c r="BG102" s="20">
        <f t="shared" si="61"/>
        <v>583.28499152050165</v>
      </c>
      <c r="BH102" s="57">
        <f t="shared" si="62"/>
        <v>876.61832485383502</v>
      </c>
      <c r="BI102" s="57">
        <f ca="1">AVERAGE(OFFSET($BH$3,0,0,'Données projet'!$E$11+1,1))-AVERAGE(OFFSET($H$3,0,0,'Données projet'!$E$11+1,1))</f>
        <v>396.44612884768748</v>
      </c>
      <c r="BJ102" s="57">
        <f t="shared" si="92"/>
        <v>244.451492444461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33.310925364624758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33.310925364624758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3.4106051316484809E-13</v>
      </c>
      <c r="BZ102" s="13">
        <f>BY102*VLOOKUP('Données projet'!$B$12,Paramètres!$A$1:$I$89,3,0)*VLOOKUP('Données projet'!$B$12,Paramètres!$A$1:$I$89,5,0)</f>
        <v>2.0395418687257919E-13</v>
      </c>
      <c r="CA102" s="13">
        <f t="shared" si="93"/>
        <v>2.8200388570161721E-12</v>
      </c>
      <c r="CB102" s="20">
        <f t="shared" si="64"/>
        <v>5.2667878847729083E-12</v>
      </c>
      <c r="CC102" s="57">
        <f t="shared" si="65"/>
        <v>293.3333333333386</v>
      </c>
      <c r="CD102" s="57">
        <f ca="1">AVERAGE(OFFSET($CC$3,0,0,'Données projet'!$E$12+1,1))-AVERAGE(OFFSET($H$3,0,0,'Données projet'!$E$12+1,1))</f>
        <v>259.64096626089821</v>
      </c>
      <c r="CE102" s="57">
        <f t="shared" si="94"/>
        <v>258.1415293081597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69.695366949730527</v>
      </c>
      <c r="CL102" s="21">
        <f>EXP(-LN(2)/25)*CL101+(1-EXP(-LN(2)/25))/(LN(2)/25)*Calculateur!CG102*Calculateur!CI102*VLOOKUP('Données projet'!$B$12,Paramètres!$A$1:$I$89,3,0)*0.475*44/12</f>
        <v>12.019667763841706</v>
      </c>
      <c r="CM102" s="21">
        <f>EXP(-LN(2)/2)*CM101+(1-EXP(-LN(2)/2))/(LN(2)/2)*CG102*CJ102*VLOOKUP('Données projet'!$B$12,Paramètres!$A$1:$I$89,3,0)*0.475*44/12</f>
        <v>3.6623207782881217E-5</v>
      </c>
      <c r="CN102" s="22">
        <f t="shared" si="66"/>
        <v>81.715071336780014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2.8</v>
      </c>
      <c r="CT102" s="12">
        <f>IF('Données projet'!$A$140&gt;35,CT101+CS102-DB101,IF(A102&lt;'Données projet'!$A$140,$CQ$205^A102,IF(A102='Données projet'!$A$140,'Données projet'!$B$140,CT101+CS102-DB101)))</f>
        <v>279.19999999999993</v>
      </c>
      <c r="CU102" s="17">
        <f>CT102*VLOOKUP('Données projet'!$B$13,Paramètres!$A$1:$I$89,3,0)*VLOOKUP('Données projet'!$B$13,Paramètres!$A$1:$I$89,5,0)</f>
        <v>300.53087999999991</v>
      </c>
      <c r="CV102" s="13">
        <f t="shared" si="95"/>
        <v>71.287744860425391</v>
      </c>
      <c r="CW102" s="20">
        <f t="shared" si="67"/>
        <v>647.58410496524073</v>
      </c>
      <c r="CX102" s="57">
        <f t="shared" si="68"/>
        <v>940.9174382985741</v>
      </c>
      <c r="CY102" s="57">
        <f ca="1">AVERAGE(OFFSET($CX$3,0,0,'Données projet'!$E$13+1,1))-AVERAGE(OFFSET($H$3,0,0,'Données projet'!$E$13+1,1))</f>
        <v>436.59978658837537</v>
      </c>
      <c r="CZ102" s="57">
        <f t="shared" si="96"/>
        <v>267.2998309535638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37.071836292888847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37.071836292888847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3.6</v>
      </c>
      <c r="DO102" s="12">
        <f>IF('Données projet'!$A$166&gt;35,DO101+DN102-DW101,IF(A102&lt;'Données projet'!$A$166,$DL$205^A102,IF(A102='Données projet'!$A$166,'Données projet'!$B$166,DO101+DN102-DW101)))</f>
        <v>212.39999999999998</v>
      </c>
      <c r="DP102" s="17">
        <f>DO102*VLOOKUP('Données projet'!$B$14,Paramètres!$A$1:$I$89,3,0)*VLOOKUP('Données projet'!$B$14,Paramètres!$A$1:$I$89,5,0)</f>
        <v>202.11983999999998</v>
      </c>
      <c r="DQ102" s="13">
        <f t="shared" si="97"/>
        <v>50.209758136493654</v>
      </c>
      <c r="DR102" s="20">
        <f t="shared" si="70"/>
        <v>439.47405008772643</v>
      </c>
      <c r="DS102" s="57">
        <f t="shared" si="71"/>
        <v>732.80738342105974</v>
      </c>
      <c r="DT102" s="57">
        <f ca="1">AVERAGE(OFFSET($DS$3,0,0,'Données projet'!$E$14+1,1))-AVERAGE(OFFSET($H$3,0,0,'Données projet'!$E$14+1,1))</f>
        <v>292.95981568144879</v>
      </c>
      <c r="DU102" s="57">
        <f t="shared" si="98"/>
        <v>152.23954167722536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19.995424976386538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19.995424976386538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7" t="e">
        <f t="shared" si="74"/>
        <v>#N/A</v>
      </c>
      <c r="EO102" s="57" t="e">
        <f ca="1">AVERAGE(OFFSET($EN$3,0,0,'Données projet'!$E$15+1,1))-AVERAGE(OFFSET($H$3,0,0,'Données projet'!$E$15+1,1))</f>
        <v>#N/A</v>
      </c>
      <c r="EP102" s="57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7" t="e">
        <f t="shared" si="77"/>
        <v>#N/A</v>
      </c>
      <c r="FJ102" s="57" t="e">
        <f ca="1">AVERAGE(OFFSET($FI$3,0,0,'Données projet'!$E$16+1,1))-AVERAGE(OFFSET($H$3,0,0,'Données projet'!$E$16+1,1))</f>
        <v>#N/A</v>
      </c>
      <c r="FK102" s="57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7" t="e">
        <f t="shared" si="80"/>
        <v>#N/A</v>
      </c>
      <c r="GE102" s="57" t="e">
        <f ca="1">AVERAGE(OFFSET($GD$3,0,0,'Données projet'!$E$17+1,1))-AVERAGE(OFFSET($H$3,0,0,'Données projet'!$E$17+1,1))</f>
        <v>#N/A</v>
      </c>
      <c r="GF102" s="57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7" t="e">
        <f t="shared" si="83"/>
        <v>#N/A</v>
      </c>
      <c r="GZ102" s="57" t="e">
        <f ca="1">AVERAGE(OFFSET($GY$3,0,0,'Données projet'!$E$18+1,1))-AVERAGE(OFFSET($H$3,0,0,'Données projet'!$E$18+1,1))</f>
        <v>#N/A</v>
      </c>
      <c r="HA102" s="57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1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5">
        <f t="shared" si="56"/>
        <v>256.66666666666669</v>
      </c>
      <c r="I103" s="6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2.8</v>
      </c>
      <c r="M103" s="12">
        <f t="array" ref="M103">INDEX(L:L,MIN(IF(ISNUMBER(L103:L299),ROW(L103:L299),"")))</f>
        <v>2.8</v>
      </c>
      <c r="N103" s="13">
        <f>IF('Données projet'!$A$36&gt;35,N102+M103-V102,IF(A103&lt;'Données projet'!$A$36,$K$205^A103,IF(A103='Données projet'!$A$36,'Données projet'!$B$36,N102+M103-V102)))</f>
        <v>281.99999999999994</v>
      </c>
      <c r="O103" s="13">
        <f>N103*VLOOKUP('Données projet'!$B$9,Paramètres!$A$1:$I$89,3,0)*VLOOKUP('Données projet'!$B$9,Paramètres!$A$1:$I$89,5,0)</f>
        <v>255.15359999999993</v>
      </c>
      <c r="P103" s="13">
        <f t="shared" si="87"/>
        <v>61.688192762754426</v>
      </c>
      <c r="Q103" s="20">
        <f t="shared" si="107"/>
        <v>551.83278906179714</v>
      </c>
      <c r="R103" s="57">
        <f t="shared" si="55"/>
        <v>845.16612239513051</v>
      </c>
      <c r="S103" s="57">
        <f ca="1">AVERAGE(OFFSET($R$3,0,0,'Données projet'!$E$9+1,1))-AVERAGE(OFFSET($H$3,0,0,'Données projet'!$E$9+1,1))</f>
        <v>373.45926089889866</v>
      </c>
      <c r="T103" s="57">
        <f t="shared" si="88"/>
        <v>231.36959598460686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36.873220157190502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36.873220157190502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2.8</v>
      </c>
      <c r="AH103" s="12">
        <f t="array" ref="AH103">INDEX(AG:AG,MIN(IF(ISNUMBER(AG103:AG299),ROW(AG103:AG299),"")))</f>
        <v>2.8</v>
      </c>
      <c r="AI103" s="13">
        <f>IF('Données projet'!$A$62&gt;35,AI102+AH103-AQ102,IF(A103&lt;'Données projet'!$A$62,$AF$205^A103,IF(A103='Données projet'!$A$62,'Données projet'!$B$62,AI102+AH103-AQ102)))</f>
        <v>281.99999999999994</v>
      </c>
      <c r="AJ103" s="13">
        <f>AI103*VLOOKUP('Données projet'!$B$10,Paramètres!$A$1:$I$89,3,0)*VLOOKUP('Données projet'!$B$10,Paramètres!$A$1:$I$89,5,0)</f>
        <v>268.35119999999995</v>
      </c>
      <c r="AK103" s="13">
        <f t="shared" si="89"/>
        <v>64.499227668096069</v>
      </c>
      <c r="AL103" s="20">
        <f t="shared" si="58"/>
        <v>579.71449485526716</v>
      </c>
      <c r="AM103" s="57">
        <f t="shared" si="59"/>
        <v>873.04782818860053</v>
      </c>
      <c r="AN103" s="57">
        <f ca="1">AVERAGE(OFFSET($AM$3,0,0,'Données projet'!$E$10+1,1))-AVERAGE(OFFSET($H$3,0,0,'Données projet'!$E$10+1,1))</f>
        <v>390.70240761116355</v>
      </c>
      <c r="AO103" s="57">
        <f t="shared" si="90"/>
        <v>241.18285512887638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38.780455682562419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38.780455682562419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2.8</v>
      </c>
      <c r="BC103" s="12">
        <f t="array" ref="BC103">INDEX(BB:BB,MIN(IF(ISNUMBER(BB103:BB299),ROW(BB103:BB299),"")))</f>
        <v>2.8</v>
      </c>
      <c r="BD103" s="12">
        <f>IF('Données projet'!$A$88&gt;35,BD102+BC103-BL102,IF(A103&lt;'Données projet'!$A$88,$BA$205^A103,IF(A103='Données projet'!$A$88,'Données projet'!$B$88,BD102+BC103-BL102)))</f>
        <v>281.99999999999994</v>
      </c>
      <c r="BE103" s="13">
        <f>BD103*VLOOKUP('Données projet'!$B$11,Paramètres!$A$1:$I$89,3,0)*VLOOKUP('Données projet'!$B$11,Paramètres!$A$1:$I$89,5,0)</f>
        <v>272.75039999999996</v>
      </c>
      <c r="BF103" s="13">
        <f t="shared" si="91"/>
        <v>65.432628830820633</v>
      </c>
      <c r="BG103" s="20">
        <f t="shared" si="61"/>
        <v>589.00210854701254</v>
      </c>
      <c r="BH103" s="57">
        <f t="shared" si="62"/>
        <v>882.3354418803458</v>
      </c>
      <c r="BI103" s="57">
        <f ca="1">AVERAGE(OFFSET($BH$3,0,0,'Données projet'!$E$11+1,1))-AVERAGE(OFFSET($H$3,0,0,'Données projet'!$E$11+1,1))</f>
        <v>396.44612884768748</v>
      </c>
      <c r="BJ103" s="57">
        <f t="shared" si="92"/>
        <v>244.451492444461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39.416200857686405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39.416200857686405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3.4106051316484809E-13</v>
      </c>
      <c r="BZ103" s="13">
        <f>BY103*VLOOKUP('Données projet'!$B$12,Paramètres!$A$1:$I$89,3,0)*VLOOKUP('Données projet'!$B$12,Paramètres!$A$1:$I$89,5,0)</f>
        <v>2.0395418687257919E-13</v>
      </c>
      <c r="CA103" s="13">
        <f t="shared" si="93"/>
        <v>2.8200388570161721E-12</v>
      </c>
      <c r="CB103" s="20">
        <f t="shared" si="64"/>
        <v>5.2667878847729083E-12</v>
      </c>
      <c r="CC103" s="57">
        <f t="shared" si="65"/>
        <v>293.3333333333386</v>
      </c>
      <c r="CD103" s="57">
        <f ca="1">AVERAGE(OFFSET($CC$3,0,0,'Données projet'!$E$12+1,1))-AVERAGE(OFFSET($H$3,0,0,'Données projet'!$E$12+1,1))</f>
        <v>259.64096626089821</v>
      </c>
      <c r="CE103" s="57">
        <f t="shared" si="94"/>
        <v>258.1415293081597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68.328683313822637</v>
      </c>
      <c r="CL103" s="21">
        <f>EXP(-LN(2)/25)*CL102+(1-EXP(-LN(2)/25))/(LN(2)/25)*Calculateur!CG103*Calculateur!CI103*VLOOKUP('Données projet'!$B$12,Paramètres!$A$1:$I$89,3,0)*0.475*44/12</f>
        <v>11.690989316752599</v>
      </c>
      <c r="CM103" s="21">
        <f>EXP(-LN(2)/2)*CM102+(1-EXP(-LN(2)/2))/(LN(2)/2)*CG103*CJ103*VLOOKUP('Données projet'!$B$12,Paramètres!$A$1:$I$89,3,0)*0.475*44/12</f>
        <v>2.5896518572079254E-5</v>
      </c>
      <c r="CN103" s="22">
        <f t="shared" si="66"/>
        <v>80.019698527093794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282</v>
      </c>
      <c r="CR103" s="12">
        <f>VLOOKUP(A103,'Données projet'!$A$139:$I$159,9,0)</f>
        <v>2.8</v>
      </c>
      <c r="CS103" s="12">
        <f t="array" ref="CS103">INDEX(CR:CR,MIN(IF(ISNUMBER(CR103:CR299),ROW(CR103:CR299),"")))</f>
        <v>2.8</v>
      </c>
      <c r="CT103" s="12">
        <f>IF('Données projet'!$A$140&gt;35,CT102+CS103-DB102,IF(A103&lt;'Données projet'!$A$140,$CQ$205^A103,IF(A103='Données projet'!$A$140,'Données projet'!$B$140,CT102+CS103-DB102)))</f>
        <v>281.99999999999994</v>
      </c>
      <c r="CU103" s="17">
        <f>CT103*VLOOKUP('Données projet'!$B$13,Paramètres!$A$1:$I$89,3,0)*VLOOKUP('Données projet'!$B$13,Paramètres!$A$1:$I$89,5,0)</f>
        <v>303.54479999999995</v>
      </c>
      <c r="CV103" s="13">
        <f t="shared" si="95"/>
        <v>71.919080904752505</v>
      </c>
      <c r="CW103" s="20">
        <f t="shared" si="67"/>
        <v>653.93292590911051</v>
      </c>
      <c r="CX103" s="57">
        <f t="shared" si="68"/>
        <v>947.26625924244377</v>
      </c>
      <c r="CY103" s="57">
        <f ca="1">AVERAGE(OFFSET($CX$3,0,0,'Données projet'!$E$13+1,1))-AVERAGE(OFFSET($H$3,0,0,'Données projet'!$E$13+1,1))</f>
        <v>436.59978658837537</v>
      </c>
      <c r="CZ103" s="57">
        <f t="shared" si="96"/>
        <v>267.2998309535638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21</v>
      </c>
      <c r="DC103" s="16">
        <f>IF(ISNA(VLOOKUP(A103,'Données projet'!$A$139:$I$159,5,0)),0%,VLOOKUP(A103,'Données projet'!$A$139:$I$159,5,0)*VLOOKUP('Données projet'!$B$13,Paramètres!$A$1:$I$89,7,0))</f>
        <v>0.30099999999999999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43.866417083554225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43.866417083554225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216</v>
      </c>
      <c r="DM103" s="12">
        <f>VLOOKUP(A103,'Données projet'!$A$165:$I$185,9,0)</f>
        <v>3.6</v>
      </c>
      <c r="DN103" s="12">
        <f t="array" ref="DN103">INDEX(DM:DM,MIN(IF(ISNUMBER(DM103:DM299),ROW(DM103:DM299),"")))</f>
        <v>3.6</v>
      </c>
      <c r="DO103" s="12">
        <f>IF('Données projet'!$A$166&gt;35,DO102+DN103-DW102,IF(A103&lt;'Données projet'!$A$166,$DL$205^A103,IF(A103='Données projet'!$A$166,'Données projet'!$B$166,DO102+DN103-DW102)))</f>
        <v>215.99999999999997</v>
      </c>
      <c r="DP103" s="17">
        <f>DO103*VLOOKUP('Données projet'!$B$14,Paramètres!$A$1:$I$89,3,0)*VLOOKUP('Données projet'!$B$14,Paramètres!$A$1:$I$89,5,0)</f>
        <v>205.54559999999998</v>
      </c>
      <c r="DQ103" s="13">
        <f t="shared" si="97"/>
        <v>50.960975968608096</v>
      </c>
      <c r="DR103" s="20">
        <f t="shared" si="70"/>
        <v>446.74895314532574</v>
      </c>
      <c r="DS103" s="57">
        <f t="shared" si="71"/>
        <v>740.08228647865906</v>
      </c>
      <c r="DT103" s="57">
        <f ca="1">AVERAGE(OFFSET($DS$3,0,0,'Données projet'!$E$14+1,1))-AVERAGE(OFFSET($H$3,0,0,'Données projet'!$E$14+1,1))</f>
        <v>292.95981568144879</v>
      </c>
      <c r="DU103" s="57">
        <f t="shared" si="98"/>
        <v>152.23954167722536</v>
      </c>
      <c r="DV103" s="15">
        <f>IF(ISNA(VLOOKUP(A103,'Données projet'!$A$165:$I$185,3,0)),0,VLOOKUP(A103,'Données projet'!$A$165:$I$185,3,0))</f>
        <v>16</v>
      </c>
      <c r="DW103" s="15">
        <f>IF(ISNA(VLOOKUP(A103,'Données projet'!$A$165:$I$185,4,0)),0,VLOOKUP(A103,'Données projet'!$A$165:$I$185,4,0))</f>
        <v>14</v>
      </c>
      <c r="DX103" s="16">
        <f>IF(ISNA(VLOOKUP(A103,'Données projet'!$A$165:$I$185,5,0)),0%,VLOOKUP(A103,'Données projet'!$A$165:$I$185,5,0)*VLOOKUP('Données projet'!$B$14,Paramètres!$A$1:$I$89,7,0))</f>
        <v>0.30099999999999999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24.0363099824758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24.0363099824758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7" t="e">
        <f t="shared" si="74"/>
        <v>#N/A</v>
      </c>
      <c r="EO103" s="57" t="e">
        <f ca="1">AVERAGE(OFFSET($EN$3,0,0,'Données projet'!$E$15+1,1))-AVERAGE(OFFSET($H$3,0,0,'Données projet'!$E$15+1,1))</f>
        <v>#N/A</v>
      </c>
      <c r="EP103" s="57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7" t="e">
        <f t="shared" si="77"/>
        <v>#N/A</v>
      </c>
      <c r="FJ103" s="57" t="e">
        <f ca="1">AVERAGE(OFFSET($FI$3,0,0,'Données projet'!$E$16+1,1))-AVERAGE(OFFSET($H$3,0,0,'Données projet'!$E$16+1,1))</f>
        <v>#N/A</v>
      </c>
      <c r="FK103" s="57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7" t="e">
        <f t="shared" si="80"/>
        <v>#N/A</v>
      </c>
      <c r="GE103" s="57" t="e">
        <f ca="1">AVERAGE(OFFSET($GD$3,0,0,'Données projet'!$E$17+1,1))-AVERAGE(OFFSET($H$3,0,0,'Données projet'!$E$17+1,1))</f>
        <v>#N/A</v>
      </c>
      <c r="GF103" s="57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7" t="e">
        <f t="shared" si="83"/>
        <v>#N/A</v>
      </c>
      <c r="GZ103" s="57" t="e">
        <f ca="1">AVERAGE(OFFSET($GY$3,0,0,'Données projet'!$E$18+1,1))-AVERAGE(OFFSET($H$3,0,0,'Données projet'!$E$18+1,1))</f>
        <v>#N/A</v>
      </c>
      <c r="HA103" s="57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1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5">
        <f t="shared" si="56"/>
        <v>256.66666666666669</v>
      </c>
      <c r="I104" s="6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2.4</v>
      </c>
      <c r="N104" s="13">
        <f>IF('Données projet'!$A$36&gt;35,N103+M104-V103,IF(A104&lt;'Données projet'!$A$36,$K$205^A104,IF(A104='Données projet'!$A$36,'Données projet'!$B$36,N103+M104-V103)))</f>
        <v>263.39999999999992</v>
      </c>
      <c r="O104" s="13">
        <f>N104*VLOOKUP('Données projet'!$B$9,Paramètres!$A$1:$I$89,3,0)*VLOOKUP('Données projet'!$B$9,Paramètres!$A$1:$I$89,5,0)</f>
        <v>238.32431999999991</v>
      </c>
      <c r="P104" s="13">
        <f t="shared" si="87"/>
        <v>58.078852882738758</v>
      </c>
      <c r="Q104" s="20">
        <f t="shared" si="107"/>
        <v>516.23552610410309</v>
      </c>
      <c r="R104" s="57">
        <f t="shared" si="55"/>
        <v>809.56885943743646</v>
      </c>
      <c r="S104" s="57">
        <f ca="1">AVERAGE(OFFSET($R$3,0,0,'Données projet'!$E$9+1,1))-AVERAGE(OFFSET($H$3,0,0,'Données projet'!$E$9+1,1))</f>
        <v>373.45926089889866</v>
      </c>
      <c r="T104" s="57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36.150158800351548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36.150158800351548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2.4</v>
      </c>
      <c r="AI104" s="13">
        <f>IF('Données projet'!$A$62&gt;35,AI103+AH104-AQ103,IF(A104&lt;'Données projet'!$A$62,$AF$205^A104,IF(A104='Données projet'!$A$62,'Données projet'!$B$62,AI103+AH104-AQ103)))</f>
        <v>263.39999999999992</v>
      </c>
      <c r="AJ104" s="13">
        <f>AI104*VLOOKUP('Données projet'!$B$10,Paramètres!$A$1:$I$89,3,0)*VLOOKUP('Données projet'!$B$10,Paramètres!$A$1:$I$89,5,0)</f>
        <v>250.65143999999992</v>
      </c>
      <c r="AK104" s="13">
        <f t="shared" si="89"/>
        <v>60.725415788925126</v>
      </c>
      <c r="AL104" s="20">
        <f t="shared" si="58"/>
        <v>542.31469049904456</v>
      </c>
      <c r="AM104" s="57">
        <f t="shared" si="59"/>
        <v>835.64802383237793</v>
      </c>
      <c r="AN104" s="57">
        <f ca="1">AVERAGE(OFFSET($AM$3,0,0,'Données projet'!$E$10+1,1))-AVERAGE(OFFSET($H$3,0,0,'Données projet'!$E$10+1,1))</f>
        <v>390.70240761116355</v>
      </c>
      <c r="AO104" s="57">
        <f t="shared" si="90"/>
        <v>241.18285512887638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38.019994600369721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38.019994600369721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2.4</v>
      </c>
      <c r="BD104" s="12">
        <f>IF('Données projet'!$A$88&gt;35,BD103+BC104-BL103,IF(A104&lt;'Données projet'!$A$88,$BA$205^A104,IF(A104='Données projet'!$A$88,'Données projet'!$B$88,BD103+BC104-BL103)))</f>
        <v>263.39999999999992</v>
      </c>
      <c r="BE104" s="13">
        <f>BD104*VLOOKUP('Données projet'!$B$11,Paramètres!$A$1:$I$89,3,0)*VLOOKUP('Données projet'!$B$11,Paramètres!$A$1:$I$89,5,0)</f>
        <v>254.76047999999992</v>
      </c>
      <c r="BF104" s="13">
        <f t="shared" si="91"/>
        <v>61.604204198547471</v>
      </c>
      <c r="BG104" s="20">
        <f t="shared" si="61"/>
        <v>551.00182497913659</v>
      </c>
      <c r="BH104" s="57">
        <f t="shared" si="62"/>
        <v>844.33515831246996</v>
      </c>
      <c r="BI104" s="57">
        <f ca="1">AVERAGE(OFFSET($BH$3,0,0,'Données projet'!$E$11+1,1))-AVERAGE(OFFSET($H$3,0,0,'Données projet'!$E$11+1,1))</f>
        <v>396.44612884768748</v>
      </c>
      <c r="BJ104" s="57">
        <f t="shared" si="92"/>
        <v>244.451492444461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38.643273200375795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38.643273200375795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3.4106051316484809E-13</v>
      </c>
      <c r="BZ104" s="13">
        <f>BY104*VLOOKUP('Données projet'!$B$12,Paramètres!$A$1:$I$89,3,0)*VLOOKUP('Données projet'!$B$12,Paramètres!$A$1:$I$89,5,0)</f>
        <v>2.0395418687257919E-13</v>
      </c>
      <c r="CA104" s="13">
        <f t="shared" si="93"/>
        <v>2.8200388570161721E-12</v>
      </c>
      <c r="CB104" s="20">
        <f t="shared" si="64"/>
        <v>5.2667878847729083E-12</v>
      </c>
      <c r="CC104" s="57">
        <f t="shared" si="65"/>
        <v>293.3333333333386</v>
      </c>
      <c r="CD104" s="57">
        <f ca="1">AVERAGE(OFFSET($CC$3,0,0,'Données projet'!$E$12+1,1))-AVERAGE(OFFSET($H$3,0,0,'Données projet'!$E$12+1,1))</f>
        <v>259.64096626089821</v>
      </c>
      <c r="CE104" s="57">
        <f t="shared" si="94"/>
        <v>258.1415293081597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66.988799510420193</v>
      </c>
      <c r="CL104" s="21">
        <f>EXP(-LN(2)/25)*CL103+(1-EXP(-LN(2)/25))/(LN(2)/25)*Calculateur!CG104*Calculateur!CI104*VLOOKUP('Données projet'!$B$12,Paramètres!$A$1:$I$89,3,0)*0.475*44/12</f>
        <v>11.371298599083591</v>
      </c>
      <c r="CM104" s="21">
        <f>EXP(-LN(2)/2)*CM103+(1-EXP(-LN(2)/2))/(LN(2)/2)*CG104*CJ104*VLOOKUP('Données projet'!$B$12,Paramètres!$A$1:$I$89,3,0)*0.475*44/12</f>
        <v>1.8311603891440609E-5</v>
      </c>
      <c r="CN104" s="22">
        <f t="shared" si="66"/>
        <v>78.360116421107676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2.4</v>
      </c>
      <c r="CT104" s="12">
        <f>IF('Données projet'!$A$140&gt;35,CT103+CS104-DB103,IF(A104&lt;'Données projet'!$A$140,$CQ$205^A104,IF(A104='Données projet'!$A$140,'Données projet'!$B$140,CT103+CS104-DB103)))</f>
        <v>263.39999999999992</v>
      </c>
      <c r="CU104" s="17">
        <f>CT104*VLOOKUP('Données projet'!$B$13,Paramètres!$A$1:$I$89,3,0)*VLOOKUP('Données projet'!$B$13,Paramètres!$A$1:$I$89,5,0)</f>
        <v>283.52375999999987</v>
      </c>
      <c r="CV104" s="13">
        <f t="shared" si="95"/>
        <v>67.711137776285298</v>
      </c>
      <c r="CW104" s="20">
        <f t="shared" si="67"/>
        <v>611.73411362703007</v>
      </c>
      <c r="CX104" s="57">
        <f t="shared" si="68"/>
        <v>905.06744696036344</v>
      </c>
      <c r="CY104" s="57">
        <f ca="1">AVERAGE(OFFSET($CX$3,0,0,'Données projet'!$E$13+1,1))-AVERAGE(OFFSET($H$3,0,0,'Données projet'!$E$13+1,1))</f>
        <v>436.59978658837537</v>
      </c>
      <c r="CZ104" s="57">
        <f t="shared" si="96"/>
        <v>267.2998309535638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43.006223400418222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43.006223400418222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3.2</v>
      </c>
      <c r="DO104" s="12">
        <f>IF('Données projet'!$A$166&gt;35,DO103+DN104-DW103,IF(A104&lt;'Données projet'!$A$166,$DL$205^A104,IF(A104='Données projet'!$A$166,'Données projet'!$B$166,DO103+DN104-DW103)))</f>
        <v>205.19999999999996</v>
      </c>
      <c r="DP104" s="17">
        <f>DO104*VLOOKUP('Données projet'!$B$14,Paramètres!$A$1:$I$89,3,0)*VLOOKUP('Données projet'!$B$14,Paramètres!$A$1:$I$89,5,0)</f>
        <v>195.26831999999996</v>
      </c>
      <c r="DQ104" s="13">
        <f t="shared" si="97"/>
        <v>48.702843078505502</v>
      </c>
      <c r="DR104" s="20">
        <f t="shared" si="70"/>
        <v>424.91644236173033</v>
      </c>
      <c r="DS104" s="57">
        <f t="shared" si="71"/>
        <v>718.24977569506359</v>
      </c>
      <c r="DT104" s="57">
        <f ca="1">AVERAGE(OFFSET($DS$3,0,0,'Données projet'!$E$14+1,1))-AVERAGE(OFFSET($H$3,0,0,'Données projet'!$E$14+1,1))</f>
        <v>292.95981568144879</v>
      </c>
      <c r="DU104" s="57">
        <f t="shared" si="98"/>
        <v>152.23954167722536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23.564972604420916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23.564972604420916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7" t="e">
        <f t="shared" si="74"/>
        <v>#N/A</v>
      </c>
      <c r="EO104" s="57" t="e">
        <f ca="1">AVERAGE(OFFSET($EN$3,0,0,'Données projet'!$E$15+1,1))-AVERAGE(OFFSET($H$3,0,0,'Données projet'!$E$15+1,1))</f>
        <v>#N/A</v>
      </c>
      <c r="EP104" s="57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7" t="e">
        <f t="shared" si="77"/>
        <v>#N/A</v>
      </c>
      <c r="FJ104" s="57" t="e">
        <f ca="1">AVERAGE(OFFSET($FI$3,0,0,'Données projet'!$E$16+1,1))-AVERAGE(OFFSET($H$3,0,0,'Données projet'!$E$16+1,1))</f>
        <v>#N/A</v>
      </c>
      <c r="FK104" s="57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7" t="e">
        <f t="shared" si="80"/>
        <v>#N/A</v>
      </c>
      <c r="GE104" s="57" t="e">
        <f ca="1">AVERAGE(OFFSET($GD$3,0,0,'Données projet'!$E$17+1,1))-AVERAGE(OFFSET($H$3,0,0,'Données projet'!$E$17+1,1))</f>
        <v>#N/A</v>
      </c>
      <c r="GF104" s="57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7" t="e">
        <f t="shared" si="83"/>
        <v>#N/A</v>
      </c>
      <c r="GZ104" s="57" t="e">
        <f ca="1">AVERAGE(OFFSET($GY$3,0,0,'Données projet'!$E$18+1,1))-AVERAGE(OFFSET($H$3,0,0,'Données projet'!$E$18+1,1))</f>
        <v>#N/A</v>
      </c>
      <c r="HA104" s="57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1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5">
        <f t="shared" si="56"/>
        <v>256.66666666666669</v>
      </c>
      <c r="I105" s="6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2.4</v>
      </c>
      <c r="N105" s="13">
        <f>IF('Données projet'!$A$36&gt;35,N104+M105-V104,IF(A105&lt;'Données projet'!$A$36,$K$205^A105,IF(A105='Données projet'!$A$36,'Données projet'!$B$36,N104+M105-V104)))</f>
        <v>265.7999999999999</v>
      </c>
      <c r="O105" s="13">
        <f>N105*VLOOKUP('Données projet'!$B$9,Paramètres!$A$1:$I$89,3,0)*VLOOKUP('Données projet'!$B$9,Paramètres!$A$1:$I$89,5,0)</f>
        <v>240.4958399999999</v>
      </c>
      <c r="P105" s="13">
        <f t="shared" si="87"/>
        <v>58.546200055878181</v>
      </c>
      <c r="Q105" s="20">
        <f t="shared" si="107"/>
        <v>520.83155309732092</v>
      </c>
      <c r="R105" s="57">
        <f t="shared" si="55"/>
        <v>814.16488643065418</v>
      </c>
      <c r="S105" s="57">
        <f ca="1">AVERAGE(OFFSET($R$3,0,0,'Données projet'!$E$9+1,1))-AVERAGE(OFFSET($H$3,0,0,'Données projet'!$E$9+1,1))</f>
        <v>373.45926089889866</v>
      </c>
      <c r="T105" s="57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35.441276235696321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35.441276235696321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2.4</v>
      </c>
      <c r="AI105" s="13">
        <f>IF('Données projet'!$A$62&gt;35,AI104+AH105-AQ104,IF(A105&lt;'Données projet'!$A$62,$AF$205^A105,IF(A105='Données projet'!$A$62,'Données projet'!$B$62,AI104+AH105-AQ104)))</f>
        <v>265.7999999999999</v>
      </c>
      <c r="AJ105" s="13">
        <f>AI105*VLOOKUP('Données projet'!$B$10,Paramètres!$A$1:$I$89,3,0)*VLOOKUP('Données projet'!$B$10,Paramètres!$A$1:$I$89,5,0)</f>
        <v>252.93527999999989</v>
      </c>
      <c r="AK105" s="13">
        <f t="shared" si="89"/>
        <v>61.214059245158197</v>
      </c>
      <c r="AL105" s="20">
        <f t="shared" si="58"/>
        <v>547.14343251865034</v>
      </c>
      <c r="AM105" s="57">
        <f t="shared" si="59"/>
        <v>840.4767658519836</v>
      </c>
      <c r="AN105" s="57">
        <f ca="1">AVERAGE(OFFSET($AM$3,0,0,'Données projet'!$E$10+1,1))-AVERAGE(OFFSET($H$3,0,0,'Données projet'!$E$10+1,1))</f>
        <v>390.70240761116355</v>
      </c>
      <c r="AO105" s="57">
        <f t="shared" si="90"/>
        <v>241.18285512887638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37.274445696163362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37.274445696163362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2.4</v>
      </c>
      <c r="BD105" s="12">
        <f>IF('Données projet'!$A$88&gt;35,BD104+BC105-BL104,IF(A105&lt;'Données projet'!$A$88,$BA$205^A105,IF(A105='Données projet'!$A$88,'Données projet'!$B$88,BD104+BC105-BL104)))</f>
        <v>265.7999999999999</v>
      </c>
      <c r="BE105" s="13">
        <f>BD105*VLOOKUP('Données projet'!$B$11,Paramètres!$A$1:$I$89,3,0)*VLOOKUP('Données projet'!$B$11,Paramètres!$A$1:$I$89,5,0)</f>
        <v>257.08175999999992</v>
      </c>
      <c r="BF105" s="13">
        <f t="shared" si="91"/>
        <v>62.099919063023641</v>
      </c>
      <c r="BG105" s="20">
        <f t="shared" si="61"/>
        <v>555.90809103476602</v>
      </c>
      <c r="BH105" s="57">
        <f t="shared" si="62"/>
        <v>849.24142436809939</v>
      </c>
      <c r="BI105" s="57">
        <f ca="1">AVERAGE(OFFSET($BH$3,0,0,'Données projet'!$E$11+1,1))-AVERAGE(OFFSET($H$3,0,0,'Données projet'!$E$11+1,1))</f>
        <v>396.44612884768748</v>
      </c>
      <c r="BJ105" s="57">
        <f t="shared" si="92"/>
        <v>244.451492444461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37.885502182985725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37.885502182985725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3.4106051316484809E-13</v>
      </c>
      <c r="BZ105" s="13">
        <f>BY105*VLOOKUP('Données projet'!$B$12,Paramètres!$A$1:$I$89,3,0)*VLOOKUP('Données projet'!$B$12,Paramètres!$A$1:$I$89,5,0)</f>
        <v>2.0395418687257919E-13</v>
      </c>
      <c r="CA105" s="13">
        <f t="shared" si="93"/>
        <v>2.8200388570161721E-12</v>
      </c>
      <c r="CB105" s="20">
        <f t="shared" si="64"/>
        <v>5.2667878847729083E-12</v>
      </c>
      <c r="CC105" s="57">
        <f t="shared" si="65"/>
        <v>293.3333333333386</v>
      </c>
      <c r="CD105" s="57">
        <f ca="1">AVERAGE(OFFSET($CC$3,0,0,'Données projet'!$E$12+1,1))-AVERAGE(OFFSET($H$3,0,0,'Données projet'!$E$12+1,1))</f>
        <v>259.64096626089821</v>
      </c>
      <c r="CE105" s="57">
        <f t="shared" si="94"/>
        <v>258.1415293081597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65.675190011154044</v>
      </c>
      <c r="CL105" s="21">
        <f>EXP(-LN(2)/25)*CL104+(1-EXP(-LN(2)/25))/(LN(2)/25)*Calculateur!CG105*Calculateur!CI105*VLOOKUP('Données projet'!$B$12,Paramètres!$A$1:$I$89,3,0)*0.475*44/12</f>
        <v>11.060349840901047</v>
      </c>
      <c r="CM105" s="21">
        <f>EXP(-LN(2)/2)*CM104+(1-EXP(-LN(2)/2))/(LN(2)/2)*CG105*CJ105*VLOOKUP('Données projet'!$B$12,Paramètres!$A$1:$I$89,3,0)*0.475*44/12</f>
        <v>1.2948259286039627E-5</v>
      </c>
      <c r="CN105" s="22">
        <f t="shared" si="66"/>
        <v>76.73555280031438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2.4</v>
      </c>
      <c r="CT105" s="12">
        <f>IF('Données projet'!$A$140&gt;35,CT104+CS105-DB104,IF(A105&lt;'Données projet'!$A$140,$CQ$205^A105,IF(A105='Données projet'!$A$140,'Données projet'!$B$140,CT104+CS105-DB104)))</f>
        <v>265.7999999999999</v>
      </c>
      <c r="CU105" s="17">
        <f>CT105*VLOOKUP('Données projet'!$B$13,Paramètres!$A$1:$I$89,3,0)*VLOOKUP('Données projet'!$B$13,Paramètres!$A$1:$I$89,5,0)</f>
        <v>286.10711999999984</v>
      </c>
      <c r="CV105" s="13">
        <f t="shared" si="95"/>
        <v>68.255993730890523</v>
      </c>
      <c r="CW105" s="20">
        <f t="shared" si="67"/>
        <v>617.18242308130061</v>
      </c>
      <c r="CX105" s="57">
        <f t="shared" si="68"/>
        <v>910.51575641463387</v>
      </c>
      <c r="CY105" s="57">
        <f ca="1">AVERAGE(OFFSET($CX$3,0,0,'Données projet'!$E$13+1,1))-AVERAGE(OFFSET($H$3,0,0,'Données projet'!$E$13+1,1))</f>
        <v>436.59978658837537</v>
      </c>
      <c r="CZ105" s="57">
        <f t="shared" si="96"/>
        <v>267.2998309535638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42.162897590742176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42.162897590742176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3.2</v>
      </c>
      <c r="DO105" s="12">
        <f>IF('Données projet'!$A$166&gt;35,DO104+DN105-DW104,IF(A105&lt;'Données projet'!$A$166,$DL$205^A105,IF(A105='Données projet'!$A$166,'Données projet'!$B$166,DO104+DN105-DW104)))</f>
        <v>208.39999999999995</v>
      </c>
      <c r="DP105" s="17">
        <f>DO105*VLOOKUP('Données projet'!$B$14,Paramètres!$A$1:$I$89,3,0)*VLOOKUP('Données projet'!$B$14,Paramètres!$A$1:$I$89,5,0)</f>
        <v>198.31343999999996</v>
      </c>
      <c r="DQ105" s="13">
        <f t="shared" si="97"/>
        <v>49.373330397745256</v>
      </c>
      <c r="DR105" s="20">
        <f t="shared" si="70"/>
        <v>431.3877917760729</v>
      </c>
      <c r="DS105" s="57">
        <f t="shared" si="71"/>
        <v>724.72112510940622</v>
      </c>
      <c r="DT105" s="57">
        <f ca="1">AVERAGE(OFFSET($DS$3,0,0,'Données projet'!$E$14+1,1))-AVERAGE(OFFSET($H$3,0,0,'Données projet'!$E$14+1,1))</f>
        <v>292.95981568144879</v>
      </c>
      <c r="DU105" s="57">
        <f t="shared" si="98"/>
        <v>152.23954167722536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23.102877864862272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23.102877864862272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7" t="e">
        <f t="shared" si="74"/>
        <v>#N/A</v>
      </c>
      <c r="EO105" s="57" t="e">
        <f ca="1">AVERAGE(OFFSET($EN$3,0,0,'Données projet'!$E$15+1,1))-AVERAGE(OFFSET($H$3,0,0,'Données projet'!$E$15+1,1))</f>
        <v>#N/A</v>
      </c>
      <c r="EP105" s="57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7" t="e">
        <f t="shared" si="77"/>
        <v>#N/A</v>
      </c>
      <c r="FJ105" s="57" t="e">
        <f ca="1">AVERAGE(OFFSET($FI$3,0,0,'Données projet'!$E$16+1,1))-AVERAGE(OFFSET($H$3,0,0,'Données projet'!$E$16+1,1))</f>
        <v>#N/A</v>
      </c>
      <c r="FK105" s="57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7" t="e">
        <f t="shared" si="80"/>
        <v>#N/A</v>
      </c>
      <c r="GE105" s="57" t="e">
        <f ca="1">AVERAGE(OFFSET($GD$3,0,0,'Données projet'!$E$17+1,1))-AVERAGE(OFFSET($H$3,0,0,'Données projet'!$E$17+1,1))</f>
        <v>#N/A</v>
      </c>
      <c r="GF105" s="57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7" t="e">
        <f t="shared" si="83"/>
        <v>#N/A</v>
      </c>
      <c r="GZ105" s="57" t="e">
        <f ca="1">AVERAGE(OFFSET($GY$3,0,0,'Données projet'!$E$18+1,1))-AVERAGE(OFFSET($H$3,0,0,'Données projet'!$E$18+1,1))</f>
        <v>#N/A</v>
      </c>
      <c r="HA105" s="57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1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5">
        <f t="shared" si="56"/>
        <v>256.66666666666669</v>
      </c>
      <c r="I106" s="6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2.4</v>
      </c>
      <c r="N106" s="13">
        <f>IF('Données projet'!$A$36&gt;35,N105+M106-V105,IF(A106&lt;'Données projet'!$A$36,$K$205^A106,IF(A106='Données projet'!$A$36,'Données projet'!$B$36,N105+M106-V105)))</f>
        <v>268.19999999999987</v>
      </c>
      <c r="O106" s="13">
        <f>N106*VLOOKUP('Données projet'!$B$9,Paramètres!$A$1:$I$89,3,0)*VLOOKUP('Données projet'!$B$9,Paramètres!$A$1:$I$89,5,0)</f>
        <v>242.66735999999989</v>
      </c>
      <c r="P106" s="13">
        <f t="shared" si="87"/>
        <v>59.013056290731797</v>
      </c>
      <c r="Q106" s="20">
        <f t="shared" si="107"/>
        <v>525.42672503969095</v>
      </c>
      <c r="R106" s="57">
        <f t="shared" si="55"/>
        <v>818.76005837302432</v>
      </c>
      <c r="S106" s="57">
        <f ca="1">AVERAGE(OFFSET($R$3,0,0,'Données projet'!$E$9+1,1))-AVERAGE(OFFSET($H$3,0,0,'Données projet'!$E$9+1,1))</f>
        <v>373.45926089889866</v>
      </c>
      <c r="T106" s="57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34.746294425758315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34.746294425758315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2.4</v>
      </c>
      <c r="AI106" s="13">
        <f>IF('Données projet'!$A$62&gt;35,AI105+AH106-AQ105,IF(A106&lt;'Données projet'!$A$62,$AF$205^A106,IF(A106='Données projet'!$A$62,'Données projet'!$B$62,AI105+AH106-AQ105)))</f>
        <v>268.19999999999987</v>
      </c>
      <c r="AJ106" s="13">
        <f>AI106*VLOOKUP('Données projet'!$B$10,Paramètres!$A$1:$I$89,3,0)*VLOOKUP('Données projet'!$B$10,Paramètres!$A$1:$I$89,5,0)</f>
        <v>255.21911999999989</v>
      </c>
      <c r="AK106" s="13">
        <f t="shared" si="89"/>
        <v>61.702189391811984</v>
      </c>
      <c r="AL106" s="20">
        <f t="shared" si="58"/>
        <v>551.97128052407231</v>
      </c>
      <c r="AM106" s="57">
        <f t="shared" si="59"/>
        <v>845.30461385740568</v>
      </c>
      <c r="AN106" s="57">
        <f ca="1">AVERAGE(OFFSET($AM$3,0,0,'Données projet'!$E$10+1,1))-AVERAGE(OFFSET($H$3,0,0,'Données projet'!$E$10+1,1))</f>
        <v>390.70240761116355</v>
      </c>
      <c r="AO106" s="57">
        <f t="shared" si="90"/>
        <v>241.18285512887638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36.543516551228564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36.543516551228564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2.4</v>
      </c>
      <c r="BD106" s="12">
        <f>IF('Données projet'!$A$88&gt;35,BD105+BC106-BL105,IF(A106&lt;'Données projet'!$A$88,$BA$205^A106,IF(A106='Données projet'!$A$88,'Données projet'!$B$88,BD105+BC106-BL105)))</f>
        <v>268.19999999999987</v>
      </c>
      <c r="BE106" s="13">
        <f>BD106*VLOOKUP('Données projet'!$B$11,Paramètres!$A$1:$I$89,3,0)*VLOOKUP('Données projet'!$B$11,Paramètres!$A$1:$I$89,5,0)</f>
        <v>259.40303999999992</v>
      </c>
      <c r="BF106" s="13">
        <f t="shared" si="91"/>
        <v>62.595113189556258</v>
      </c>
      <c r="BG106" s="20">
        <f t="shared" si="61"/>
        <v>560.81345013847704</v>
      </c>
      <c r="BH106" s="57">
        <f t="shared" si="62"/>
        <v>854.14678347181029</v>
      </c>
      <c r="BI106" s="57">
        <f ca="1">AVERAGE(OFFSET($BH$3,0,0,'Données projet'!$E$11+1,1))-AVERAGE(OFFSET($H$3,0,0,'Données projet'!$E$11+1,1))</f>
        <v>396.44612884768748</v>
      </c>
      <c r="BJ106" s="57">
        <f t="shared" si="92"/>
        <v>244.451492444461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37.142590593051992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37.142590593051992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3.4106051316484809E-13</v>
      </c>
      <c r="BZ106" s="13">
        <f>BY106*VLOOKUP('Données projet'!$B$12,Paramètres!$A$1:$I$89,3,0)*VLOOKUP('Données projet'!$B$12,Paramètres!$A$1:$I$89,5,0)</f>
        <v>2.0395418687257919E-13</v>
      </c>
      <c r="CA106" s="13">
        <f t="shared" si="93"/>
        <v>2.8200388570161721E-12</v>
      </c>
      <c r="CB106" s="20">
        <f t="shared" si="64"/>
        <v>5.2667878847729083E-12</v>
      </c>
      <c r="CC106" s="57">
        <f t="shared" si="65"/>
        <v>293.3333333333386</v>
      </c>
      <c r="CD106" s="57">
        <f ca="1">AVERAGE(OFFSET($CC$3,0,0,'Données projet'!$E$12+1,1))-AVERAGE(OFFSET($H$3,0,0,'Données projet'!$E$12+1,1))</f>
        <v>259.64096626089821</v>
      </c>
      <c r="CE106" s="57">
        <f t="shared" si="94"/>
        <v>258.1415293081597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64.387339592945835</v>
      </c>
      <c r="CL106" s="21">
        <f>EXP(-LN(2)/25)*CL105+(1-EXP(-LN(2)/25))/(LN(2)/25)*Calculateur!CG106*Calculateur!CI106*VLOOKUP('Données projet'!$B$12,Paramètres!$A$1:$I$89,3,0)*0.475*44/12</f>
        <v>10.757903992863088</v>
      </c>
      <c r="CM106" s="21">
        <f>EXP(-LN(2)/2)*CM105+(1-EXP(-LN(2)/2))/(LN(2)/2)*CG106*CJ106*VLOOKUP('Données projet'!$B$12,Paramètres!$A$1:$I$89,3,0)*0.475*44/12</f>
        <v>9.1558019457203044E-6</v>
      </c>
      <c r="CN106" s="22">
        <f t="shared" si="66"/>
        <v>75.145252741610875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2.4</v>
      </c>
      <c r="CT106" s="12">
        <f>IF('Données projet'!$A$140&gt;35,CT105+CS106-DB105,IF(A106&lt;'Données projet'!$A$140,$CQ$205^A106,IF(A106='Données projet'!$A$140,'Données projet'!$B$140,CT105+CS106-DB105)))</f>
        <v>268.19999999999987</v>
      </c>
      <c r="CU106" s="17">
        <f>CT106*VLOOKUP('Données projet'!$B$13,Paramètres!$A$1:$I$89,3,0)*VLOOKUP('Données projet'!$B$13,Paramètres!$A$1:$I$89,5,0)</f>
        <v>288.69047999999987</v>
      </c>
      <c r="CV106" s="13">
        <f t="shared" si="95"/>
        <v>68.800277325880103</v>
      </c>
      <c r="CW106" s="20">
        <f t="shared" si="67"/>
        <v>622.62973567590745</v>
      </c>
      <c r="CX106" s="57">
        <f t="shared" si="68"/>
        <v>915.96306900924083</v>
      </c>
      <c r="CY106" s="57">
        <f ca="1">AVERAGE(OFFSET($CX$3,0,0,'Données projet'!$E$13+1,1))-AVERAGE(OFFSET($H$3,0,0,'Données projet'!$E$13+1,1))</f>
        <v>436.59978658837537</v>
      </c>
      <c r="CZ106" s="57">
        <f t="shared" si="96"/>
        <v>267.2998309535638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41.336108885815925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41.336108885815925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3.2</v>
      </c>
      <c r="DO106" s="12">
        <f>IF('Données projet'!$A$166&gt;35,DO105+DN106-DW105,IF(A106&lt;'Données projet'!$A$166,$DL$205^A106,IF(A106='Données projet'!$A$166,'Données projet'!$B$166,DO105+DN106-DW105)))</f>
        <v>211.59999999999994</v>
      </c>
      <c r="DP106" s="17">
        <f>DO106*VLOOKUP('Données projet'!$B$14,Paramètres!$A$1:$I$89,3,0)*VLOOKUP('Données projet'!$B$14,Paramètres!$A$1:$I$89,5,0)</f>
        <v>201.35855999999995</v>
      </c>
      <c r="DQ106" s="13">
        <f t="shared" si="97"/>
        <v>50.04262035407568</v>
      </c>
      <c r="DR106" s="20">
        <f t="shared" si="70"/>
        <v>437.85705578334836</v>
      </c>
      <c r="DS106" s="57">
        <f t="shared" si="71"/>
        <v>731.19038911668167</v>
      </c>
      <c r="DT106" s="57">
        <f ca="1">AVERAGE(OFFSET($DS$3,0,0,'Données projet'!$E$14+1,1))-AVERAGE(OFFSET($H$3,0,0,'Données projet'!$E$14+1,1))</f>
        <v>292.95981568144879</v>
      </c>
      <c r="DU106" s="57">
        <f t="shared" si="98"/>
        <v>152.23954167722536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22.649844521296412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22.649844521296412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7" t="e">
        <f t="shared" si="74"/>
        <v>#N/A</v>
      </c>
      <c r="EO106" s="57" t="e">
        <f ca="1">AVERAGE(OFFSET($EN$3,0,0,'Données projet'!$E$15+1,1))-AVERAGE(OFFSET($H$3,0,0,'Données projet'!$E$15+1,1))</f>
        <v>#N/A</v>
      </c>
      <c r="EP106" s="57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7" t="e">
        <f t="shared" si="77"/>
        <v>#N/A</v>
      </c>
      <c r="FJ106" s="57" t="e">
        <f ca="1">AVERAGE(OFFSET($FI$3,0,0,'Données projet'!$E$16+1,1))-AVERAGE(OFFSET($H$3,0,0,'Données projet'!$E$16+1,1))</f>
        <v>#N/A</v>
      </c>
      <c r="FK106" s="57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7" t="e">
        <f t="shared" si="80"/>
        <v>#N/A</v>
      </c>
      <c r="GE106" s="57" t="e">
        <f ca="1">AVERAGE(OFFSET($GD$3,0,0,'Données projet'!$E$17+1,1))-AVERAGE(OFFSET($H$3,0,0,'Données projet'!$E$17+1,1))</f>
        <v>#N/A</v>
      </c>
      <c r="GF106" s="57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7" t="e">
        <f t="shared" si="83"/>
        <v>#N/A</v>
      </c>
      <c r="GZ106" s="57" t="e">
        <f ca="1">AVERAGE(OFFSET($GY$3,0,0,'Données projet'!$E$18+1,1))-AVERAGE(OFFSET($H$3,0,0,'Données projet'!$E$18+1,1))</f>
        <v>#N/A</v>
      </c>
      <c r="HA106" s="57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1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5">
        <f t="shared" si="56"/>
        <v>256.66666666666669</v>
      </c>
      <c r="I107" s="6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2.4</v>
      </c>
      <c r="N107" s="13">
        <f>IF('Données projet'!$A$36&gt;35,N106+M107-V106,IF(A107&lt;'Données projet'!$A$36,$K$205^A107,IF(A107='Données projet'!$A$36,'Données projet'!$B$36,N106+M107-V106)))</f>
        <v>270.59999999999985</v>
      </c>
      <c r="O107" s="13">
        <f>N107*VLOOKUP('Données projet'!$B$9,Paramètres!$A$1:$I$89,3,0)*VLOOKUP('Données projet'!$B$9,Paramètres!$A$1:$I$89,5,0)</f>
        <v>244.83887999999985</v>
      </c>
      <c r="P107" s="13">
        <f t="shared" si="87"/>
        <v>59.47942648942773</v>
      </c>
      <c r="Q107" s="20">
        <f t="shared" si="107"/>
        <v>530.02105046908639</v>
      </c>
      <c r="R107" s="57">
        <f t="shared" si="55"/>
        <v>823.35438380241976</v>
      </c>
      <c r="S107" s="57">
        <f ca="1">AVERAGE(OFFSET($R$3,0,0,'Données projet'!$E$9+1,1))-AVERAGE(OFFSET($H$3,0,0,'Données projet'!$E$9+1,1))</f>
        <v>373.45926089889866</v>
      </c>
      <c r="T107" s="57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34.064940785216145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34.064940785216145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2.4</v>
      </c>
      <c r="AI107" s="13">
        <f>IF('Données projet'!$A$62&gt;35,AI106+AH107-AQ106,IF(A107&lt;'Données projet'!$A$62,$AF$205^A107,IF(A107='Données projet'!$A$62,'Données projet'!$B$62,AI106+AH107-AQ106)))</f>
        <v>270.59999999999985</v>
      </c>
      <c r="AJ107" s="13">
        <f>AI107*VLOOKUP('Données projet'!$B$10,Paramètres!$A$1:$I$89,3,0)*VLOOKUP('Données projet'!$B$10,Paramètres!$A$1:$I$89,5,0)</f>
        <v>257.50295999999986</v>
      </c>
      <c r="AK107" s="13">
        <f t="shared" si="89"/>
        <v>62.189811354397172</v>
      </c>
      <c r="AL107" s="20">
        <f t="shared" si="58"/>
        <v>556.79824344224153</v>
      </c>
      <c r="AM107" s="57">
        <f t="shared" si="59"/>
        <v>850.13157677557479</v>
      </c>
      <c r="AN107" s="57">
        <f ca="1">AVERAGE(OFFSET($AM$3,0,0,'Données projet'!$E$10+1,1))-AVERAGE(OFFSET($H$3,0,0,'Données projet'!$E$10+1,1))</f>
        <v>390.70240761116355</v>
      </c>
      <c r="AO107" s="57">
        <f t="shared" si="90"/>
        <v>241.18285512887638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35.826920481003178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35.826920481003178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2.4</v>
      </c>
      <c r="BD107" s="12">
        <f>IF('Données projet'!$A$88&gt;35,BD106+BC107-BL106,IF(A107&lt;'Données projet'!$A$88,$BA$205^A107,IF(A107='Données projet'!$A$88,'Données projet'!$B$88,BD106+BC107-BL106)))</f>
        <v>270.59999999999985</v>
      </c>
      <c r="BE107" s="13">
        <f>BD107*VLOOKUP('Données projet'!$B$11,Paramètres!$A$1:$I$89,3,0)*VLOOKUP('Données projet'!$B$11,Paramètres!$A$1:$I$89,5,0)</f>
        <v>261.72431999999986</v>
      </c>
      <c r="BF107" s="13">
        <f t="shared" si="91"/>
        <v>63.089791777829888</v>
      </c>
      <c r="BG107" s="20">
        <f t="shared" si="61"/>
        <v>565.71791134638681</v>
      </c>
      <c r="BH107" s="57">
        <f t="shared" si="62"/>
        <v>859.05124467972018</v>
      </c>
      <c r="BI107" s="57">
        <f ca="1">AVERAGE(OFFSET($BH$3,0,0,'Données projet'!$E$11+1,1))-AVERAGE(OFFSET($H$3,0,0,'Données projet'!$E$11+1,1))</f>
        <v>396.44612884768748</v>
      </c>
      <c r="BJ107" s="57">
        <f t="shared" si="92"/>
        <v>244.451492444461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36.414247046265537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36.414247046265537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3.4106051316484809E-13</v>
      </c>
      <c r="BZ107" s="13">
        <f>BY107*VLOOKUP('Données projet'!$B$12,Paramètres!$A$1:$I$89,3,0)*VLOOKUP('Données projet'!$B$12,Paramètres!$A$1:$I$89,5,0)</f>
        <v>2.0395418687257919E-13</v>
      </c>
      <c r="CA107" s="13">
        <f t="shared" si="93"/>
        <v>2.8200388570161721E-12</v>
      </c>
      <c r="CB107" s="20">
        <f t="shared" si="64"/>
        <v>5.2667878847729083E-12</v>
      </c>
      <c r="CC107" s="57">
        <f t="shared" si="65"/>
        <v>293.3333333333386</v>
      </c>
      <c r="CD107" s="57">
        <f ca="1">AVERAGE(OFFSET($CC$3,0,0,'Données projet'!$E$12+1,1))-AVERAGE(OFFSET($H$3,0,0,'Données projet'!$E$12+1,1))</f>
        <v>259.64096626089821</v>
      </c>
      <c r="CE107" s="57">
        <f t="shared" si="94"/>
        <v>258.1415293081597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63.124743135927488</v>
      </c>
      <c r="CL107" s="21">
        <f>EXP(-LN(2)/25)*CL106+(1-EXP(-LN(2)/25))/(LN(2)/25)*Calculateur!CG107*Calculateur!CI107*VLOOKUP('Données projet'!$B$12,Paramètres!$A$1:$I$89,3,0)*0.475*44/12</f>
        <v>10.463728542444663</v>
      </c>
      <c r="CM107" s="21">
        <f>EXP(-LN(2)/2)*CM106+(1-EXP(-LN(2)/2))/(LN(2)/2)*CG107*CJ107*VLOOKUP('Données projet'!$B$12,Paramètres!$A$1:$I$89,3,0)*0.475*44/12</f>
        <v>6.4741296430198134E-6</v>
      </c>
      <c r="CN107" s="22">
        <f t="shared" si="66"/>
        <v>73.588478152501793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2.4</v>
      </c>
      <c r="CT107" s="12">
        <f>IF('Données projet'!$A$140&gt;35,CT106+CS107-DB106,IF(A107&lt;'Données projet'!$A$140,$CQ$205^A107,IF(A107='Données projet'!$A$140,'Données projet'!$B$140,CT106+CS107-DB106)))</f>
        <v>270.59999999999985</v>
      </c>
      <c r="CU107" s="17">
        <f>CT107*VLOOKUP('Données projet'!$B$13,Paramètres!$A$1:$I$89,3,0)*VLOOKUP('Données projet'!$B$13,Paramètres!$A$1:$I$89,5,0)</f>
        <v>291.27383999999984</v>
      </c>
      <c r="CV107" s="13">
        <f t="shared" si="95"/>
        <v>69.34399427639238</v>
      </c>
      <c r="CW107" s="20">
        <f t="shared" si="67"/>
        <v>628.07606136471634</v>
      </c>
      <c r="CX107" s="57">
        <f t="shared" si="68"/>
        <v>921.40939469804971</v>
      </c>
      <c r="CY107" s="57">
        <f ca="1">AVERAGE(OFFSET($CX$3,0,0,'Données projet'!$E$13+1,1))-AVERAGE(OFFSET($H$3,0,0,'Données projet'!$E$13+1,1))</f>
        <v>436.59978658837537</v>
      </c>
      <c r="CZ107" s="57">
        <f t="shared" si="96"/>
        <v>267.2998309535638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40.525533003101962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40.525533003101962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3.2</v>
      </c>
      <c r="DO107" s="12">
        <f>IF('Données projet'!$A$166&gt;35,DO106+DN107-DW106,IF(A107&lt;'Données projet'!$A$166,$DL$205^A107,IF(A107='Données projet'!$A$166,'Données projet'!$B$166,DO106+DN107-DW106)))</f>
        <v>214.79999999999993</v>
      </c>
      <c r="DP107" s="17">
        <f>DO107*VLOOKUP('Données projet'!$B$14,Paramètres!$A$1:$I$89,3,0)*VLOOKUP('Données projet'!$B$14,Paramètres!$A$1:$I$89,5,0)</f>
        <v>204.40367999999995</v>
      </c>
      <c r="DQ107" s="13">
        <f t="shared" si="97"/>
        <v>50.710733146553501</v>
      </c>
      <c r="DR107" s="20">
        <f t="shared" si="70"/>
        <v>444.32426956358057</v>
      </c>
      <c r="DS107" s="57">
        <f t="shared" si="71"/>
        <v>737.65760289691389</v>
      </c>
      <c r="DT107" s="57">
        <f ca="1">AVERAGE(OFFSET($DS$3,0,0,'Données projet'!$E$14+1,1))-AVERAGE(OFFSET($H$3,0,0,'Données projet'!$E$14+1,1))</f>
        <v>292.95981568144879</v>
      </c>
      <c r="DU107" s="57">
        <f t="shared" si="98"/>
        <v>152.23954167722536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22.205694885274827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22.205694885274827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7" t="e">
        <f t="shared" si="74"/>
        <v>#N/A</v>
      </c>
      <c r="EO107" s="57" t="e">
        <f ca="1">AVERAGE(OFFSET($EN$3,0,0,'Données projet'!$E$15+1,1))-AVERAGE(OFFSET($H$3,0,0,'Données projet'!$E$15+1,1))</f>
        <v>#N/A</v>
      </c>
      <c r="EP107" s="57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7" t="e">
        <f t="shared" si="77"/>
        <v>#N/A</v>
      </c>
      <c r="FJ107" s="57" t="e">
        <f ca="1">AVERAGE(OFFSET($FI$3,0,0,'Données projet'!$E$16+1,1))-AVERAGE(OFFSET($H$3,0,0,'Données projet'!$E$16+1,1))</f>
        <v>#N/A</v>
      </c>
      <c r="FK107" s="57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7" t="e">
        <f t="shared" si="80"/>
        <v>#N/A</v>
      </c>
      <c r="GE107" s="57" t="e">
        <f ca="1">AVERAGE(OFFSET($GD$3,0,0,'Données projet'!$E$17+1,1))-AVERAGE(OFFSET($H$3,0,0,'Données projet'!$E$17+1,1))</f>
        <v>#N/A</v>
      </c>
      <c r="GF107" s="57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7" t="e">
        <f t="shared" si="83"/>
        <v>#N/A</v>
      </c>
      <c r="GZ107" s="57" t="e">
        <f ca="1">AVERAGE(OFFSET($GY$3,0,0,'Données projet'!$E$18+1,1))-AVERAGE(OFFSET($H$3,0,0,'Données projet'!$E$18+1,1))</f>
        <v>#N/A</v>
      </c>
      <c r="HA107" s="57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1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5">
        <f t="shared" si="56"/>
        <v>256.66666666666669</v>
      </c>
      <c r="I108" s="6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2.4</v>
      </c>
      <c r="N108" s="13">
        <f>IF('Données projet'!$A$36&gt;35,N107+M108-V107,IF(A108&lt;'Données projet'!$A$36,$K$205^A108,IF(A108='Données projet'!$A$36,'Données projet'!$B$36,N107+M108-V107)))</f>
        <v>272.99999999999983</v>
      </c>
      <c r="O108" s="13">
        <f>N108*VLOOKUP('Données projet'!$B$9,Paramètres!$A$1:$I$89,3,0)*VLOOKUP('Données projet'!$B$9,Paramètres!$A$1:$I$89,5,0)</f>
        <v>247.01039999999983</v>
      </c>
      <c r="P108" s="13">
        <f t="shared" si="87"/>
        <v>59.945315462121762</v>
      </c>
      <c r="Q108" s="20">
        <f t="shared" si="107"/>
        <v>534.61453776319513</v>
      </c>
      <c r="R108" s="57">
        <f t="shared" si="55"/>
        <v>827.94787109652839</v>
      </c>
      <c r="S108" s="57">
        <f ca="1">AVERAGE(OFFSET($R$3,0,0,'Données projet'!$E$9+1,1))-AVERAGE(OFFSET($H$3,0,0,'Données projet'!$E$9+1,1))</f>
        <v>373.45926089889866</v>
      </c>
      <c r="T108" s="57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33.396948073980319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33.396948073980319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2.4</v>
      </c>
      <c r="AI108" s="13">
        <f>IF('Données projet'!$A$62&gt;35,AI107+AH108-AQ107,IF(A108&lt;'Données projet'!$A$62,$AF$205^A108,IF(A108='Données projet'!$A$62,'Données projet'!$B$62,AI107+AH108-AQ107)))</f>
        <v>272.99999999999983</v>
      </c>
      <c r="AJ108" s="13">
        <f>AI108*VLOOKUP('Données projet'!$B$10,Paramètres!$A$1:$I$89,3,0)*VLOOKUP('Données projet'!$B$10,Paramètres!$A$1:$I$89,5,0)</f>
        <v>259.78679999999986</v>
      </c>
      <c r="AK108" s="13">
        <f t="shared" si="89"/>
        <v>62.676930162260682</v>
      </c>
      <c r="AL108" s="20">
        <f t="shared" si="58"/>
        <v>561.62433003260378</v>
      </c>
      <c r="AM108" s="57">
        <f t="shared" si="59"/>
        <v>854.95766336593715</v>
      </c>
      <c r="AN108" s="57">
        <f ca="1">AVERAGE(OFFSET($AM$3,0,0,'Données projet'!$E$10+1,1))-AVERAGE(OFFSET($H$3,0,0,'Données projet'!$E$10+1,1))</f>
        <v>390.70240761116355</v>
      </c>
      <c r="AO108" s="57">
        <f t="shared" si="90"/>
        <v>241.18285512887638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35.124376422634469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35.124376422634469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2.4</v>
      </c>
      <c r="BD108" s="12">
        <f>IF('Données projet'!$A$88&gt;35,BD107+BC108-BL107,IF(A108&lt;'Données projet'!$A$88,$BA$205^A108,IF(A108='Données projet'!$A$88,'Données projet'!$B$88,BD107+BC108-BL107)))</f>
        <v>272.99999999999983</v>
      </c>
      <c r="BE108" s="13">
        <f>BD108*VLOOKUP('Données projet'!$B$11,Paramètres!$A$1:$I$89,3,0)*VLOOKUP('Données projet'!$B$11,Paramètres!$A$1:$I$89,5,0)</f>
        <v>264.04559999999987</v>
      </c>
      <c r="BF108" s="13">
        <f t="shared" si="91"/>
        <v>63.58395992997368</v>
      </c>
      <c r="BG108" s="20">
        <f t="shared" si="61"/>
        <v>570.62148354470389</v>
      </c>
      <c r="BH108" s="57">
        <f t="shared" si="62"/>
        <v>863.95481687803726</v>
      </c>
      <c r="BI108" s="57">
        <f ca="1">AVERAGE(OFFSET($BH$3,0,0,'Données projet'!$E$11+1,1))-AVERAGE(OFFSET($H$3,0,0,'Données projet'!$E$11+1,1))</f>
        <v>396.44612884768748</v>
      </c>
      <c r="BJ108" s="57">
        <f t="shared" si="92"/>
        <v>244.451492444461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35.700185872185862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35.700185872185862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3.4106051316484809E-13</v>
      </c>
      <c r="BZ108" s="13">
        <f>BY108*VLOOKUP('Données projet'!$B$12,Paramètres!$A$1:$I$89,3,0)*VLOOKUP('Données projet'!$B$12,Paramètres!$A$1:$I$89,5,0)</f>
        <v>2.0395418687257919E-13</v>
      </c>
      <c r="CA108" s="13">
        <f t="shared" si="93"/>
        <v>2.8200388570161721E-12</v>
      </c>
      <c r="CB108" s="20">
        <f t="shared" si="64"/>
        <v>5.2667878847729083E-12</v>
      </c>
      <c r="CC108" s="57">
        <f t="shared" si="65"/>
        <v>293.3333333333386</v>
      </c>
      <c r="CD108" s="57">
        <f ca="1">AVERAGE(OFFSET($CC$3,0,0,'Données projet'!$E$12+1,1))-AVERAGE(OFFSET($H$3,0,0,'Données projet'!$E$12+1,1))</f>
        <v>259.64096626089821</v>
      </c>
      <c r="CE108" s="57">
        <f t="shared" si="94"/>
        <v>258.1415293081597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61.886905425323476</v>
      </c>
      <c r="CL108" s="21">
        <f>EXP(-LN(2)/25)*CL107+(1-EXP(-LN(2)/25))/(LN(2)/25)*Calculateur!CG108*Calculateur!CI108*VLOOKUP('Données projet'!$B$12,Paramètres!$A$1:$I$89,3,0)*0.475*44/12</f>
        <v>10.177597335187945</v>
      </c>
      <c r="CM108" s="21">
        <f>EXP(-LN(2)/2)*CM107+(1-EXP(-LN(2)/2))/(LN(2)/2)*CG108*CJ108*VLOOKUP('Données projet'!$B$12,Paramètres!$A$1:$I$89,3,0)*0.475*44/12</f>
        <v>4.5779009728601522E-6</v>
      </c>
      <c r="CN108" s="22">
        <f t="shared" si="66"/>
        <v>72.064507338412383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2.4</v>
      </c>
      <c r="CT108" s="12">
        <f>IF('Données projet'!$A$140&gt;35,CT107+CS108-DB107,IF(A108&lt;'Données projet'!$A$140,$CQ$205^A108,IF(A108='Données projet'!$A$140,'Données projet'!$B$140,CT107+CS108-DB107)))</f>
        <v>272.99999999999983</v>
      </c>
      <c r="CU108" s="17">
        <f>CT108*VLOOKUP('Données projet'!$B$13,Paramètres!$A$1:$I$89,3,0)*VLOOKUP('Données projet'!$B$13,Paramètres!$A$1:$I$89,5,0)</f>
        <v>293.85719999999981</v>
      </c>
      <c r="CV108" s="13">
        <f t="shared" si="95"/>
        <v>69.887150190339781</v>
      </c>
      <c r="CW108" s="20">
        <f t="shared" si="67"/>
        <v>633.52140991484146</v>
      </c>
      <c r="CX108" s="57">
        <f t="shared" si="68"/>
        <v>926.85474324817483</v>
      </c>
      <c r="CY108" s="57">
        <f ca="1">AVERAGE(OFFSET($CX$3,0,0,'Données projet'!$E$13+1,1))-AVERAGE(OFFSET($H$3,0,0,'Données projet'!$E$13+1,1))</f>
        <v>436.59978658837537</v>
      </c>
      <c r="CZ108" s="57">
        <f t="shared" si="96"/>
        <v>267.2998309535638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39.73085201904555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39.73085201904555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218</v>
      </c>
      <c r="DM108" s="12">
        <f>VLOOKUP(A108,'Données projet'!$A$165:$I$185,9,0)</f>
        <v>3.2</v>
      </c>
      <c r="DN108" s="12">
        <f t="array" ref="DN108">INDEX(DM:DM,MIN(IF(ISNUMBER(DM108:DM304),ROW(DM108:DM304),"")))</f>
        <v>3.2</v>
      </c>
      <c r="DO108" s="12">
        <f>IF('Données projet'!$A$166&gt;35,DO107+DN108-DW107,IF(A108&lt;'Données projet'!$A$166,$DL$205^A108,IF(A108='Données projet'!$A$166,'Données projet'!$B$166,DO107+DN108-DW107)))</f>
        <v>217.99999999999991</v>
      </c>
      <c r="DP108" s="17">
        <f>DO108*VLOOKUP('Données projet'!$B$14,Paramètres!$A$1:$I$89,3,0)*VLOOKUP('Données projet'!$B$14,Paramètres!$A$1:$I$89,5,0)</f>
        <v>207.44879999999989</v>
      </c>
      <c r="DQ108" s="13">
        <f t="shared" si="97"/>
        <v>51.377688337856306</v>
      </c>
      <c r="DR108" s="20">
        <f t="shared" si="70"/>
        <v>450.78946718843281</v>
      </c>
      <c r="DS108" s="57">
        <f t="shared" si="71"/>
        <v>744.12280052176607</v>
      </c>
      <c r="DT108" s="57">
        <f ca="1">AVERAGE(OFFSET($DS$3,0,0,'Données projet'!$E$14+1,1))-AVERAGE(OFFSET($H$3,0,0,'Données projet'!$E$14+1,1))</f>
        <v>292.95981568144879</v>
      </c>
      <c r="DU108" s="57">
        <f t="shared" si="98"/>
        <v>152.23954167722536</v>
      </c>
      <c r="DV108" s="15">
        <f>IF(ISNA(VLOOKUP(A108,'Données projet'!$A$165:$I$185,3,0)),0,VLOOKUP(A108,'Données projet'!$A$165:$I$185,3,0))</f>
        <v>17</v>
      </c>
      <c r="DW108" s="15">
        <f>IF(ISNA(VLOOKUP(A108,'Données projet'!$A$165:$I$185,4,0)),0,VLOOKUP(A108,'Données projet'!$A$165:$I$185,4,0))</f>
        <v>14</v>
      </c>
      <c r="DX108" s="16">
        <f>IF(ISNA(VLOOKUP(A108,'Données projet'!$A$165:$I$185,5,0)),0%,VLOOKUP(A108,'Données projet'!$A$165:$I$185,5,0)*VLOOKUP('Données projet'!$B$14,Paramètres!$A$1:$I$89,7,0))</f>
        <v>0.30099999999999999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26.203237846582319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26.203237846582319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7" t="e">
        <f t="shared" si="74"/>
        <v>#N/A</v>
      </c>
      <c r="EO108" s="57" t="e">
        <f ca="1">AVERAGE(OFFSET($EN$3,0,0,'Données projet'!$E$15+1,1))-AVERAGE(OFFSET($H$3,0,0,'Données projet'!$E$15+1,1))</f>
        <v>#N/A</v>
      </c>
      <c r="EP108" s="57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7" t="e">
        <f t="shared" si="77"/>
        <v>#N/A</v>
      </c>
      <c r="FJ108" s="57" t="e">
        <f ca="1">AVERAGE(OFFSET($FI$3,0,0,'Données projet'!$E$16+1,1))-AVERAGE(OFFSET($H$3,0,0,'Données projet'!$E$16+1,1))</f>
        <v>#N/A</v>
      </c>
      <c r="FK108" s="57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7" t="e">
        <f t="shared" si="80"/>
        <v>#N/A</v>
      </c>
      <c r="GE108" s="57" t="e">
        <f ca="1">AVERAGE(OFFSET($GD$3,0,0,'Données projet'!$E$17+1,1))-AVERAGE(OFFSET($H$3,0,0,'Données projet'!$E$17+1,1))</f>
        <v>#N/A</v>
      </c>
      <c r="GF108" s="57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7" t="e">
        <f t="shared" si="83"/>
        <v>#N/A</v>
      </c>
      <c r="GZ108" s="57" t="e">
        <f ca="1">AVERAGE(OFFSET($GY$3,0,0,'Données projet'!$E$18+1,1))-AVERAGE(OFFSET($H$3,0,0,'Données projet'!$E$18+1,1))</f>
        <v>#N/A</v>
      </c>
      <c r="HA108" s="57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1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5">
        <f t="shared" si="56"/>
        <v>256.66666666666669</v>
      </c>
      <c r="I109" s="6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2.4</v>
      </c>
      <c r="N109" s="13">
        <f>IF('Données projet'!$A$36&gt;35,N108+M109-V108,IF(A109&lt;'Données projet'!$A$36,$K$205^A109,IF(A109='Données projet'!$A$36,'Données projet'!$B$36,N108+M109-V108)))</f>
        <v>275.39999999999981</v>
      </c>
      <c r="O109" s="13">
        <f>N109*VLOOKUP('Données projet'!$B$9,Paramètres!$A$1:$I$89,3,0)*VLOOKUP('Données projet'!$B$9,Paramètres!$A$1:$I$89,5,0)</f>
        <v>249.18191999999982</v>
      </c>
      <c r="P109" s="13">
        <f t="shared" si="87"/>
        <v>60.410727929515545</v>
      </c>
      <c r="Q109" s="20">
        <f t="shared" si="107"/>
        <v>539.20719514390589</v>
      </c>
      <c r="R109" s="57">
        <f t="shared" si="55"/>
        <v>832.54052847723915</v>
      </c>
      <c r="S109" s="57">
        <f ca="1">AVERAGE(OFFSET($R$3,0,0,'Données projet'!$E$9+1,1))-AVERAGE(OFFSET($H$3,0,0,'Données projet'!$E$9+1,1))</f>
        <v>373.45926089889866</v>
      </c>
      <c r="T109" s="57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32.742054292376508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32.742054292376508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2.4</v>
      </c>
      <c r="AI109" s="13">
        <f>IF('Données projet'!$A$62&gt;35,AI108+AH109-AQ108,IF(A109&lt;'Données projet'!$A$62,$AF$205^A109,IF(A109='Données projet'!$A$62,'Données projet'!$B$62,AI108+AH109-AQ108)))</f>
        <v>275.39999999999981</v>
      </c>
      <c r="AJ109" s="13">
        <f>AI109*VLOOKUP('Données projet'!$B$10,Paramètres!$A$1:$I$89,3,0)*VLOOKUP('Données projet'!$B$10,Paramètres!$A$1:$I$89,5,0)</f>
        <v>262.07063999999986</v>
      </c>
      <c r="AK109" s="13">
        <f t="shared" si="89"/>
        <v>63.163550751219262</v>
      </c>
      <c r="AL109" s="20">
        <f t="shared" si="58"/>
        <v>566.44954889170651</v>
      </c>
      <c r="AM109" s="57">
        <f t="shared" si="59"/>
        <v>859.78288222503988</v>
      </c>
      <c r="AN109" s="57">
        <f ca="1">AVERAGE(OFFSET($AM$3,0,0,'Données projet'!$E$10+1,1))-AVERAGE(OFFSET($H$3,0,0,'Données projet'!$E$10+1,1))</f>
        <v>390.70240761116355</v>
      </c>
      <c r="AO109" s="57">
        <f t="shared" si="90"/>
        <v>241.18285512887638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34.435608824740804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34.435608824740804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2.4</v>
      </c>
      <c r="BD109" s="12">
        <f>IF('Données projet'!$A$88&gt;35,BD108+BC109-BL108,IF(A109&lt;'Données projet'!$A$88,$BA$205^A109,IF(A109='Données projet'!$A$88,'Données projet'!$B$88,BD108+BC109-BL108)))</f>
        <v>275.39999999999981</v>
      </c>
      <c r="BE109" s="13">
        <f>BD109*VLOOKUP('Données projet'!$B$11,Paramètres!$A$1:$I$89,3,0)*VLOOKUP('Données projet'!$B$11,Paramètres!$A$1:$I$89,5,0)</f>
        <v>266.36687999999981</v>
      </c>
      <c r="BF109" s="13">
        <f t="shared" si="91"/>
        <v>64.077622653233107</v>
      </c>
      <c r="BG109" s="20">
        <f t="shared" si="61"/>
        <v>575.52417545438061</v>
      </c>
      <c r="BH109" s="57">
        <f t="shared" si="62"/>
        <v>868.85750878771387</v>
      </c>
      <c r="BI109" s="57">
        <f ca="1">AVERAGE(OFFSET($BH$3,0,0,'Données projet'!$E$11+1,1))-AVERAGE(OFFSET($H$3,0,0,'Données projet'!$E$11+1,1))</f>
        <v>396.44612884768748</v>
      </c>
      <c r="BJ109" s="57">
        <f t="shared" si="92"/>
        <v>244.451492444461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35.000127002195583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35.000127002195583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3.4106051316484809E-13</v>
      </c>
      <c r="BZ109" s="13">
        <f>BY109*VLOOKUP('Données projet'!$B$12,Paramètres!$A$1:$I$89,3,0)*VLOOKUP('Données projet'!$B$12,Paramètres!$A$1:$I$89,5,0)</f>
        <v>2.0395418687257919E-13</v>
      </c>
      <c r="CA109" s="13">
        <f t="shared" si="93"/>
        <v>2.8200388570161721E-12</v>
      </c>
      <c r="CB109" s="20">
        <f t="shared" si="64"/>
        <v>5.2667878847729083E-12</v>
      </c>
      <c r="CC109" s="57">
        <f t="shared" si="65"/>
        <v>293.3333333333386</v>
      </c>
      <c r="CD109" s="57">
        <f ca="1">AVERAGE(OFFSET($CC$3,0,0,'Données projet'!$E$12+1,1))-AVERAGE(OFFSET($H$3,0,0,'Données projet'!$E$12+1,1))</f>
        <v>259.64096626089821</v>
      </c>
      <c r="CE109" s="57">
        <f t="shared" si="94"/>
        <v>258.1415293081597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60.67334095721796</v>
      </c>
      <c r="CL109" s="21">
        <f>EXP(-LN(2)/25)*CL108+(1-EXP(-LN(2)/25))/(LN(2)/25)*Calculateur!CG109*Calculateur!CI109*VLOOKUP('Données projet'!$B$12,Paramètres!$A$1:$I$89,3,0)*0.475*44/12</f>
        <v>9.8992904008406484</v>
      </c>
      <c r="CM109" s="21">
        <f>EXP(-LN(2)/2)*CM108+(1-EXP(-LN(2)/2))/(LN(2)/2)*CG109*CJ109*VLOOKUP('Données projet'!$B$12,Paramètres!$A$1:$I$89,3,0)*0.475*44/12</f>
        <v>3.2370648215099067E-6</v>
      </c>
      <c r="CN109" s="22">
        <f t="shared" si="66"/>
        <v>70.572634595123418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2.4</v>
      </c>
      <c r="CT109" s="12">
        <f>IF('Données projet'!$A$140&gt;35,CT108+CS109-DB108,IF(A109&lt;'Données projet'!$A$140,$CQ$205^A109,IF(A109='Données projet'!$A$140,'Données projet'!$B$140,CT108+CS109-DB108)))</f>
        <v>275.39999999999981</v>
      </c>
      <c r="CU109" s="17">
        <f>CT109*VLOOKUP('Données projet'!$B$13,Paramètres!$A$1:$I$89,3,0)*VLOOKUP('Données projet'!$B$13,Paramètres!$A$1:$I$89,5,0)</f>
        <v>296.44055999999978</v>
      </c>
      <c r="CV109" s="13">
        <f t="shared" si="95"/>
        <v>70.429750571344613</v>
      </c>
      <c r="CW109" s="20">
        <f t="shared" si="67"/>
        <v>638.96579091175806</v>
      </c>
      <c r="CX109" s="57">
        <f t="shared" si="68"/>
        <v>932.29912424509143</v>
      </c>
      <c r="CY109" s="57">
        <f ca="1">AVERAGE(OFFSET($CX$3,0,0,'Données projet'!$E$13+1,1))-AVERAGE(OFFSET($H$3,0,0,'Données projet'!$E$13+1,1))</f>
        <v>436.59978658837537</v>
      </c>
      <c r="CZ109" s="57">
        <f t="shared" si="96"/>
        <v>267.2998309535638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38.951754244378947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38.951754244378947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3</v>
      </c>
      <c r="DO109" s="12">
        <f>IF('Données projet'!$A$166&gt;35,DO108+DN109-DW108,IF(A109&lt;'Données projet'!$A$166,$DL$205^A109,IF(A109='Données projet'!$A$166,'Données projet'!$B$166,DO108+DN109-DW108)))</f>
        <v>206.99999999999991</v>
      </c>
      <c r="DP109" s="17">
        <f>DO109*VLOOKUP('Données projet'!$B$14,Paramètres!$A$1:$I$89,3,0)*VLOOKUP('Données projet'!$B$14,Paramètres!$A$1:$I$89,5,0)</f>
        <v>196.98119999999992</v>
      </c>
      <c r="DQ109" s="13">
        <f t="shared" si="97"/>
        <v>49.080140741894134</v>
      </c>
      <c r="DR109" s="20">
        <f t="shared" si="70"/>
        <v>428.5568351254654</v>
      </c>
      <c r="DS109" s="57">
        <f t="shared" si="71"/>
        <v>721.89016845879871</v>
      </c>
      <c r="DT109" s="57">
        <f ca="1">AVERAGE(OFFSET($DS$3,0,0,'Données projet'!$E$14+1,1))-AVERAGE(OFFSET($H$3,0,0,'Données projet'!$E$14+1,1))</f>
        <v>292.95981568144879</v>
      </c>
      <c r="DU109" s="57">
        <f t="shared" si="98"/>
        <v>152.23954167722536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25.689408334807794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25.689408334807794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7" t="e">
        <f t="shared" si="74"/>
        <v>#N/A</v>
      </c>
      <c r="EO109" s="57" t="e">
        <f ca="1">AVERAGE(OFFSET($EN$3,0,0,'Données projet'!$E$15+1,1))-AVERAGE(OFFSET($H$3,0,0,'Données projet'!$E$15+1,1))</f>
        <v>#N/A</v>
      </c>
      <c r="EP109" s="57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7" t="e">
        <f t="shared" si="77"/>
        <v>#N/A</v>
      </c>
      <c r="FJ109" s="57" t="e">
        <f ca="1">AVERAGE(OFFSET($FI$3,0,0,'Données projet'!$E$16+1,1))-AVERAGE(OFFSET($H$3,0,0,'Données projet'!$E$16+1,1))</f>
        <v>#N/A</v>
      </c>
      <c r="FK109" s="57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7" t="e">
        <f t="shared" si="80"/>
        <v>#N/A</v>
      </c>
      <c r="GE109" s="57" t="e">
        <f ca="1">AVERAGE(OFFSET($GD$3,0,0,'Données projet'!$E$17+1,1))-AVERAGE(OFFSET($H$3,0,0,'Données projet'!$E$17+1,1))</f>
        <v>#N/A</v>
      </c>
      <c r="GF109" s="57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7" t="e">
        <f t="shared" si="83"/>
        <v>#N/A</v>
      </c>
      <c r="GZ109" s="57" t="e">
        <f ca="1">AVERAGE(OFFSET($GY$3,0,0,'Données projet'!$E$18+1,1))-AVERAGE(OFFSET($H$3,0,0,'Données projet'!$E$18+1,1))</f>
        <v>#N/A</v>
      </c>
      <c r="HA109" s="57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1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5">
        <f t="shared" si="56"/>
        <v>256.66666666666669</v>
      </c>
      <c r="I110" s="6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2.4</v>
      </c>
      <c r="N110" s="13">
        <f>IF('Données projet'!$A$36&gt;35,N109+M110-V109,IF(A110&lt;'Données projet'!$A$36,$K$205^A110,IF(A110='Données projet'!$A$36,'Données projet'!$B$36,N109+M110-V109)))</f>
        <v>277.79999999999978</v>
      </c>
      <c r="O110" s="13">
        <f>N110*VLOOKUP('Données projet'!$B$9,Paramètres!$A$1:$I$89,3,0)*VLOOKUP('Données projet'!$B$9,Paramètres!$A$1:$I$89,5,0)</f>
        <v>251.35343999999978</v>
      </c>
      <c r="P110" s="13">
        <f t="shared" si="87"/>
        <v>60.875668525284958</v>
      </c>
      <c r="Q110" s="20">
        <f t="shared" si="107"/>
        <v>543.7990306815376</v>
      </c>
      <c r="R110" s="57">
        <f t="shared" si="55"/>
        <v>837.13236401487097</v>
      </c>
      <c r="S110" s="57">
        <f ca="1">AVERAGE(OFFSET($R$3,0,0,'Données projet'!$E$9+1,1))-AVERAGE(OFFSET($H$3,0,0,'Données projet'!$E$9+1,1))</f>
        <v>373.45926089889866</v>
      </c>
      <c r="T110" s="57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32.100002578384185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32.100002578384185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2.4</v>
      </c>
      <c r="AI110" s="13">
        <f>IF('Données projet'!$A$62&gt;35,AI109+AH110-AQ109,IF(A110&lt;'Données projet'!$A$62,$AF$205^A110,IF(A110='Données projet'!$A$62,'Données projet'!$B$62,AI109+AH110-AQ109)))</f>
        <v>277.79999999999978</v>
      </c>
      <c r="AJ110" s="13">
        <f>AI110*VLOOKUP('Données projet'!$B$10,Paramètres!$A$1:$I$89,3,0)*VLOOKUP('Données projet'!$B$10,Paramètres!$A$1:$I$89,5,0)</f>
        <v>264.3544799999998</v>
      </c>
      <c r="AK110" s="13">
        <f t="shared" si="89"/>
        <v>63.649677966098132</v>
      </c>
      <c r="AL110" s="20">
        <f t="shared" si="58"/>
        <v>571.27390845762045</v>
      </c>
      <c r="AM110" s="57">
        <f t="shared" si="59"/>
        <v>864.60724179095382</v>
      </c>
      <c r="AN110" s="57">
        <f ca="1">AVERAGE(OFFSET($AM$3,0,0,'Données projet'!$E$10+1,1))-AVERAGE(OFFSET($H$3,0,0,'Données projet'!$E$10+1,1))</f>
        <v>390.70240761116355</v>
      </c>
      <c r="AO110" s="57">
        <f t="shared" si="90"/>
        <v>241.18285512887638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33.760347539335079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33.760347539335079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2.4</v>
      </c>
      <c r="BD110" s="12">
        <f>IF('Données projet'!$A$88&gt;35,BD109+BC110-BL109,IF(A110&lt;'Données projet'!$A$88,$BA$205^A110,IF(A110='Données projet'!$A$88,'Données projet'!$B$88,BD109+BC110-BL109)))</f>
        <v>277.79999999999978</v>
      </c>
      <c r="BE110" s="13">
        <f>BD110*VLOOKUP('Données projet'!$B$11,Paramètres!$A$1:$I$89,3,0)*VLOOKUP('Données projet'!$B$11,Paramètres!$A$1:$I$89,5,0)</f>
        <v>268.68815999999981</v>
      </c>
      <c r="BF110" s="13">
        <f t="shared" si="91"/>
        <v>64.570784862545324</v>
      </c>
      <c r="BG110" s="20">
        <f t="shared" si="61"/>
        <v>580.42599563559941</v>
      </c>
      <c r="BH110" s="57">
        <f t="shared" si="62"/>
        <v>873.75932896893278</v>
      </c>
      <c r="BI110" s="57">
        <f ca="1">AVERAGE(OFFSET($BH$3,0,0,'Données projet'!$E$11+1,1))-AVERAGE(OFFSET($H$3,0,0,'Données projet'!$E$11+1,1))</f>
        <v>396.44612884768748</v>
      </c>
      <c r="BJ110" s="57">
        <f t="shared" si="92"/>
        <v>244.451492444461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34.31379585965206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34.31379585965206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3.4106051316484809E-13</v>
      </c>
      <c r="BZ110" s="13">
        <f>BY110*VLOOKUP('Données projet'!$B$12,Paramètres!$A$1:$I$89,3,0)*VLOOKUP('Données projet'!$B$12,Paramètres!$A$1:$I$89,5,0)</f>
        <v>2.0395418687257919E-13</v>
      </c>
      <c r="CA110" s="13">
        <f t="shared" si="93"/>
        <v>2.8200388570161721E-12</v>
      </c>
      <c r="CB110" s="20">
        <f t="shared" si="64"/>
        <v>5.2667878847729083E-12</v>
      </c>
      <c r="CC110" s="57">
        <f t="shared" si="65"/>
        <v>293.3333333333386</v>
      </c>
      <c r="CD110" s="57">
        <f ca="1">AVERAGE(OFFSET($CC$3,0,0,'Données projet'!$E$12+1,1))-AVERAGE(OFFSET($H$3,0,0,'Données projet'!$E$12+1,1))</f>
        <v>259.64096626089821</v>
      </c>
      <c r="CE110" s="57">
        <f t="shared" si="94"/>
        <v>258.1415293081597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59.483573748130752</v>
      </c>
      <c r="CL110" s="21">
        <f>EXP(-LN(2)/25)*CL109+(1-EXP(-LN(2)/25))/(LN(2)/25)*Calculateur!CG110*Calculateur!CI110*VLOOKUP('Données projet'!$B$12,Paramètres!$A$1:$I$89,3,0)*0.475*44/12</f>
        <v>9.6285937842486042</v>
      </c>
      <c r="CM110" s="21">
        <f>EXP(-LN(2)/2)*CM109+(1-EXP(-LN(2)/2))/(LN(2)/2)*CG110*CJ110*VLOOKUP('Données projet'!$B$12,Paramètres!$A$1:$I$89,3,0)*0.475*44/12</f>
        <v>2.2889504864300761E-6</v>
      </c>
      <c r="CN110" s="22">
        <f t="shared" si="66"/>
        <v>69.112169821329843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2.4</v>
      </c>
      <c r="CT110" s="12">
        <f>IF('Données projet'!$A$140&gt;35,CT109+CS110-DB109,IF(A110&lt;'Données projet'!$A$140,$CQ$205^A110,IF(A110='Données projet'!$A$140,'Données projet'!$B$140,CT109+CS110-DB109)))</f>
        <v>277.79999999999978</v>
      </c>
      <c r="CU110" s="17">
        <f>CT110*VLOOKUP('Données projet'!$B$13,Paramètres!$A$1:$I$89,3,0)*VLOOKUP('Données projet'!$B$13,Paramètres!$A$1:$I$89,5,0)</f>
        <v>299.02391999999975</v>
      </c>
      <c r="CV110" s="13">
        <f t="shared" si="95"/>
        <v>70.971800821570667</v>
      </c>
      <c r="CW110" s="20">
        <f t="shared" si="67"/>
        <v>644.40921376423512</v>
      </c>
      <c r="CX110" s="57">
        <f t="shared" si="68"/>
        <v>937.74254709756838</v>
      </c>
      <c r="CY110" s="57">
        <f ca="1">AVERAGE(OFFSET($CX$3,0,0,'Données projet'!$E$13+1,1))-AVERAGE(OFFSET($H$3,0,0,'Données projet'!$E$13+1,1))</f>
        <v>436.59978658837537</v>
      </c>
      <c r="CZ110" s="57">
        <f t="shared" si="96"/>
        <v>267.2998309535638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38.187934101870837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38.187934101870837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3</v>
      </c>
      <c r="DO110" s="12">
        <f>IF('Données projet'!$A$166&gt;35,DO109+DN110-DW109,IF(A110&lt;'Données projet'!$A$166,$DL$205^A110,IF(A110='Données projet'!$A$166,'Données projet'!$B$166,DO109+DN110-DW109)))</f>
        <v>209.99999999999991</v>
      </c>
      <c r="DP110" s="17">
        <f>DO110*VLOOKUP('Données projet'!$B$14,Paramètres!$A$1:$I$89,3,0)*VLOOKUP('Données projet'!$B$14,Paramètres!$A$1:$I$89,5,0)</f>
        <v>199.8359999999999</v>
      </c>
      <c r="DQ110" s="13">
        <f t="shared" si="97"/>
        <v>49.708123768564562</v>
      </c>
      <c r="DR110" s="20">
        <f t="shared" si="70"/>
        <v>434.62268223024984</v>
      </c>
      <c r="DS110" s="57">
        <f t="shared" si="71"/>
        <v>727.95601556358315</v>
      </c>
      <c r="DT110" s="57">
        <f ca="1">AVERAGE(OFFSET($DS$3,0,0,'Données projet'!$E$14+1,1))-AVERAGE(OFFSET($H$3,0,0,'Données projet'!$E$14+1,1))</f>
        <v>292.95981568144879</v>
      </c>
      <c r="DU110" s="57">
        <f t="shared" si="98"/>
        <v>152.23954167722536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25.185654706354114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25.185654706354114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7" t="e">
        <f t="shared" si="74"/>
        <v>#N/A</v>
      </c>
      <c r="EO110" s="57" t="e">
        <f ca="1">AVERAGE(OFFSET($EN$3,0,0,'Données projet'!$E$15+1,1))-AVERAGE(OFFSET($H$3,0,0,'Données projet'!$E$15+1,1))</f>
        <v>#N/A</v>
      </c>
      <c r="EP110" s="57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7" t="e">
        <f t="shared" si="77"/>
        <v>#N/A</v>
      </c>
      <c r="FJ110" s="57" t="e">
        <f ca="1">AVERAGE(OFFSET($FI$3,0,0,'Données projet'!$E$16+1,1))-AVERAGE(OFFSET($H$3,0,0,'Données projet'!$E$16+1,1))</f>
        <v>#N/A</v>
      </c>
      <c r="FK110" s="57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7" t="e">
        <f t="shared" si="80"/>
        <v>#N/A</v>
      </c>
      <c r="GE110" s="57" t="e">
        <f ca="1">AVERAGE(OFFSET($GD$3,0,0,'Données projet'!$E$17+1,1))-AVERAGE(OFFSET($H$3,0,0,'Données projet'!$E$17+1,1))</f>
        <v>#N/A</v>
      </c>
      <c r="GF110" s="57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7" t="e">
        <f t="shared" si="83"/>
        <v>#N/A</v>
      </c>
      <c r="GZ110" s="57" t="e">
        <f ca="1">AVERAGE(OFFSET($GY$3,0,0,'Données projet'!$E$18+1,1))-AVERAGE(OFFSET($H$3,0,0,'Données projet'!$E$18+1,1))</f>
        <v>#N/A</v>
      </c>
      <c r="HA110" s="57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1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5">
        <f t="shared" si="56"/>
        <v>256.66666666666669</v>
      </c>
      <c r="I111" s="6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2.4</v>
      </c>
      <c r="N111" s="13">
        <f>IF('Données projet'!$A$36&gt;35,N110+M111-V110,IF(A111&lt;'Données projet'!$A$36,$K$205^A111,IF(A111='Données projet'!$A$36,'Données projet'!$B$36,N110+M111-V110)))</f>
        <v>280.19999999999976</v>
      </c>
      <c r="O111" s="13">
        <f>N111*VLOOKUP('Données projet'!$B$9,Paramètres!$A$1:$I$89,3,0)*VLOOKUP('Données projet'!$B$9,Paramètres!$A$1:$I$89,5,0)</f>
        <v>253.52495999999977</v>
      </c>
      <c r="P111" s="13">
        <f t="shared" si="87"/>
        <v>61.34014179842216</v>
      </c>
      <c r="Q111" s="20">
        <f t="shared" si="107"/>
        <v>548.39005229891814</v>
      </c>
      <c r="R111" s="57">
        <f t="shared" si="55"/>
        <v>841.72338563225139</v>
      </c>
      <c r="S111" s="57">
        <f ca="1">AVERAGE(OFFSET($R$3,0,0,'Données projet'!$E$9+1,1))-AVERAGE(OFFSET($H$3,0,0,'Données projet'!$E$9+1,1))</f>
        <v>373.45926089889866</v>
      </c>
      <c r="T111" s="57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31.470541106890373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31.470541106890373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2.4</v>
      </c>
      <c r="AI111" s="13">
        <f>IF('Données projet'!$A$62&gt;35,AI110+AH111-AQ110,IF(A111&lt;'Données projet'!$A$62,$AF$205^A111,IF(A111='Données projet'!$A$62,'Données projet'!$B$62,AI110+AH111-AQ110)))</f>
        <v>280.19999999999976</v>
      </c>
      <c r="AJ111" s="13">
        <f>AI111*VLOOKUP('Données projet'!$B$10,Paramètres!$A$1:$I$89,3,0)*VLOOKUP('Données projet'!$B$10,Paramètres!$A$1:$I$89,5,0)</f>
        <v>266.63831999999979</v>
      </c>
      <c r="AK111" s="13">
        <f t="shared" si="89"/>
        <v>64.135316563180027</v>
      </c>
      <c r="AL111" s="20">
        <f t="shared" si="58"/>
        <v>576.09741701420489</v>
      </c>
      <c r="AM111" s="57">
        <f t="shared" si="59"/>
        <v>869.43075034753815</v>
      </c>
      <c r="AN111" s="57">
        <f ca="1">AVERAGE(OFFSET($AM$3,0,0,'Données projet'!$E$10+1,1))-AVERAGE(OFFSET($H$3,0,0,'Données projet'!$E$10+1,1))</f>
        <v>390.70240761116355</v>
      </c>
      <c r="AO111" s="57">
        <f t="shared" si="90"/>
        <v>241.18285512887638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33.098327715867448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33.098327715867448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2.4</v>
      </c>
      <c r="BD111" s="12">
        <f>IF('Données projet'!$A$88&gt;35,BD110+BC111-BL110,IF(A111&lt;'Données projet'!$A$88,$BA$205^A111,IF(A111='Données projet'!$A$88,'Données projet'!$B$88,BD110+BC111-BL110)))</f>
        <v>280.19999999999976</v>
      </c>
      <c r="BE111" s="13">
        <f>BD111*VLOOKUP('Données projet'!$B$11,Paramètres!$A$1:$I$89,3,0)*VLOOKUP('Données projet'!$B$11,Paramètres!$A$1:$I$89,5,0)</f>
        <v>271.00943999999976</v>
      </c>
      <c r="BF111" s="13">
        <f t="shared" si="91"/>
        <v>65.06345138302359</v>
      </c>
      <c r="BG111" s="20">
        <f t="shared" si="61"/>
        <v>585.32695249209905</v>
      </c>
      <c r="BH111" s="57">
        <f t="shared" si="62"/>
        <v>878.66028582543231</v>
      </c>
      <c r="BI111" s="57">
        <f ca="1">AVERAGE(OFFSET($BH$3,0,0,'Données projet'!$E$11+1,1))-AVERAGE(OFFSET($H$3,0,0,'Données projet'!$E$11+1,1))</f>
        <v>396.44612884768748</v>
      </c>
      <c r="BJ111" s="57">
        <f t="shared" si="92"/>
        <v>244.451492444461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33.640923252193154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33.640923252193154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3.4106051316484809E-13</v>
      </c>
      <c r="BZ111" s="13">
        <f>BY111*VLOOKUP('Données projet'!$B$12,Paramètres!$A$1:$I$89,3,0)*VLOOKUP('Données projet'!$B$12,Paramètres!$A$1:$I$89,5,0)</f>
        <v>2.0395418687257919E-13</v>
      </c>
      <c r="CA111" s="13">
        <f t="shared" si="93"/>
        <v>2.8200388570161721E-12</v>
      </c>
      <c r="CB111" s="20">
        <f t="shared" si="64"/>
        <v>5.2667878847729083E-12</v>
      </c>
      <c r="CC111" s="57">
        <f t="shared" si="65"/>
        <v>293.3333333333386</v>
      </c>
      <c r="CD111" s="57">
        <f ca="1">AVERAGE(OFFSET($CC$3,0,0,'Données projet'!$E$12+1,1))-AVERAGE(OFFSET($H$3,0,0,'Données projet'!$E$12+1,1))</f>
        <v>259.64096626089821</v>
      </c>
      <c r="CE111" s="57">
        <f t="shared" si="94"/>
        <v>258.1415293081597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58.317137148327404</v>
      </c>
      <c r="CL111" s="21">
        <f>EXP(-LN(2)/25)*CL110+(1-EXP(-LN(2)/25))/(LN(2)/25)*Calculateur!CG111*Calculateur!CI111*VLOOKUP('Données projet'!$B$12,Paramètres!$A$1:$I$89,3,0)*0.475*44/12</f>
        <v>9.3652993808725853</v>
      </c>
      <c r="CM111" s="21">
        <f>EXP(-LN(2)/2)*CM110+(1-EXP(-LN(2)/2))/(LN(2)/2)*CG111*CJ111*VLOOKUP('Données projet'!$B$12,Paramètres!$A$1:$I$89,3,0)*0.475*44/12</f>
        <v>1.6185324107549534E-6</v>
      </c>
      <c r="CN111" s="22">
        <f t="shared" si="66"/>
        <v>67.682438147732398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2.4</v>
      </c>
      <c r="CT111" s="12">
        <f>IF('Données projet'!$A$140&gt;35,CT110+CS111-DB110,IF(A111&lt;'Données projet'!$A$140,$CQ$205^A111,IF(A111='Données projet'!$A$140,'Données projet'!$B$140,CT110+CS111-DB110)))</f>
        <v>280.19999999999976</v>
      </c>
      <c r="CU111" s="17">
        <f>CT111*VLOOKUP('Données projet'!$B$13,Paramètres!$A$1:$I$89,3,0)*VLOOKUP('Données projet'!$B$13,Paramètres!$A$1:$I$89,5,0)</f>
        <v>301.60727999999972</v>
      </c>
      <c r="CV111" s="13">
        <f t="shared" si="95"/>
        <v>71.513306244453119</v>
      </c>
      <c r="CW111" s="20">
        <f t="shared" si="67"/>
        <v>649.85168770908865</v>
      </c>
      <c r="CX111" s="57">
        <f t="shared" si="68"/>
        <v>943.18502104242202</v>
      </c>
      <c r="CY111" s="57">
        <f ca="1">AVERAGE(OFFSET($CX$3,0,0,'Données projet'!$E$13+1,1))-AVERAGE(OFFSET($H$3,0,0,'Données projet'!$E$13+1,1))</f>
        <v>436.59978658837537</v>
      </c>
      <c r="CZ111" s="57">
        <f t="shared" si="96"/>
        <v>267.2998309535638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37.439092006473025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37.439092006473025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3</v>
      </c>
      <c r="DO111" s="12">
        <f>IF('Données projet'!$A$166&gt;35,DO110+DN111-DW110,IF(A111&lt;'Données projet'!$A$166,$DL$205^A111,IF(A111='Données projet'!$A$166,'Données projet'!$B$166,DO110+DN111-DW110)))</f>
        <v>212.99999999999991</v>
      </c>
      <c r="DP111" s="17">
        <f>DO111*VLOOKUP('Données projet'!$B$14,Paramètres!$A$1:$I$89,3,0)*VLOOKUP('Données projet'!$B$14,Paramètres!$A$1:$I$89,5,0)</f>
        <v>202.69079999999994</v>
      </c>
      <c r="DQ111" s="13">
        <f t="shared" si="97"/>
        <v>50.335063379382063</v>
      </c>
      <c r="DR111" s="20">
        <f t="shared" si="70"/>
        <v>440.68671205242362</v>
      </c>
      <c r="DS111" s="57">
        <f t="shared" si="71"/>
        <v>734.02004538575693</v>
      </c>
      <c r="DT111" s="57">
        <f ca="1">AVERAGE(OFFSET($DS$3,0,0,'Données projet'!$E$14+1,1))-AVERAGE(OFFSET($H$3,0,0,'Données projet'!$E$14+1,1))</f>
        <v>292.95981568144879</v>
      </c>
      <c r="DU111" s="57">
        <f t="shared" si="98"/>
        <v>152.23954167722536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24.691779379295035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24.691779379295035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7" t="e">
        <f t="shared" si="74"/>
        <v>#N/A</v>
      </c>
      <c r="EO111" s="57" t="e">
        <f ca="1">AVERAGE(OFFSET($EN$3,0,0,'Données projet'!$E$15+1,1))-AVERAGE(OFFSET($H$3,0,0,'Données projet'!$E$15+1,1))</f>
        <v>#N/A</v>
      </c>
      <c r="EP111" s="57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7" t="e">
        <f t="shared" si="77"/>
        <v>#N/A</v>
      </c>
      <c r="FJ111" s="57" t="e">
        <f ca="1">AVERAGE(OFFSET($FI$3,0,0,'Données projet'!$E$16+1,1))-AVERAGE(OFFSET($H$3,0,0,'Données projet'!$E$16+1,1))</f>
        <v>#N/A</v>
      </c>
      <c r="FK111" s="57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7" t="e">
        <f t="shared" si="80"/>
        <v>#N/A</v>
      </c>
      <c r="GE111" s="57" t="e">
        <f ca="1">AVERAGE(OFFSET($GD$3,0,0,'Données projet'!$E$17+1,1))-AVERAGE(OFFSET($H$3,0,0,'Données projet'!$E$17+1,1))</f>
        <v>#N/A</v>
      </c>
      <c r="GF111" s="57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7" t="e">
        <f t="shared" si="83"/>
        <v>#N/A</v>
      </c>
      <c r="GZ111" s="57" t="e">
        <f ca="1">AVERAGE(OFFSET($GY$3,0,0,'Données projet'!$E$18+1,1))-AVERAGE(OFFSET($H$3,0,0,'Données projet'!$E$18+1,1))</f>
        <v>#N/A</v>
      </c>
      <c r="HA111" s="57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1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5">
        <f t="shared" si="56"/>
        <v>256.66666666666669</v>
      </c>
      <c r="I112" s="6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2.4</v>
      </c>
      <c r="N112" s="13">
        <f>IF('Données projet'!$A$36&gt;35,N111+M112-V111,IF(A112&lt;'Données projet'!$A$36,$K$205^A112,IF(A112='Données projet'!$A$36,'Données projet'!$B$36,N111+M112-V111)))</f>
        <v>282.59999999999974</v>
      </c>
      <c r="O112" s="13">
        <f>N112*VLOOKUP('Données projet'!$B$9,Paramètres!$A$1:$I$89,3,0)*VLOOKUP('Données projet'!$B$9,Paramètres!$A$1:$I$89,5,0)</f>
        <v>255.69647999999978</v>
      </c>
      <c r="P112" s="13">
        <f t="shared" si="87"/>
        <v>61.80415221549498</v>
      </c>
      <c r="Q112" s="20">
        <f t="shared" si="107"/>
        <v>552.98026777532004</v>
      </c>
      <c r="R112" s="57">
        <f t="shared" si="55"/>
        <v>846.3136011086533</v>
      </c>
      <c r="S112" s="57">
        <f ca="1">AVERAGE(OFFSET($R$3,0,0,'Données projet'!$E$9+1,1))-AVERAGE(OFFSET($H$3,0,0,'Données projet'!$E$9+1,1))</f>
        <v>373.45926089889866</v>
      </c>
      <c r="T112" s="57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30.853422990918965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30.853422990918965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2.4</v>
      </c>
      <c r="AI112" s="13">
        <f>IF('Données projet'!$A$62&gt;35,AI111+AH112-AQ111,IF(A112&lt;'Données projet'!$A$62,$AF$205^A112,IF(A112='Données projet'!$A$62,'Données projet'!$B$62,AI111+AH112-AQ111)))</f>
        <v>282.59999999999974</v>
      </c>
      <c r="AJ112" s="13">
        <f>AI112*VLOOKUP('Données projet'!$B$10,Paramètres!$A$1:$I$89,3,0)*VLOOKUP('Données projet'!$B$10,Paramètres!$A$1:$I$89,5,0)</f>
        <v>268.92215999999974</v>
      </c>
      <c r="AK112" s="13">
        <f t="shared" si="89"/>
        <v>64.620471212567296</v>
      </c>
      <c r="AL112" s="20">
        <f t="shared" si="58"/>
        <v>580.92008269522091</v>
      </c>
      <c r="AM112" s="57">
        <f t="shared" si="59"/>
        <v>874.25341602855428</v>
      </c>
      <c r="AN112" s="57">
        <f ca="1">AVERAGE(OFFSET($AM$3,0,0,'Données projet'!$E$10+1,1))-AVERAGE(OFFSET($H$3,0,0,'Données projet'!$E$10+1,1))</f>
        <v>390.70240761116355</v>
      </c>
      <c r="AO112" s="57">
        <f t="shared" si="90"/>
        <v>241.18285512887638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32.449289697345797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32.449289697345797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2.4</v>
      </c>
      <c r="BD112" s="12">
        <f>IF('Données projet'!$A$88&gt;35,BD111+BC112-BL111,IF(A112&lt;'Données projet'!$A$88,$BA$205^A112,IF(A112='Données projet'!$A$88,'Données projet'!$B$88,BD111+BC112-BL111)))</f>
        <v>282.59999999999974</v>
      </c>
      <c r="BE112" s="13">
        <f>BD112*VLOOKUP('Données projet'!$B$11,Paramètres!$A$1:$I$89,3,0)*VLOOKUP('Données projet'!$B$11,Paramètres!$A$1:$I$89,5,0)</f>
        <v>273.33071999999976</v>
      </c>
      <c r="BF112" s="13">
        <f t="shared" si="91"/>
        <v>65.555626952353848</v>
      </c>
      <c r="BG112" s="20">
        <f t="shared" si="61"/>
        <v>590.22705427534913</v>
      </c>
      <c r="BH112" s="57">
        <f t="shared" si="62"/>
        <v>883.5603876086825</v>
      </c>
      <c r="BI112" s="57">
        <f ca="1">AVERAGE(OFFSET($BH$3,0,0,'Données projet'!$E$11+1,1))-AVERAGE(OFFSET($H$3,0,0,'Données projet'!$E$11+1,1))</f>
        <v>396.44612884768748</v>
      </c>
      <c r="BJ112" s="57">
        <f t="shared" si="92"/>
        <v>244.451492444461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32.981245266154751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32.981245266154751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3.4106051316484809E-13</v>
      </c>
      <c r="BZ112" s="13">
        <f>BY112*VLOOKUP('Données projet'!$B$12,Paramètres!$A$1:$I$89,3,0)*VLOOKUP('Données projet'!$B$12,Paramètres!$A$1:$I$89,5,0)</f>
        <v>2.0395418687257919E-13</v>
      </c>
      <c r="CA112" s="13">
        <f t="shared" si="93"/>
        <v>2.8200388570161721E-12</v>
      </c>
      <c r="CB112" s="20">
        <f t="shared" si="64"/>
        <v>5.2667878847729083E-12</v>
      </c>
      <c r="CC112" s="57">
        <f t="shared" si="65"/>
        <v>293.3333333333386</v>
      </c>
      <c r="CD112" s="57">
        <f ca="1">AVERAGE(OFFSET($CC$3,0,0,'Données projet'!$E$12+1,1))-AVERAGE(OFFSET($H$3,0,0,'Données projet'!$E$12+1,1))</f>
        <v>259.64096626089821</v>
      </c>
      <c r="CE112" s="57">
        <f t="shared" si="94"/>
        <v>258.1415293081597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57.173573658790126</v>
      </c>
      <c r="CL112" s="21">
        <f>EXP(-LN(2)/25)*CL111+(1-EXP(-LN(2)/25))/(LN(2)/25)*Calculateur!CG112*Calculateur!CI112*VLOOKUP('Données projet'!$B$12,Paramètres!$A$1:$I$89,3,0)*0.475*44/12</f>
        <v>9.1092047768029349</v>
      </c>
      <c r="CM112" s="21">
        <f>EXP(-LN(2)/2)*CM111+(1-EXP(-LN(2)/2))/(LN(2)/2)*CG112*CJ112*VLOOKUP('Données projet'!$B$12,Paramètres!$A$1:$I$89,3,0)*0.475*44/12</f>
        <v>1.144475243215038E-6</v>
      </c>
      <c r="CN112" s="22">
        <f t="shared" si="66"/>
        <v>66.282779580068308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2.4</v>
      </c>
      <c r="CT112" s="12">
        <f>IF('Données projet'!$A$140&gt;35,CT111+CS112-DB111,IF(A112&lt;'Données projet'!$A$140,$CQ$205^A112,IF(A112='Données projet'!$A$140,'Données projet'!$B$140,CT111+CS112-DB111)))</f>
        <v>282.59999999999974</v>
      </c>
      <c r="CU112" s="17">
        <f>CT112*VLOOKUP('Données projet'!$B$13,Paramètres!$A$1:$I$89,3,0)*VLOOKUP('Données projet'!$B$13,Paramètres!$A$1:$I$89,5,0)</f>
        <v>304.19063999999969</v>
      </c>
      <c r="CV112" s="13">
        <f t="shared" si="95"/>
        <v>72.05427204733293</v>
      </c>
      <c r="CW112" s="20">
        <f t="shared" si="67"/>
        <v>655.29322181577083</v>
      </c>
      <c r="CX112" s="57">
        <f t="shared" si="68"/>
        <v>948.62655514910421</v>
      </c>
      <c r="CY112" s="57">
        <f ca="1">AVERAGE(OFFSET($CX$3,0,0,'Données projet'!$E$13+1,1))-AVERAGE(OFFSET($H$3,0,0,'Données projet'!$E$13+1,1))</f>
        <v>436.59978658837537</v>
      </c>
      <c r="CZ112" s="57">
        <f t="shared" si="96"/>
        <v>267.2998309535638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36.704934247817384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36.704934247817384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3</v>
      </c>
      <c r="DO112" s="12">
        <f>IF('Données projet'!$A$166&gt;35,DO111+DN112-DW111,IF(A112&lt;'Données projet'!$A$166,$DL$205^A112,IF(A112='Données projet'!$A$166,'Données projet'!$B$166,DO111+DN112-DW111)))</f>
        <v>215.99999999999991</v>
      </c>
      <c r="DP112" s="17">
        <f>DO112*VLOOKUP('Données projet'!$B$14,Paramètres!$A$1:$I$89,3,0)*VLOOKUP('Données projet'!$B$14,Paramètres!$A$1:$I$89,5,0)</f>
        <v>205.54559999999989</v>
      </c>
      <c r="DQ112" s="13">
        <f t="shared" si="97"/>
        <v>50.960975968608096</v>
      </c>
      <c r="DR112" s="20">
        <f t="shared" si="70"/>
        <v>446.74895314532552</v>
      </c>
      <c r="DS112" s="57">
        <f t="shared" si="71"/>
        <v>740.08228647865883</v>
      </c>
      <c r="DT112" s="57">
        <f ca="1">AVERAGE(OFFSET($DS$3,0,0,'Données projet'!$E$14+1,1))-AVERAGE(OFFSET($H$3,0,0,'Données projet'!$E$14+1,1))</f>
        <v>292.95981568144879</v>
      </c>
      <c r="DU112" s="57">
        <f t="shared" si="98"/>
        <v>152.23954167722536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24.20758864616538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24.20758864616538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7" t="e">
        <f t="shared" si="74"/>
        <v>#N/A</v>
      </c>
      <c r="EO112" s="57" t="e">
        <f ca="1">AVERAGE(OFFSET($EN$3,0,0,'Données projet'!$E$15+1,1))-AVERAGE(OFFSET($H$3,0,0,'Données projet'!$E$15+1,1))</f>
        <v>#N/A</v>
      </c>
      <c r="EP112" s="57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7" t="e">
        <f t="shared" si="77"/>
        <v>#N/A</v>
      </c>
      <c r="FJ112" s="57" t="e">
        <f ca="1">AVERAGE(OFFSET($FI$3,0,0,'Données projet'!$E$16+1,1))-AVERAGE(OFFSET($H$3,0,0,'Données projet'!$E$16+1,1))</f>
        <v>#N/A</v>
      </c>
      <c r="FK112" s="57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7" t="e">
        <f t="shared" si="80"/>
        <v>#N/A</v>
      </c>
      <c r="GE112" s="57" t="e">
        <f ca="1">AVERAGE(OFFSET($GD$3,0,0,'Données projet'!$E$17+1,1))-AVERAGE(OFFSET($H$3,0,0,'Données projet'!$E$17+1,1))</f>
        <v>#N/A</v>
      </c>
      <c r="GF112" s="57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7" t="e">
        <f t="shared" si="83"/>
        <v>#N/A</v>
      </c>
      <c r="GZ112" s="57" t="e">
        <f ca="1">AVERAGE(OFFSET($GY$3,0,0,'Données projet'!$E$18+1,1))-AVERAGE(OFFSET($H$3,0,0,'Données projet'!$E$18+1,1))</f>
        <v>#N/A</v>
      </c>
      <c r="HA112" s="57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1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5">
        <f t="shared" si="56"/>
        <v>256.66666666666669</v>
      </c>
      <c r="I113" s="6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2.4</v>
      </c>
      <c r="M113" s="12">
        <f t="array" ref="M113">INDEX(L:L,MIN(IF(ISNUMBER(L113:L309),ROW(L113:L309),"")))</f>
        <v>2.4</v>
      </c>
      <c r="N113" s="13">
        <f>IF('Données projet'!$A$36&gt;35,N112+M113-V112,IF(A113&lt;'Données projet'!$A$36,$K$205^A113,IF(A113='Données projet'!$A$36,'Données projet'!$B$36,N112+M113-V112)))</f>
        <v>284.99999999999972</v>
      </c>
      <c r="O113" s="13">
        <f>N113*VLOOKUP('Données projet'!$B$9,Paramètres!$A$1:$I$89,3,0)*VLOOKUP('Données projet'!$B$9,Paramètres!$A$1:$I$89,5,0)</f>
        <v>257.86799999999971</v>
      </c>
      <c r="P113" s="13">
        <f t="shared" si="87"/>
        <v>62.267704162827471</v>
      </c>
      <c r="Q113" s="20">
        <f t="shared" si="107"/>
        <v>557.56968475025735</v>
      </c>
      <c r="R113" s="57">
        <f t="shared" si="55"/>
        <v>850.90301808359072</v>
      </c>
      <c r="S113" s="57">
        <f ca="1">AVERAGE(OFFSET($R$3,0,0,'Données projet'!$E$9+1,1))-AVERAGE(OFFSET($H$3,0,0,'Données projet'!$E$9+1,1))</f>
        <v>373.45926089889866</v>
      </c>
      <c r="T113" s="57">
        <f t="shared" si="88"/>
        <v>231.36959598460686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43.667486490366237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43.667486490366237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2.4</v>
      </c>
      <c r="AH113" s="12">
        <f t="array" ref="AH113">INDEX(AG:AG,MIN(IF(ISNUMBER(AG113:AG309),ROW(AG113:AG309),"")))</f>
        <v>2.4</v>
      </c>
      <c r="AI113" s="13">
        <f>IF('Données projet'!$A$62&gt;35,AI112+AH113-AQ112,IF(A113&lt;'Données projet'!$A$62,$AF$205^A113,IF(A113='Données projet'!$A$62,'Données projet'!$B$62,AI112+AH113-AQ112)))</f>
        <v>284.99999999999972</v>
      </c>
      <c r="AJ113" s="13">
        <f>AI113*VLOOKUP('Données projet'!$B$10,Paramètres!$A$1:$I$89,3,0)*VLOOKUP('Données projet'!$B$10,Paramètres!$A$1:$I$89,5,0)</f>
        <v>271.20599999999973</v>
      </c>
      <c r="AK113" s="13">
        <f t="shared" si="89"/>
        <v>65.105146500461927</v>
      </c>
      <c r="AL113" s="20">
        <f t="shared" si="58"/>
        <v>585.74191348830391</v>
      </c>
      <c r="AM113" s="57">
        <f t="shared" si="59"/>
        <v>879.07524682163717</v>
      </c>
      <c r="AN113" s="57">
        <f ca="1">AVERAGE(OFFSET($AM$3,0,0,'Données projet'!$E$10+1,1))-AVERAGE(OFFSET($H$3,0,0,'Données projet'!$E$10+1,1))</f>
        <v>390.70240761116355</v>
      </c>
      <c r="AO113" s="57">
        <f t="shared" si="90"/>
        <v>241.18285512887638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45.926149584695516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45.926149584695516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2.4</v>
      </c>
      <c r="BC113" s="12">
        <f t="array" ref="BC113">INDEX(BB:BB,MIN(IF(ISNUMBER(BB113:BB309),ROW(BB113:BB309),"")))</f>
        <v>2.4</v>
      </c>
      <c r="BD113" s="12">
        <f>IF('Données projet'!$A$88&gt;35,BD112+BC113-BL112,IF(A113&lt;'Données projet'!$A$88,$BA$205^A113,IF(A113='Données projet'!$A$88,'Données projet'!$B$88,BD112+BC113-BL112)))</f>
        <v>284.99999999999972</v>
      </c>
      <c r="BE113" s="13">
        <f>BD113*VLOOKUP('Données projet'!$B$11,Paramètres!$A$1:$I$89,3,0)*VLOOKUP('Données projet'!$B$11,Paramètres!$A$1:$I$89,5,0)</f>
        <v>275.6519999999997</v>
      </c>
      <c r="BF113" s="13">
        <f t="shared" si="91"/>
        <v>66.047316223107202</v>
      </c>
      <c r="BG113" s="20">
        <f t="shared" si="61"/>
        <v>595.12630908857784</v>
      </c>
      <c r="BH113" s="57">
        <f t="shared" si="62"/>
        <v>888.45964242191121</v>
      </c>
      <c r="BI113" s="57">
        <f ca="1">AVERAGE(OFFSET($BH$3,0,0,'Données projet'!$E$11+1,1))-AVERAGE(OFFSET($H$3,0,0,'Données projet'!$E$11+1,1))</f>
        <v>396.44612884768748</v>
      </c>
      <c r="BJ113" s="57">
        <f t="shared" si="92"/>
        <v>244.451492444461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46.679037282805282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46.679037282805282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3.4106051316484809E-13</v>
      </c>
      <c r="BZ113" s="13">
        <f>BY113*VLOOKUP('Données projet'!$B$12,Paramètres!$A$1:$I$89,3,0)*VLOOKUP('Données projet'!$B$12,Paramètres!$A$1:$I$89,5,0)</f>
        <v>2.0395418687257919E-13</v>
      </c>
      <c r="CA113" s="13">
        <f t="shared" si="93"/>
        <v>2.8200388570161721E-12</v>
      </c>
      <c r="CB113" s="20">
        <f t="shared" si="64"/>
        <v>5.2667878847729083E-12</v>
      </c>
      <c r="CC113" s="57">
        <f t="shared" si="65"/>
        <v>293.3333333333386</v>
      </c>
      <c r="CD113" s="57">
        <f ca="1">AVERAGE(OFFSET($CC$3,0,0,'Données projet'!$E$12+1,1))-AVERAGE(OFFSET($H$3,0,0,'Données projet'!$E$12+1,1))</f>
        <v>259.64096626089821</v>
      </c>
      <c r="CE113" s="57">
        <f t="shared" si="94"/>
        <v>258.1415293081597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56.052434751777817</v>
      </c>
      <c r="CL113" s="21">
        <f>EXP(-LN(2)/25)*CL112+(1-EXP(-LN(2)/25))/(LN(2)/25)*Calculateur!CG113*Calculateur!CI113*VLOOKUP('Données projet'!$B$12,Paramètres!$A$1:$I$89,3,0)*0.475*44/12</f>
        <v>8.860113093148998</v>
      </c>
      <c r="CM113" s="21">
        <f>EXP(-LN(2)/2)*CM112+(1-EXP(-LN(2)/2))/(LN(2)/2)*CG113*CJ113*VLOOKUP('Données projet'!$B$12,Paramètres!$A$1:$I$89,3,0)*0.475*44/12</f>
        <v>8.0926620537747668E-7</v>
      </c>
      <c r="CN113" s="22">
        <f t="shared" si="66"/>
        <v>64.912548654193031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285</v>
      </c>
      <c r="CR113" s="12">
        <f>VLOOKUP(A113,'Données projet'!$A$139:$I$159,9,0)</f>
        <v>2.4</v>
      </c>
      <c r="CS113" s="12">
        <f t="array" ref="CS113">INDEX(CR:CR,MIN(IF(ISNUMBER(CR113:CR309),ROW(CR113:CR309),"")))</f>
        <v>2.4</v>
      </c>
      <c r="CT113" s="12">
        <f>IF('Données projet'!$A$140&gt;35,CT112+CS113-DB112,IF(A113&lt;'Données projet'!$A$140,$CQ$205^A113,IF(A113='Données projet'!$A$140,'Données projet'!$B$140,CT112+CS113-DB112)))</f>
        <v>284.99999999999972</v>
      </c>
      <c r="CU113" s="17">
        <f>CT113*VLOOKUP('Données projet'!$B$13,Paramètres!$A$1:$I$89,3,0)*VLOOKUP('Données projet'!$B$13,Paramètres!$A$1:$I$89,5,0)</f>
        <v>306.77399999999966</v>
      </c>
      <c r="CV113" s="13">
        <f t="shared" si="95"/>
        <v>72.594703343998987</v>
      </c>
      <c r="CW113" s="20">
        <f t="shared" si="67"/>
        <v>660.73382499079753</v>
      </c>
      <c r="CX113" s="57">
        <f t="shared" si="68"/>
        <v>954.06715832413079</v>
      </c>
      <c r="CY113" s="57">
        <f ca="1">AVERAGE(OFFSET($CX$3,0,0,'Données projet'!$E$13+1,1))-AVERAGE(OFFSET($H$3,0,0,'Données projet'!$E$13+1,1))</f>
        <v>436.59978658837537</v>
      </c>
      <c r="CZ113" s="57">
        <f t="shared" si="96"/>
        <v>267.2998309535638</v>
      </c>
      <c r="DA113" s="15">
        <f>IF(ISNA(VLOOKUP(A113,'Données projet'!$A$139:$I$159,3,0)),0,VLOOKUP(A113,'Données projet'!$A$139:$I$159,3,0))</f>
        <v>19</v>
      </c>
      <c r="DB113" s="15">
        <f>IF(ISNA(VLOOKUP(A113,'Données projet'!$A$139:$I$159,4,0)),0,VLOOKUP(A113,'Données projet'!$A$139:$I$159,4,0))</f>
        <v>39</v>
      </c>
      <c r="DC113" s="16">
        <f>IF(ISNA(VLOOKUP(A113,'Données projet'!$A$139:$I$159,5,0)),0%,VLOOKUP(A113,'Données projet'!$A$139:$I$159,5,0)*VLOOKUP('Données projet'!$B$13,Paramètres!$A$1:$I$89,7,0))</f>
        <v>0.34400000000000003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51.949251169573621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51.949251169573621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219</v>
      </c>
      <c r="DM113" s="12">
        <f>VLOOKUP(A113,'Données projet'!$A$165:$I$185,9,0)</f>
        <v>3</v>
      </c>
      <c r="DN113" s="12">
        <f t="array" ref="DN113">INDEX(DM:DM,MIN(IF(ISNUMBER(DM113:DM309),ROW(DM113:DM309),"")))</f>
        <v>3</v>
      </c>
      <c r="DO113" s="12">
        <f>IF('Données projet'!$A$166&gt;35,DO112+DN113-DW112,IF(A113&lt;'Données projet'!$A$166,$DL$205^A113,IF(A113='Données projet'!$A$166,'Données projet'!$B$166,DO112+DN113-DW112)))</f>
        <v>218.99999999999991</v>
      </c>
      <c r="DP113" s="17">
        <f>DO113*VLOOKUP('Données projet'!$B$14,Paramètres!$A$1:$I$89,3,0)*VLOOKUP('Données projet'!$B$14,Paramètres!$A$1:$I$89,5,0)</f>
        <v>208.40039999999993</v>
      </c>
      <c r="DQ113" s="13">
        <f t="shared" si="97"/>
        <v>51.585877448947201</v>
      </c>
      <c r="DR113" s="20">
        <f t="shared" si="70"/>
        <v>452.80943322358286</v>
      </c>
      <c r="DS113" s="57">
        <f t="shared" si="71"/>
        <v>746.14276655691617</v>
      </c>
      <c r="DT113" s="57">
        <f ca="1">AVERAGE(OFFSET($DS$3,0,0,'Données projet'!$E$14+1,1))-AVERAGE(OFFSET($H$3,0,0,'Données projet'!$E$14+1,1))</f>
        <v>292.95981568144879</v>
      </c>
      <c r="DU113" s="57">
        <f t="shared" si="98"/>
        <v>152.23954167722536</v>
      </c>
      <c r="DV113" s="15">
        <f>IF(ISNA(VLOOKUP(A113,'Données projet'!$A$165:$I$185,3,0)),0,VLOOKUP(A113,'Données projet'!$A$165:$I$185,3,0))</f>
        <v>18</v>
      </c>
      <c r="DW113" s="15">
        <f>IF(ISNA(VLOOKUP(A113,'Données projet'!$A$165:$I$185,4,0)),0,VLOOKUP(A113,'Données projet'!$A$165:$I$185,4,0))</f>
        <v>13</v>
      </c>
      <c r="DX113" s="16">
        <f>IF(ISNA(VLOOKUP(A113,'Données projet'!$A$165:$I$185,5,0)),0%,VLOOKUP(A113,'Données projet'!$A$165:$I$185,5,0)*VLOOKUP('Données projet'!$B$14,Paramètres!$A$1:$I$89,7,0))</f>
        <v>0.30099999999999999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27.849234042294206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27.849234042294206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7" t="e">
        <f t="shared" si="74"/>
        <v>#N/A</v>
      </c>
      <c r="EO113" s="57" t="e">
        <f ca="1">AVERAGE(OFFSET($EN$3,0,0,'Données projet'!$E$15+1,1))-AVERAGE(OFFSET($H$3,0,0,'Données projet'!$E$15+1,1))</f>
        <v>#N/A</v>
      </c>
      <c r="EP113" s="57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7" t="e">
        <f t="shared" si="77"/>
        <v>#N/A</v>
      </c>
      <c r="FJ113" s="57" t="e">
        <f ca="1">AVERAGE(OFFSET($FI$3,0,0,'Données projet'!$E$16+1,1))-AVERAGE(OFFSET($H$3,0,0,'Données projet'!$E$16+1,1))</f>
        <v>#N/A</v>
      </c>
      <c r="FK113" s="57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7" t="e">
        <f t="shared" si="80"/>
        <v>#N/A</v>
      </c>
      <c r="GE113" s="57" t="e">
        <f ca="1">AVERAGE(OFFSET($GD$3,0,0,'Données projet'!$E$17+1,1))-AVERAGE(OFFSET($H$3,0,0,'Données projet'!$E$17+1,1))</f>
        <v>#N/A</v>
      </c>
      <c r="GF113" s="57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7" t="e">
        <f t="shared" si="83"/>
        <v>#N/A</v>
      </c>
      <c r="GZ113" s="57" t="e">
        <f ca="1">AVERAGE(OFFSET($GY$3,0,0,'Données projet'!$E$18+1,1))-AVERAGE(OFFSET($H$3,0,0,'Données projet'!$E$18+1,1))</f>
        <v>#N/A</v>
      </c>
      <c r="HA113" s="57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1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5">
        <f t="shared" si="56"/>
        <v>256.66666666666669</v>
      </c>
      <c r="I114" s="6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7.8</v>
      </c>
      <c r="N114" s="13">
        <f>IF('Données projet'!$A$36&gt;35,N113+M114-V113,IF(A114&lt;'Données projet'!$A$36,$K$205^A114,IF(A114='Données projet'!$A$36,'Données projet'!$B$36,N113+M114-V113)))</f>
        <v>253.79999999999973</v>
      </c>
      <c r="O114" s="13">
        <f>N114*VLOOKUP('Données projet'!$B$9,Paramètres!$A$1:$I$89,3,0)*VLOOKUP('Données projet'!$B$9,Paramètres!$A$1:$I$89,5,0)</f>
        <v>229.63823999999974</v>
      </c>
      <c r="P114" s="13">
        <f t="shared" si="87"/>
        <v>56.204453396569583</v>
      </c>
      <c r="Q114" s="20">
        <f t="shared" si="107"/>
        <v>497.8426909990248</v>
      </c>
      <c r="R114" s="57">
        <f t="shared" si="55"/>
        <v>791.17602433235811</v>
      </c>
      <c r="S114" s="57">
        <f ca="1">AVERAGE(OFFSET($R$3,0,0,'Données projet'!$E$9+1,1))-AVERAGE(OFFSET($H$3,0,0,'Données projet'!$E$9+1,1))</f>
        <v>373.45926089889866</v>
      </c>
      <c r="T114" s="57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42.81119371482697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42.81119371482697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7.8</v>
      </c>
      <c r="AI114" s="13">
        <f>IF('Données projet'!$A$62&gt;35,AI113+AH114-AQ113,IF(A114&lt;'Données projet'!$A$62,$AF$205^A114,IF(A114='Données projet'!$A$62,'Données projet'!$B$62,AI113+AH114-AQ113)))</f>
        <v>253.79999999999973</v>
      </c>
      <c r="AJ114" s="13">
        <f>AI114*VLOOKUP('Données projet'!$B$10,Paramètres!$A$1:$I$89,3,0)*VLOOKUP('Données projet'!$B$10,Paramètres!$A$1:$I$89,5,0)</f>
        <v>241.51607999999976</v>
      </c>
      <c r="AK114" s="13">
        <f t="shared" si="89"/>
        <v>58.76560283631779</v>
      </c>
      <c r="AL114" s="20">
        <f t="shared" si="58"/>
        <v>522.99059760658645</v>
      </c>
      <c r="AM114" s="57">
        <f t="shared" si="59"/>
        <v>816.32393093991982</v>
      </c>
      <c r="AN114" s="57">
        <f ca="1">AVERAGE(OFFSET($AM$3,0,0,'Données projet'!$E$10+1,1))-AVERAGE(OFFSET($H$3,0,0,'Données projet'!$E$10+1,1))</f>
        <v>390.70240761116355</v>
      </c>
      <c r="AO114" s="57">
        <f t="shared" si="90"/>
        <v>241.18285512887638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45.025565803524913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45.025565803524913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7.8</v>
      </c>
      <c r="BD114" s="12">
        <f>IF('Données projet'!$A$88&gt;35,BD113+BC114-BL113,IF(A114&lt;'Données projet'!$A$88,$BA$205^A114,IF(A114='Données projet'!$A$88,'Données projet'!$B$88,BD113+BC114-BL113)))</f>
        <v>253.79999999999973</v>
      </c>
      <c r="BE114" s="13">
        <f>BD114*VLOOKUP('Données projet'!$B$11,Paramètres!$A$1:$I$89,3,0)*VLOOKUP('Données projet'!$B$11,Paramètres!$A$1:$I$89,5,0)</f>
        <v>245.47535999999974</v>
      </c>
      <c r="BF114" s="13">
        <f t="shared" si="91"/>
        <v>59.616029794883701</v>
      </c>
      <c r="BG114" s="20">
        <f t="shared" si="61"/>
        <v>531.36750389275528</v>
      </c>
      <c r="BH114" s="57">
        <f t="shared" si="62"/>
        <v>824.70083722608865</v>
      </c>
      <c r="BI114" s="57">
        <f ca="1">AVERAGE(OFFSET($BH$3,0,0,'Données projet'!$E$11+1,1))-AVERAGE(OFFSET($H$3,0,0,'Données projet'!$E$11+1,1))</f>
        <v>396.44612884768748</v>
      </c>
      <c r="BJ114" s="57">
        <f t="shared" si="92"/>
        <v>244.451492444461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45.763689833090893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45.763689833090893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3.4106051316484809E-13</v>
      </c>
      <c r="BZ114" s="13">
        <f>BY114*VLOOKUP('Données projet'!$B$12,Paramètres!$A$1:$I$89,3,0)*VLOOKUP('Données projet'!$B$12,Paramètres!$A$1:$I$89,5,0)</f>
        <v>2.0395418687257919E-13</v>
      </c>
      <c r="CA114" s="13">
        <f t="shared" si="93"/>
        <v>2.8200388570161721E-12</v>
      </c>
      <c r="CB114" s="20">
        <f t="shared" si="64"/>
        <v>5.2667878847729083E-12</v>
      </c>
      <c r="CC114" s="57">
        <f t="shared" si="65"/>
        <v>293.3333333333386</v>
      </c>
      <c r="CD114" s="57">
        <f ca="1">AVERAGE(OFFSET($CC$3,0,0,'Données projet'!$E$12+1,1))-AVERAGE(OFFSET($H$3,0,0,'Données projet'!$E$12+1,1))</f>
        <v>259.64096626089821</v>
      </c>
      <c r="CE114" s="57">
        <f t="shared" si="94"/>
        <v>258.1415293081597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54.953280694904805</v>
      </c>
      <c r="CL114" s="21">
        <f>EXP(-LN(2)/25)*CL113+(1-EXP(-LN(2)/25))/(LN(2)/25)*Calculateur!CG114*Calculateur!CI114*VLOOKUP('Données projet'!$B$12,Paramètres!$A$1:$I$89,3,0)*0.475*44/12</f>
        <v>8.6178328346837407</v>
      </c>
      <c r="CM114" s="21">
        <f>EXP(-LN(2)/2)*CM113+(1-EXP(-LN(2)/2))/(LN(2)/2)*CG114*CJ114*VLOOKUP('Données projet'!$B$12,Paramètres!$A$1:$I$89,3,0)*0.475*44/12</f>
        <v>5.7223762160751902E-7</v>
      </c>
      <c r="CN114" s="22">
        <f t="shared" si="66"/>
        <v>63.571114101826169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7.8</v>
      </c>
      <c r="CT114" s="12">
        <f>IF('Données projet'!$A$140&gt;35,CT113+CS114-DB113,IF(A114&lt;'Données projet'!$A$140,$CQ$205^A114,IF(A114='Données projet'!$A$140,'Données projet'!$B$140,CT113+CS114-DB113)))</f>
        <v>253.79999999999973</v>
      </c>
      <c r="CU114" s="17">
        <f>CT114*VLOOKUP('Données projet'!$B$13,Paramètres!$A$1:$I$89,3,0)*VLOOKUP('Données projet'!$B$13,Paramètres!$A$1:$I$89,5,0)</f>
        <v>273.1903199999997</v>
      </c>
      <c r="CV114" s="13">
        <f t="shared" si="95"/>
        <v>65.525872132143775</v>
      </c>
      <c r="CW114" s="20">
        <f t="shared" si="67"/>
        <v>589.93070129681655</v>
      </c>
      <c r="CX114" s="57">
        <f t="shared" si="68"/>
        <v>883.26403463014981</v>
      </c>
      <c r="CY114" s="57">
        <f ca="1">AVERAGE(OFFSET($CX$3,0,0,'Données projet'!$E$13+1,1))-AVERAGE(OFFSET($H$3,0,0,'Données projet'!$E$13+1,1))</f>
        <v>436.59978658837537</v>
      </c>
      <c r="CZ114" s="57">
        <f t="shared" si="96"/>
        <v>267.2998309535638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50.930558040052773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50.930558040052773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2.6</v>
      </c>
      <c r="DO114" s="12">
        <f>IF('Données projet'!$A$166&gt;35,DO113+DN114-DW113,IF(A114&lt;'Données projet'!$A$166,$DL$205^A114,IF(A114='Données projet'!$A$166,'Données projet'!$B$166,DO113+DN114-DW113)))</f>
        <v>208.59999999999991</v>
      </c>
      <c r="DP114" s="17">
        <f>DO114*VLOOKUP('Données projet'!$B$14,Paramètres!$A$1:$I$89,3,0)*VLOOKUP('Données projet'!$B$14,Paramètres!$A$1:$I$89,5,0)</f>
        <v>198.50375999999991</v>
      </c>
      <c r="DQ114" s="13">
        <f t="shared" si="97"/>
        <v>49.415195886134661</v>
      </c>
      <c r="DR114" s="20">
        <f t="shared" si="70"/>
        <v>431.79218150168435</v>
      </c>
      <c r="DS114" s="57">
        <f t="shared" si="71"/>
        <v>725.12551483501761</v>
      </c>
      <c r="DT114" s="57">
        <f ca="1">AVERAGE(OFFSET($DS$3,0,0,'Données projet'!$E$14+1,1))-AVERAGE(OFFSET($H$3,0,0,'Données projet'!$E$14+1,1))</f>
        <v>292.95981568144879</v>
      </c>
      <c r="DU114" s="57">
        <f t="shared" si="98"/>
        <v>152.23954167722536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27.303127549080319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27.303127549080319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7" t="e">
        <f t="shared" si="74"/>
        <v>#N/A</v>
      </c>
      <c r="EO114" s="57" t="e">
        <f ca="1">AVERAGE(OFFSET($EN$3,0,0,'Données projet'!$E$15+1,1))-AVERAGE(OFFSET($H$3,0,0,'Données projet'!$E$15+1,1))</f>
        <v>#N/A</v>
      </c>
      <c r="EP114" s="57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7" t="e">
        <f t="shared" si="77"/>
        <v>#N/A</v>
      </c>
      <c r="FJ114" s="57" t="e">
        <f ca="1">AVERAGE(OFFSET($FI$3,0,0,'Données projet'!$E$16+1,1))-AVERAGE(OFFSET($H$3,0,0,'Données projet'!$E$16+1,1))</f>
        <v>#N/A</v>
      </c>
      <c r="FK114" s="57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7" t="e">
        <f t="shared" si="80"/>
        <v>#N/A</v>
      </c>
      <c r="GE114" s="57" t="e">
        <f ca="1">AVERAGE(OFFSET($GD$3,0,0,'Données projet'!$E$17+1,1))-AVERAGE(OFFSET($H$3,0,0,'Données projet'!$E$17+1,1))</f>
        <v>#N/A</v>
      </c>
      <c r="GF114" s="57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7" t="e">
        <f t="shared" si="83"/>
        <v>#N/A</v>
      </c>
      <c r="GZ114" s="57" t="e">
        <f ca="1">AVERAGE(OFFSET($GY$3,0,0,'Données projet'!$E$18+1,1))-AVERAGE(OFFSET($H$3,0,0,'Données projet'!$E$18+1,1))</f>
        <v>#N/A</v>
      </c>
      <c r="HA114" s="57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1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5">
        <f t="shared" si="56"/>
        <v>256.66666666666669</v>
      </c>
      <c r="I115" s="6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7.8</v>
      </c>
      <c r="N115" s="13">
        <f>IF('Données projet'!$A$36&gt;35,N114+M115-V114,IF(A115&lt;'Données projet'!$A$36,$K$205^A115,IF(A115='Données projet'!$A$36,'Données projet'!$B$36,N114+M115-V114)))</f>
        <v>261.59999999999974</v>
      </c>
      <c r="O115" s="13">
        <f>N115*VLOOKUP('Données projet'!$B$9,Paramètres!$A$1:$I$89,3,0)*VLOOKUP('Données projet'!$B$9,Paramètres!$A$1:$I$89,5,0)</f>
        <v>236.69567999999975</v>
      </c>
      <c r="P115" s="13">
        <f t="shared" si="87"/>
        <v>57.72801732243029</v>
      </c>
      <c r="Q115" s="20">
        <f t="shared" si="107"/>
        <v>512.78793950323222</v>
      </c>
      <c r="R115" s="57">
        <f t="shared" si="55"/>
        <v>806.12127283656559</v>
      </c>
      <c r="S115" s="57">
        <f ca="1">AVERAGE(OFFSET($R$3,0,0,'Données projet'!$E$9+1,1))-AVERAGE(OFFSET($H$3,0,0,'Données projet'!$E$9+1,1))</f>
        <v>373.45926089889866</v>
      </c>
      <c r="T115" s="57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41.971692318329012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41.971692318329012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7.8</v>
      </c>
      <c r="AI115" s="13">
        <f>IF('Données projet'!$A$62&gt;35,AI114+AH115-AQ114,IF(A115&lt;'Données projet'!$A$62,$AF$205^A115,IF(A115='Données projet'!$A$62,'Données projet'!$B$62,AI114+AH115-AQ114)))</f>
        <v>261.59999999999974</v>
      </c>
      <c r="AJ115" s="13">
        <f>AI115*VLOOKUP('Données projet'!$B$10,Paramètres!$A$1:$I$89,3,0)*VLOOKUP('Données projet'!$B$10,Paramètres!$A$1:$I$89,5,0)</f>
        <v>248.93855999999974</v>
      </c>
      <c r="AK115" s="13">
        <f t="shared" si="89"/>
        <v>60.358593198329444</v>
      </c>
      <c r="AL115" s="20">
        <f t="shared" si="58"/>
        <v>538.69254182042334</v>
      </c>
      <c r="AM115" s="57">
        <f t="shared" si="59"/>
        <v>832.02587515375672</v>
      </c>
      <c r="AN115" s="57">
        <f ca="1">AVERAGE(OFFSET($AM$3,0,0,'Données projet'!$E$10+1,1))-AVERAGE(OFFSET($H$3,0,0,'Données projet'!$E$10+1,1))</f>
        <v>390.70240761116355</v>
      </c>
      <c r="AO115" s="57">
        <f t="shared" si="90"/>
        <v>241.18285512887638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44.142641921001193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44.142641921001193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7.8</v>
      </c>
      <c r="BD115" s="12">
        <f>IF('Données projet'!$A$88&gt;35,BD114+BC115-BL114,IF(A115&lt;'Données projet'!$A$88,$BA$205^A115,IF(A115='Données projet'!$A$88,'Données projet'!$B$88,BD114+BC115-BL114)))</f>
        <v>261.59999999999974</v>
      </c>
      <c r="BE115" s="13">
        <f>BD115*VLOOKUP('Données projet'!$B$11,Paramètres!$A$1:$I$89,3,0)*VLOOKUP('Données projet'!$B$11,Paramètres!$A$1:$I$89,5,0)</f>
        <v>253.01951999999974</v>
      </c>
      <c r="BF115" s="13">
        <f t="shared" si="91"/>
        <v>61.232073131479261</v>
      </c>
      <c r="BG115" s="20">
        <f t="shared" si="61"/>
        <v>547.32152470399262</v>
      </c>
      <c r="BH115" s="57">
        <f t="shared" si="62"/>
        <v>840.65485803732599</v>
      </c>
      <c r="BI115" s="57">
        <f ca="1">AVERAGE(OFFSET($BH$3,0,0,'Données projet'!$E$11+1,1))-AVERAGE(OFFSET($H$3,0,0,'Données projet'!$E$11+1,1))</f>
        <v>396.44612884768748</v>
      </c>
      <c r="BJ115" s="57">
        <f t="shared" si="92"/>
        <v>244.451492444461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44.866291788558591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44.866291788558591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3.4106051316484809E-13</v>
      </c>
      <c r="BZ115" s="13">
        <f>BY115*VLOOKUP('Données projet'!$B$12,Paramètres!$A$1:$I$89,3,0)*VLOOKUP('Données projet'!$B$12,Paramètres!$A$1:$I$89,5,0)</f>
        <v>2.0395418687257919E-13</v>
      </c>
      <c r="CA115" s="13">
        <f t="shared" si="93"/>
        <v>2.8200388570161721E-12</v>
      </c>
      <c r="CB115" s="20">
        <f t="shared" si="64"/>
        <v>5.2667878847729083E-12</v>
      </c>
      <c r="CC115" s="57">
        <f t="shared" si="65"/>
        <v>293.3333333333386</v>
      </c>
      <c r="CD115" s="57">
        <f ca="1">AVERAGE(OFFSET($CC$3,0,0,'Données projet'!$E$12+1,1))-AVERAGE(OFFSET($H$3,0,0,'Données projet'!$E$12+1,1))</f>
        <v>259.64096626089821</v>
      </c>
      <c r="CE115" s="57">
        <f t="shared" si="94"/>
        <v>258.1415293081597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53.875680378669301</v>
      </c>
      <c r="CL115" s="21">
        <f>EXP(-LN(2)/25)*CL114+(1-EXP(-LN(2)/25))/(LN(2)/25)*Calculateur!CG115*Calculateur!CI115*VLOOKUP('Données projet'!$B$12,Paramètres!$A$1:$I$89,3,0)*0.475*44/12</f>
        <v>8.3821777426271815</v>
      </c>
      <c r="CM115" s="21">
        <f>EXP(-LN(2)/2)*CM114+(1-EXP(-LN(2)/2))/(LN(2)/2)*CG115*CJ115*VLOOKUP('Données projet'!$B$12,Paramètres!$A$1:$I$89,3,0)*0.475*44/12</f>
        <v>4.0463310268873834E-7</v>
      </c>
      <c r="CN115" s="22">
        <f t="shared" si="66"/>
        <v>62.257858525929585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7.8</v>
      </c>
      <c r="CT115" s="12">
        <f>IF('Données projet'!$A$140&gt;35,CT114+CS115-DB114,IF(A115&lt;'Données projet'!$A$140,$CQ$205^A115,IF(A115='Données projet'!$A$140,'Données projet'!$B$140,CT114+CS115-DB114)))</f>
        <v>261.59999999999974</v>
      </c>
      <c r="CU115" s="17">
        <f>CT115*VLOOKUP('Données projet'!$B$13,Paramètres!$A$1:$I$89,3,0)*VLOOKUP('Données projet'!$B$13,Paramètres!$A$1:$I$89,5,0)</f>
        <v>281.58623999999969</v>
      </c>
      <c r="CV115" s="13">
        <f t="shared" si="95"/>
        <v>67.302116699219042</v>
      </c>
      <c r="CW115" s="20">
        <f t="shared" si="67"/>
        <v>607.64722125113917</v>
      </c>
      <c r="CX115" s="57">
        <f t="shared" si="68"/>
        <v>900.98055458447243</v>
      </c>
      <c r="CY115" s="57">
        <f ca="1">AVERAGE(OFFSET($CX$3,0,0,'Données projet'!$E$13+1,1))-AVERAGE(OFFSET($H$3,0,0,'Données projet'!$E$13+1,1))</f>
        <v>436.59978658837537</v>
      </c>
      <c r="CZ115" s="57">
        <f t="shared" si="96"/>
        <v>267.2998309535638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49.931840861460373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49.931840861460373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2.6</v>
      </c>
      <c r="DO115" s="12">
        <f>IF('Données projet'!$A$166&gt;35,DO114+DN115-DW114,IF(A115&lt;'Données projet'!$A$166,$DL$205^A115,IF(A115='Données projet'!$A$166,'Données projet'!$B$166,DO114+DN115-DW114)))</f>
        <v>211.1999999999999</v>
      </c>
      <c r="DP115" s="17">
        <f>DO115*VLOOKUP('Données projet'!$B$14,Paramètres!$A$1:$I$89,3,0)*VLOOKUP('Données projet'!$B$14,Paramètres!$A$1:$I$89,5,0)</f>
        <v>200.9779199999999</v>
      </c>
      <c r="DQ115" s="13">
        <f t="shared" si="97"/>
        <v>49.959023893680744</v>
      </c>
      <c r="DR115" s="20">
        <f t="shared" si="70"/>
        <v>437.04851061482714</v>
      </c>
      <c r="DS115" s="57">
        <f t="shared" si="71"/>
        <v>730.38184394816039</v>
      </c>
      <c r="DT115" s="57">
        <f ca="1">AVERAGE(OFFSET($DS$3,0,0,'Données projet'!$E$14+1,1))-AVERAGE(OFFSET($H$3,0,0,'Données projet'!$E$14+1,1))</f>
        <v>292.95981568144879</v>
      </c>
      <c r="DU115" s="57">
        <f t="shared" si="98"/>
        <v>152.23954167722536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26.767729871106287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26.767729871106287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7" t="e">
        <f t="shared" si="74"/>
        <v>#N/A</v>
      </c>
      <c r="EO115" s="57" t="e">
        <f ca="1">AVERAGE(OFFSET($EN$3,0,0,'Données projet'!$E$15+1,1))-AVERAGE(OFFSET($H$3,0,0,'Données projet'!$E$15+1,1))</f>
        <v>#N/A</v>
      </c>
      <c r="EP115" s="57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7" t="e">
        <f t="shared" si="77"/>
        <v>#N/A</v>
      </c>
      <c r="FJ115" s="57" t="e">
        <f ca="1">AVERAGE(OFFSET($FI$3,0,0,'Données projet'!$E$16+1,1))-AVERAGE(OFFSET($H$3,0,0,'Données projet'!$E$16+1,1))</f>
        <v>#N/A</v>
      </c>
      <c r="FK115" s="57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7" t="e">
        <f t="shared" si="80"/>
        <v>#N/A</v>
      </c>
      <c r="GE115" s="57" t="e">
        <f ca="1">AVERAGE(OFFSET($GD$3,0,0,'Données projet'!$E$17+1,1))-AVERAGE(OFFSET($H$3,0,0,'Données projet'!$E$17+1,1))</f>
        <v>#N/A</v>
      </c>
      <c r="GF115" s="57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7" t="e">
        <f t="shared" si="83"/>
        <v>#N/A</v>
      </c>
      <c r="GZ115" s="57" t="e">
        <f ca="1">AVERAGE(OFFSET($GY$3,0,0,'Données projet'!$E$18+1,1))-AVERAGE(OFFSET($H$3,0,0,'Données projet'!$E$18+1,1))</f>
        <v>#N/A</v>
      </c>
      <c r="HA115" s="57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1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5">
        <f t="shared" si="56"/>
        <v>256.66666666666669</v>
      </c>
      <c r="I116" s="6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7.8</v>
      </c>
      <c r="N116" s="13">
        <f>IF('Données projet'!$A$36&gt;35,N115+M116-V115,IF(A116&lt;'Données projet'!$A$36,$K$205^A116,IF(A116='Données projet'!$A$36,'Données projet'!$B$36,N115+M116-V115)))</f>
        <v>269.39999999999975</v>
      </c>
      <c r="O116" s="13">
        <f>N116*VLOOKUP('Données projet'!$B$9,Paramètres!$A$1:$I$89,3,0)*VLOOKUP('Données projet'!$B$9,Paramètres!$A$1:$I$89,5,0)</f>
        <v>243.75311999999977</v>
      </c>
      <c r="P116" s="13">
        <f t="shared" si="87"/>
        <v>59.246301841839099</v>
      </c>
      <c r="Q116" s="20">
        <f t="shared" si="107"/>
        <v>527.72399304120256</v>
      </c>
      <c r="R116" s="57">
        <f t="shared" si="55"/>
        <v>821.05732637453593</v>
      </c>
      <c r="S116" s="57">
        <f ca="1">AVERAGE(OFFSET($R$3,0,0,'Données projet'!$E$9+1,1))-AVERAGE(OFFSET($H$3,0,0,'Données projet'!$E$9+1,1))</f>
        <v>373.45926089889866</v>
      </c>
      <c r="T116" s="57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41.148653032171083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41.148653032171083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7.8</v>
      </c>
      <c r="AI116" s="13">
        <f>IF('Données projet'!$A$62&gt;35,AI115+AH116-AQ115,IF(A116&lt;'Données projet'!$A$62,$AF$205^A116,IF(A116='Données projet'!$A$62,'Données projet'!$B$62,AI115+AH116-AQ115)))</f>
        <v>269.39999999999975</v>
      </c>
      <c r="AJ116" s="13">
        <f>AI116*VLOOKUP('Données projet'!$B$10,Paramètres!$A$1:$I$89,3,0)*VLOOKUP('Données projet'!$B$10,Paramètres!$A$1:$I$89,5,0)</f>
        <v>256.36103999999978</v>
      </c>
      <c r="AK116" s="13">
        <f t="shared" si="89"/>
        <v>61.946063579556395</v>
      </c>
      <c r="AL116" s="20">
        <f t="shared" si="58"/>
        <v>554.38487206772686</v>
      </c>
      <c r="AM116" s="57">
        <f t="shared" si="59"/>
        <v>847.71820540106023</v>
      </c>
      <c r="AN116" s="57">
        <f ca="1">AVERAGE(OFFSET($AM$3,0,0,'Données projet'!$E$10+1,1))-AVERAGE(OFFSET($H$3,0,0,'Données projet'!$E$10+1,1))</f>
        <v>390.70240761116355</v>
      </c>
      <c r="AO116" s="57">
        <f t="shared" si="90"/>
        <v>241.18285512887638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43.277031637283372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43.277031637283372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7.8</v>
      </c>
      <c r="BD116" s="12">
        <f>IF('Données projet'!$A$88&gt;35,BD115+BC116-BL115,IF(A116&lt;'Données projet'!$A$88,$BA$205^A116,IF(A116='Données projet'!$A$88,'Données projet'!$B$88,BD115+BC116-BL115)))</f>
        <v>269.39999999999975</v>
      </c>
      <c r="BE116" s="13">
        <f>BD116*VLOOKUP('Données projet'!$B$11,Paramètres!$A$1:$I$89,3,0)*VLOOKUP('Données projet'!$B$11,Paramètres!$A$1:$I$89,5,0)</f>
        <v>260.56367999999975</v>
      </c>
      <c r="BF116" s="13">
        <f t="shared" si="91"/>
        <v>62.842516604837627</v>
      </c>
      <c r="BG116" s="20">
        <f t="shared" si="61"/>
        <v>563.26579242009177</v>
      </c>
      <c r="BH116" s="57">
        <f t="shared" si="62"/>
        <v>856.59912575342514</v>
      </c>
      <c r="BI116" s="57">
        <f ca="1">AVERAGE(OFFSET($BH$3,0,0,'Données projet'!$E$11+1,1))-AVERAGE(OFFSET($H$3,0,0,'Données projet'!$E$11+1,1))</f>
        <v>396.44612884768748</v>
      </c>
      <c r="BJ116" s="57">
        <f t="shared" si="92"/>
        <v>244.451492444461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43.986491172320804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43.986491172320804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3.4106051316484809E-13</v>
      </c>
      <c r="BZ116" s="13">
        <f>BY116*VLOOKUP('Données projet'!$B$12,Paramètres!$A$1:$I$89,3,0)*VLOOKUP('Données projet'!$B$12,Paramètres!$A$1:$I$89,5,0)</f>
        <v>2.0395418687257919E-13</v>
      </c>
      <c r="CA116" s="13">
        <f t="shared" si="93"/>
        <v>2.8200388570161721E-12</v>
      </c>
      <c r="CB116" s="20">
        <f t="shared" si="64"/>
        <v>5.2667878847729083E-12</v>
      </c>
      <c r="CC116" s="57">
        <f t="shared" si="65"/>
        <v>293.3333333333386</v>
      </c>
      <c r="CD116" s="57">
        <f ca="1">AVERAGE(OFFSET($CC$3,0,0,'Données projet'!$E$12+1,1))-AVERAGE(OFFSET($H$3,0,0,'Données projet'!$E$12+1,1))</f>
        <v>259.64096626089821</v>
      </c>
      <c r="CE116" s="57">
        <f t="shared" si="94"/>
        <v>258.1415293081597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52.81921114736388</v>
      </c>
      <c r="CL116" s="21">
        <f>EXP(-LN(2)/25)*CL115+(1-EXP(-LN(2)/25))/(LN(2)/25)*Calculateur!CG116*Calculateur!CI116*VLOOKUP('Données projet'!$B$12,Paramètres!$A$1:$I$89,3,0)*0.475*44/12</f>
        <v>8.1529666514554719</v>
      </c>
      <c r="CM116" s="21">
        <f>EXP(-LN(2)/2)*CM115+(1-EXP(-LN(2)/2))/(LN(2)/2)*CG116*CJ116*VLOOKUP('Données projet'!$B$12,Paramètres!$A$1:$I$89,3,0)*0.475*44/12</f>
        <v>2.8611881080375951E-7</v>
      </c>
      <c r="CN116" s="22">
        <f t="shared" si="66"/>
        <v>60.972178084938164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7.8</v>
      </c>
      <c r="CT116" s="12">
        <f>IF('Données projet'!$A$140&gt;35,CT115+CS116-DB115,IF(A116&lt;'Données projet'!$A$140,$CQ$205^A116,IF(A116='Données projet'!$A$140,'Données projet'!$B$140,CT115+CS116-DB115)))</f>
        <v>269.39999999999975</v>
      </c>
      <c r="CU116" s="17">
        <f>CT116*VLOOKUP('Données projet'!$B$13,Paramètres!$A$1:$I$89,3,0)*VLOOKUP('Données projet'!$B$13,Paramètres!$A$1:$I$89,5,0)</f>
        <v>289.98215999999974</v>
      </c>
      <c r="CV116" s="13">
        <f t="shared" si="95"/>
        <v>69.072206278723201</v>
      </c>
      <c r="CW116" s="20">
        <f t="shared" si="67"/>
        <v>625.35302126877571</v>
      </c>
      <c r="CX116" s="57">
        <f t="shared" si="68"/>
        <v>918.68635460210908</v>
      </c>
      <c r="CY116" s="57">
        <f ca="1">AVERAGE(OFFSET($CX$3,0,0,'Données projet'!$E$13+1,1))-AVERAGE(OFFSET($H$3,0,0,'Données projet'!$E$13+1,1))</f>
        <v>436.59978658837537</v>
      </c>
      <c r="CZ116" s="57">
        <f t="shared" si="96"/>
        <v>267.2998309535638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48.952707917582835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48.952707917582835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2.6</v>
      </c>
      <c r="DO116" s="12">
        <f>IF('Données projet'!$A$166&gt;35,DO115+DN116-DW115,IF(A116&lt;'Données projet'!$A$166,$DL$205^A116,IF(A116='Données projet'!$A$166,'Données projet'!$B$166,DO115+DN116-DW115)))</f>
        <v>213.7999999999999</v>
      </c>
      <c r="DP116" s="17">
        <f>DO116*VLOOKUP('Données projet'!$B$14,Paramètres!$A$1:$I$89,3,0)*VLOOKUP('Données projet'!$B$14,Paramètres!$A$1:$I$89,5,0)</f>
        <v>203.45207999999988</v>
      </c>
      <c r="DQ116" s="13">
        <f t="shared" si="97"/>
        <v>50.502073157681352</v>
      </c>
      <c r="DR116" s="20">
        <f t="shared" si="70"/>
        <v>442.30348341629474</v>
      </c>
      <c r="DS116" s="57">
        <f t="shared" si="71"/>
        <v>735.636816749628</v>
      </c>
      <c r="DT116" s="57">
        <f ca="1">AVERAGE(OFFSET($DS$3,0,0,'Données projet'!$E$14+1,1))-AVERAGE(OFFSET($H$3,0,0,'Données projet'!$E$14+1,1))</f>
        <v>292.95981568144879</v>
      </c>
      <c r="DU116" s="57">
        <f t="shared" si="98"/>
        <v>152.23954167722536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26.242831015036987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26.242831015036987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7" t="e">
        <f t="shared" si="74"/>
        <v>#N/A</v>
      </c>
      <c r="EO116" s="57" t="e">
        <f ca="1">AVERAGE(OFFSET($EN$3,0,0,'Données projet'!$E$15+1,1))-AVERAGE(OFFSET($H$3,0,0,'Données projet'!$E$15+1,1))</f>
        <v>#N/A</v>
      </c>
      <c r="EP116" s="57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7" t="e">
        <f t="shared" si="77"/>
        <v>#N/A</v>
      </c>
      <c r="FJ116" s="57" t="e">
        <f ca="1">AVERAGE(OFFSET($FI$3,0,0,'Données projet'!$E$16+1,1))-AVERAGE(OFFSET($H$3,0,0,'Données projet'!$E$16+1,1))</f>
        <v>#N/A</v>
      </c>
      <c r="FK116" s="57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7" t="e">
        <f t="shared" si="80"/>
        <v>#N/A</v>
      </c>
      <c r="GE116" s="57" t="e">
        <f ca="1">AVERAGE(OFFSET($GD$3,0,0,'Données projet'!$E$17+1,1))-AVERAGE(OFFSET($H$3,0,0,'Données projet'!$E$17+1,1))</f>
        <v>#N/A</v>
      </c>
      <c r="GF116" s="57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7" t="e">
        <f t="shared" si="83"/>
        <v>#N/A</v>
      </c>
      <c r="GZ116" s="57" t="e">
        <f ca="1">AVERAGE(OFFSET($GY$3,0,0,'Données projet'!$E$18+1,1))-AVERAGE(OFFSET($H$3,0,0,'Données projet'!$E$18+1,1))</f>
        <v>#N/A</v>
      </c>
      <c r="HA116" s="57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1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5">
        <f t="shared" si="56"/>
        <v>256.66666666666669</v>
      </c>
      <c r="I117" s="6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7.8</v>
      </c>
      <c r="N117" s="13">
        <f>IF('Données projet'!$A$36&gt;35,N116+M117-V116,IF(A117&lt;'Données projet'!$A$36,$K$205^A117,IF(A117='Données projet'!$A$36,'Données projet'!$B$36,N116+M117-V116)))</f>
        <v>277.19999999999976</v>
      </c>
      <c r="O117" s="13">
        <f>N117*VLOOKUP('Données projet'!$B$9,Paramètres!$A$1:$I$89,3,0)*VLOOKUP('Données projet'!$B$9,Paramètres!$A$1:$I$89,5,0)</f>
        <v>250.81055999999975</v>
      </c>
      <c r="P117" s="13">
        <f t="shared" si="87"/>
        <v>60.759477364108633</v>
      </c>
      <c r="Q117" s="20">
        <f t="shared" si="107"/>
        <v>542.65114840915544</v>
      </c>
      <c r="R117" s="57">
        <f t="shared" si="55"/>
        <v>835.9844817424887</v>
      </c>
      <c r="S117" s="57">
        <f ca="1">AVERAGE(OFFSET($R$3,0,0,'Données projet'!$E$9+1,1))-AVERAGE(OFFSET($H$3,0,0,'Données projet'!$E$9+1,1))</f>
        <v>373.45926089889866</v>
      </c>
      <c r="T117" s="57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40.341753044410318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40.341753044410318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7.8</v>
      </c>
      <c r="AI117" s="13">
        <f>IF('Données projet'!$A$62&gt;35,AI116+AH117-AQ116,IF(A117&lt;'Données projet'!$A$62,$AF$205^A117,IF(A117='Données projet'!$A$62,'Données projet'!$B$62,AI116+AH117-AQ116)))</f>
        <v>277.19999999999976</v>
      </c>
      <c r="AJ117" s="13">
        <f>AI117*VLOOKUP('Données projet'!$B$10,Paramètres!$A$1:$I$89,3,0)*VLOOKUP('Données projet'!$B$10,Paramètres!$A$1:$I$89,5,0)</f>
        <v>263.78351999999978</v>
      </c>
      <c r="AK117" s="13">
        <f t="shared" si="89"/>
        <v>63.5281921545985</v>
      </c>
      <c r="AL117" s="20">
        <f t="shared" si="58"/>
        <v>570.06789866925862</v>
      </c>
      <c r="AM117" s="57">
        <f t="shared" si="59"/>
        <v>863.401232002592</v>
      </c>
      <c r="AN117" s="57">
        <f ca="1">AVERAGE(OFFSET($AM$3,0,0,'Données projet'!$E$10+1,1))-AVERAGE(OFFSET($H$3,0,0,'Données projet'!$E$10+1,1))</f>
        <v>390.70240761116355</v>
      </c>
      <c r="AO117" s="57">
        <f t="shared" si="90"/>
        <v>241.18285512887638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42.42839544325912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42.42839544325912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7.8</v>
      </c>
      <c r="BD117" s="12">
        <f>IF('Données projet'!$A$88&gt;35,BD116+BC117-BL116,IF(A117&lt;'Données projet'!$A$88,$BA$205^A117,IF(A117='Données projet'!$A$88,'Données projet'!$B$88,BD116+BC117-BL116)))</f>
        <v>277.19999999999976</v>
      </c>
      <c r="BE117" s="13">
        <f>BD117*VLOOKUP('Données projet'!$B$11,Paramètres!$A$1:$I$89,3,0)*VLOOKUP('Données projet'!$B$11,Paramètres!$A$1:$I$89,5,0)</f>
        <v>268.10783999999978</v>
      </c>
      <c r="BF117" s="13">
        <f t="shared" si="91"/>
        <v>64.447540968014181</v>
      </c>
      <c r="BG117" s="20">
        <f t="shared" si="61"/>
        <v>579.20062185262441</v>
      </c>
      <c r="BH117" s="57">
        <f t="shared" si="62"/>
        <v>872.53395518595767</v>
      </c>
      <c r="BI117" s="57">
        <f ca="1">AVERAGE(OFFSET($BH$3,0,0,'Données projet'!$E$11+1,1))-AVERAGE(OFFSET($H$3,0,0,'Données projet'!$E$11+1,1))</f>
        <v>396.44612884768748</v>
      </c>
      <c r="BJ117" s="57">
        <f t="shared" si="92"/>
        <v>244.451492444461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43.123942909542052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43.123942909542052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3.4106051316484809E-13</v>
      </c>
      <c r="BZ117" s="13">
        <f>BY117*VLOOKUP('Données projet'!$B$12,Paramètres!$A$1:$I$89,3,0)*VLOOKUP('Données projet'!$B$12,Paramètres!$A$1:$I$89,5,0)</f>
        <v>2.0395418687257919E-13</v>
      </c>
      <c r="CA117" s="13">
        <f t="shared" si="93"/>
        <v>2.8200388570161721E-12</v>
      </c>
      <c r="CB117" s="20">
        <f t="shared" si="64"/>
        <v>5.2667878847729083E-12</v>
      </c>
      <c r="CC117" s="57">
        <f t="shared" si="65"/>
        <v>293.3333333333386</v>
      </c>
      <c r="CD117" s="57">
        <f ca="1">AVERAGE(OFFSET($CC$3,0,0,'Données projet'!$E$12+1,1))-AVERAGE(OFFSET($H$3,0,0,'Données projet'!$E$12+1,1))</f>
        <v>259.64096626089821</v>
      </c>
      <c r="CE117" s="57">
        <f t="shared" si="94"/>
        <v>258.1415293081597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51.783458633301755</v>
      </c>
      <c r="CL117" s="21">
        <f>EXP(-LN(2)/25)*CL116+(1-EXP(-LN(2)/25))/(LN(2)/25)*Calculateur!CG117*Calculateur!CI117*VLOOKUP('Données projet'!$B$12,Paramètres!$A$1:$I$89,3,0)*0.475*44/12</f>
        <v>7.9300233496255395</v>
      </c>
      <c r="CM117" s="21">
        <f>EXP(-LN(2)/2)*CM116+(1-EXP(-LN(2)/2))/(LN(2)/2)*CG117*CJ117*VLOOKUP('Données projet'!$B$12,Paramètres!$A$1:$I$89,3,0)*0.475*44/12</f>
        <v>2.0231655134436917E-7</v>
      </c>
      <c r="CN117" s="22">
        <f t="shared" si="66"/>
        <v>59.713482185243841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7.8</v>
      </c>
      <c r="CT117" s="12">
        <f>IF('Données projet'!$A$140&gt;35,CT116+CS117-DB116,IF(A117&lt;'Données projet'!$A$140,$CQ$205^A117,IF(A117='Données projet'!$A$140,'Données projet'!$B$140,CT116+CS117-DB116)))</f>
        <v>277.19999999999976</v>
      </c>
      <c r="CU117" s="17">
        <f>CT117*VLOOKUP('Données projet'!$B$13,Paramètres!$A$1:$I$89,3,0)*VLOOKUP('Données projet'!$B$13,Paramètres!$A$1:$I$89,5,0)</f>
        <v>298.37807999999973</v>
      </c>
      <c r="CV117" s="13">
        <f t="shared" si="95"/>
        <v>70.836339542080921</v>
      </c>
      <c r="CW117" s="20">
        <f t="shared" si="67"/>
        <v>643.04844736912366</v>
      </c>
      <c r="CX117" s="57">
        <f t="shared" si="68"/>
        <v>936.38178070245704</v>
      </c>
      <c r="CY117" s="57">
        <f ca="1">AVERAGE(OFFSET($CX$3,0,0,'Données projet'!$E$13+1,1))-AVERAGE(OFFSET($H$3,0,0,'Données projet'!$E$13+1,1))</f>
        <v>436.59978658837537</v>
      </c>
      <c r="CZ117" s="57">
        <f t="shared" si="96"/>
        <v>267.2998309535638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47.99277517352261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47.99277517352261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2.6</v>
      </c>
      <c r="DO117" s="12">
        <f>IF('Données projet'!$A$166&gt;35,DO116+DN117-DW116,IF(A117&lt;'Données projet'!$A$166,$DL$205^A117,IF(A117='Données projet'!$A$166,'Données projet'!$B$166,DO116+DN117-DW116)))</f>
        <v>216.39999999999989</v>
      </c>
      <c r="DP117" s="17">
        <f>DO117*VLOOKUP('Données projet'!$B$14,Paramètres!$A$1:$I$89,3,0)*VLOOKUP('Données projet'!$B$14,Paramètres!$A$1:$I$89,5,0)</f>
        <v>205.92623999999989</v>
      </c>
      <c r="DQ117" s="13">
        <f t="shared" si="97"/>
        <v>51.044354243735398</v>
      </c>
      <c r="DR117" s="20">
        <f t="shared" si="70"/>
        <v>447.55711830783889</v>
      </c>
      <c r="DS117" s="57">
        <f t="shared" si="71"/>
        <v>740.89045164117215</v>
      </c>
      <c r="DT117" s="57">
        <f ca="1">AVERAGE(OFFSET($DS$3,0,0,'Données projet'!$E$14+1,1))-AVERAGE(OFFSET($H$3,0,0,'Données projet'!$E$14+1,1))</f>
        <v>292.95981568144879</v>
      </c>
      <c r="DU117" s="57">
        <f t="shared" si="98"/>
        <v>152.23954167722536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25.728225105378517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25.728225105378517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7" t="e">
        <f t="shared" si="74"/>
        <v>#N/A</v>
      </c>
      <c r="EO117" s="57" t="e">
        <f ca="1">AVERAGE(OFFSET($EN$3,0,0,'Données projet'!$E$15+1,1))-AVERAGE(OFFSET($H$3,0,0,'Données projet'!$E$15+1,1))</f>
        <v>#N/A</v>
      </c>
      <c r="EP117" s="57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7" t="e">
        <f t="shared" si="77"/>
        <v>#N/A</v>
      </c>
      <c r="FJ117" s="57" t="e">
        <f ca="1">AVERAGE(OFFSET($FI$3,0,0,'Données projet'!$E$16+1,1))-AVERAGE(OFFSET($H$3,0,0,'Données projet'!$E$16+1,1))</f>
        <v>#N/A</v>
      </c>
      <c r="FK117" s="57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7" t="e">
        <f t="shared" si="80"/>
        <v>#N/A</v>
      </c>
      <c r="GE117" s="57" t="e">
        <f ca="1">AVERAGE(OFFSET($GD$3,0,0,'Données projet'!$E$17+1,1))-AVERAGE(OFFSET($H$3,0,0,'Données projet'!$E$17+1,1))</f>
        <v>#N/A</v>
      </c>
      <c r="GF117" s="57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7" t="e">
        <f t="shared" si="83"/>
        <v>#N/A</v>
      </c>
      <c r="GZ117" s="57" t="e">
        <f ca="1">AVERAGE(OFFSET($GY$3,0,0,'Données projet'!$E$18+1,1))-AVERAGE(OFFSET($H$3,0,0,'Données projet'!$E$18+1,1))</f>
        <v>#N/A</v>
      </c>
      <c r="HA117" s="57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1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5">
        <f t="shared" si="56"/>
        <v>256.66666666666669</v>
      </c>
      <c r="I118" s="6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7.8</v>
      </c>
      <c r="M118" s="12">
        <f t="array" ref="M118">INDEX(L:L,MIN(IF(ISNUMBER(L118:L314),ROW(L118:L314),"")))</f>
        <v>7.8</v>
      </c>
      <c r="N118" s="13">
        <f>IF('Données projet'!$A$36&gt;35,N117+M118-V117,IF(A118&lt;'Données projet'!$A$36,$K$205^A118,IF(A118='Données projet'!$A$36,'Données projet'!$B$36,N117+M118-V117)))</f>
        <v>284.99999999999977</v>
      </c>
      <c r="O118" s="13">
        <f>N118*VLOOKUP('Données projet'!$B$9,Paramètres!$A$1:$I$89,3,0)*VLOOKUP('Données projet'!$B$9,Paramètres!$A$1:$I$89,5,0)</f>
        <v>257.86799999999982</v>
      </c>
      <c r="P118" s="13">
        <f t="shared" si="87"/>
        <v>62.267704162827471</v>
      </c>
      <c r="Q118" s="20">
        <f t="shared" si="107"/>
        <v>557.56968475025758</v>
      </c>
      <c r="R118" s="57">
        <f t="shared" si="55"/>
        <v>850.90301808359095</v>
      </c>
      <c r="S118" s="57">
        <f ca="1">AVERAGE(OFFSET($R$3,0,0,'Données projet'!$E$9+1,1))-AVERAGE(OFFSET($H$3,0,0,'Données projet'!$E$9+1,1))</f>
        <v>373.45926089889866</v>
      </c>
      <c r="T118" s="57">
        <f t="shared" si="88"/>
        <v>231.36959598460686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45.744097552742694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45.744097552742694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7.8</v>
      </c>
      <c r="AH118" s="12">
        <f t="array" ref="AH118">INDEX(AG:AG,MIN(IF(ISNUMBER(AG118:AG314),ROW(AG118:AG314),"")))</f>
        <v>7.8</v>
      </c>
      <c r="AI118" s="13">
        <f>IF('Données projet'!$A$62&gt;35,AI117+AH118-AQ117,IF(A118&lt;'Données projet'!$A$62,$AF$205^A118,IF(A118='Données projet'!$A$62,'Données projet'!$B$62,AI117+AH118-AQ117)))</f>
        <v>284.99999999999977</v>
      </c>
      <c r="AJ118" s="13">
        <f>AI118*VLOOKUP('Données projet'!$B$10,Paramètres!$A$1:$I$89,3,0)*VLOOKUP('Données projet'!$B$10,Paramètres!$A$1:$I$89,5,0)</f>
        <v>271.20599999999979</v>
      </c>
      <c r="AK118" s="13">
        <f t="shared" si="89"/>
        <v>65.105146500461984</v>
      </c>
      <c r="AL118" s="20">
        <f t="shared" si="58"/>
        <v>585.74191348830414</v>
      </c>
      <c r="AM118" s="57">
        <f t="shared" si="59"/>
        <v>879.07524682163739</v>
      </c>
      <c r="AN118" s="57">
        <f ca="1">AVERAGE(OFFSET($AM$3,0,0,'Données projet'!$E$10+1,1))-AVERAGE(OFFSET($H$3,0,0,'Données projet'!$E$10+1,1))</f>
        <v>390.70240761116355</v>
      </c>
      <c r="AO118" s="57">
        <f t="shared" si="90"/>
        <v>241.18285512887638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48.110171564091452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48.110171564091452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285</v>
      </c>
      <c r="BB118" s="12">
        <f>VLOOKUP(A118,'Données projet'!$A$87:$I$107,9,0)</f>
        <v>7.8</v>
      </c>
      <c r="BC118" s="12">
        <f t="array" ref="BC118">INDEX(BB:BB,MIN(IF(ISNUMBER(BB118:BB314),ROW(BB118:BB314),"")))</f>
        <v>7.8</v>
      </c>
      <c r="BD118" s="12">
        <f>IF('Données projet'!$A$88&gt;35,BD117+BC118-BL117,IF(A118&lt;'Données projet'!$A$88,$BA$205^A118,IF(A118='Données projet'!$A$88,'Données projet'!$B$88,BD117+BC118-BL117)))</f>
        <v>284.99999999999977</v>
      </c>
      <c r="BE118" s="13">
        <f>BD118*VLOOKUP('Données projet'!$B$11,Paramètres!$A$1:$I$89,3,0)*VLOOKUP('Données projet'!$B$11,Paramètres!$A$1:$I$89,5,0)</f>
        <v>275.65199999999976</v>
      </c>
      <c r="BF118" s="13">
        <f t="shared" si="91"/>
        <v>66.047316223107259</v>
      </c>
      <c r="BG118" s="20">
        <f t="shared" si="61"/>
        <v>595.12630908857807</v>
      </c>
      <c r="BH118" s="57">
        <f t="shared" si="62"/>
        <v>888.45964242191144</v>
      </c>
      <c r="BI118" s="57">
        <f ca="1">AVERAGE(OFFSET($BH$3,0,0,'Données projet'!$E$11+1,1))-AVERAGE(OFFSET($H$3,0,0,'Données projet'!$E$11+1,1))</f>
        <v>396.44612884768748</v>
      </c>
      <c r="BJ118" s="57">
        <f t="shared" si="92"/>
        <v>244.451492444461</v>
      </c>
      <c r="BK118" s="15">
        <f>IF(ISNA(VLOOKUP(A118,'Données projet'!$A$87:$I$107,3,0)),0,VLOOKUP(A118,'Données projet'!$A$87:$I$107,3,0))</f>
        <v>20</v>
      </c>
      <c r="BL118" s="15">
        <f>IF(ISNA(VLOOKUP(A118,'Données projet'!$A$87:$I$107,4,0)),0,VLOOKUP(A118,'Données projet'!$A$87:$I$107,4,0))</f>
        <v>18</v>
      </c>
      <c r="BM118" s="16">
        <f>IF(ISNA(VLOOKUP(A118,'Données projet'!$A$87:$I$107,5,0)),0%,VLOOKUP(A118,'Données projet'!$A$87:$I$107,5,0)*VLOOKUP('Données projet'!$B$11,Paramètres!$A$1:$I$89,7,0))</f>
        <v>0.34400000000000003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48.8988629012077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48.8988629012077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3.4106051316484809E-13</v>
      </c>
      <c r="BZ118" s="13">
        <f>BY118*VLOOKUP('Données projet'!$B$12,Paramètres!$A$1:$I$89,3,0)*VLOOKUP('Données projet'!$B$12,Paramètres!$A$1:$I$89,5,0)</f>
        <v>2.0395418687257919E-13</v>
      </c>
      <c r="CA118" s="13">
        <f t="shared" si="93"/>
        <v>2.8200388570161721E-12</v>
      </c>
      <c r="CB118" s="20">
        <f t="shared" si="64"/>
        <v>5.2667878847729083E-12</v>
      </c>
      <c r="CC118" s="57">
        <f t="shared" si="65"/>
        <v>293.3333333333386</v>
      </c>
      <c r="CD118" s="57">
        <f ca="1">AVERAGE(OFFSET($CC$3,0,0,'Données projet'!$E$12+1,1))-AVERAGE(OFFSET($H$3,0,0,'Données projet'!$E$12+1,1))</f>
        <v>259.64096626089821</v>
      </c>
      <c r="CE118" s="57">
        <f t="shared" si="94"/>
        <v>258.1415293081597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50.768016594293734</v>
      </c>
      <c r="CL118" s="21">
        <f>EXP(-LN(2)/25)*CL117+(1-EXP(-LN(2)/25))/(LN(2)/25)*Calculateur!CG118*Calculateur!CI118*VLOOKUP('Données projet'!$B$12,Paramètres!$A$1:$I$89,3,0)*0.475*44/12</f>
        <v>7.7131764441082256</v>
      </c>
      <c r="CM118" s="21">
        <f>EXP(-LN(2)/2)*CM117+(1-EXP(-LN(2)/2))/(LN(2)/2)*CG118*CJ118*VLOOKUP('Données projet'!$B$12,Paramètres!$A$1:$I$89,3,0)*0.475*44/12</f>
        <v>1.4305940540187976E-7</v>
      </c>
      <c r="CN118" s="22">
        <f t="shared" si="66"/>
        <v>58.481193181461364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285</v>
      </c>
      <c r="CR118" s="12">
        <f>VLOOKUP(A118,'Données projet'!$A$139:$I$159,9,0)</f>
        <v>7.8</v>
      </c>
      <c r="CS118" s="12">
        <f t="array" ref="CS118">INDEX(CR:CR,MIN(IF(ISNUMBER(CR118:CR314),ROW(CR118:CR314),"")))</f>
        <v>7.8</v>
      </c>
      <c r="CT118" s="12">
        <f>IF('Données projet'!$A$140&gt;35,CT117+CS118-DB117,IF(A118&lt;'Données projet'!$A$140,$CQ$205^A118,IF(A118='Données projet'!$A$140,'Données projet'!$B$140,CT117+CS118-DB117)))</f>
        <v>284.99999999999977</v>
      </c>
      <c r="CU118" s="17">
        <f>CT118*VLOOKUP('Données projet'!$B$13,Paramètres!$A$1:$I$89,3,0)*VLOOKUP('Données projet'!$B$13,Paramètres!$A$1:$I$89,5,0)</f>
        <v>306.77399999999977</v>
      </c>
      <c r="CV118" s="13">
        <f t="shared" si="95"/>
        <v>72.594703343998987</v>
      </c>
      <c r="CW118" s="20">
        <f t="shared" si="67"/>
        <v>660.73382499079776</v>
      </c>
      <c r="CX118" s="57">
        <f t="shared" si="68"/>
        <v>954.06715832413101</v>
      </c>
      <c r="CY118" s="57">
        <f ca="1">AVERAGE(OFFSET($CX$3,0,0,'Données projet'!$E$13+1,1))-AVERAGE(OFFSET($H$3,0,0,'Données projet'!$E$13+1,1))</f>
        <v>436.59978658837537</v>
      </c>
      <c r="CZ118" s="57">
        <f t="shared" si="96"/>
        <v>267.2998309535638</v>
      </c>
      <c r="DA118" s="15">
        <f>IF(ISNA(VLOOKUP(A118,'Données projet'!$A$139:$I$159,3,0)),0,VLOOKUP(A118,'Données projet'!$A$139:$I$159,3,0))</f>
        <v>20</v>
      </c>
      <c r="DB118" s="15">
        <f>IF(ISNA(VLOOKUP(A118,'Données projet'!$A$139:$I$159,4,0)),0,VLOOKUP(A118,'Données projet'!$A$139:$I$159,4,0))</f>
        <v>18</v>
      </c>
      <c r="DC118" s="16">
        <f>IF(ISNA(VLOOKUP(A118,'Données projet'!$A$139:$I$159,5,0)),0%,VLOOKUP(A118,'Données projet'!$A$139:$I$159,5,0)*VLOOKUP('Données projet'!$B$13,Paramètres!$A$1:$I$89,7,0))</f>
        <v>0.34400000000000003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54.41970226102147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54.41970226102147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219</v>
      </c>
      <c r="DM118" s="12">
        <f>VLOOKUP(A118,'Données projet'!$A$165:$I$185,9,0)</f>
        <v>2.6</v>
      </c>
      <c r="DN118" s="12">
        <f t="array" ref="DN118">INDEX(DM:DM,MIN(IF(ISNUMBER(DM118:DM314),ROW(DM118:DM314),"")))</f>
        <v>2.6</v>
      </c>
      <c r="DO118" s="12">
        <f>IF('Données projet'!$A$166&gt;35,DO117+DN118-DW117,IF(A118&lt;'Données projet'!$A$166,$DL$205^A118,IF(A118='Données projet'!$A$166,'Données projet'!$B$166,DO117+DN118-DW117)))</f>
        <v>218.99999999999989</v>
      </c>
      <c r="DP118" s="17">
        <f>DO118*VLOOKUP('Données projet'!$B$14,Paramètres!$A$1:$I$89,3,0)*VLOOKUP('Données projet'!$B$14,Paramètres!$A$1:$I$89,5,0)</f>
        <v>208.40039999999988</v>
      </c>
      <c r="DQ118" s="13">
        <f t="shared" si="97"/>
        <v>51.585877448947201</v>
      </c>
      <c r="DR118" s="20">
        <f t="shared" si="70"/>
        <v>452.8094332235828</v>
      </c>
      <c r="DS118" s="57">
        <f t="shared" si="71"/>
        <v>746.14276655691606</v>
      </c>
      <c r="DT118" s="57">
        <f ca="1">AVERAGE(OFFSET($DS$3,0,0,'Données projet'!$E$14+1,1))-AVERAGE(OFFSET($H$3,0,0,'Données projet'!$E$14+1,1))</f>
        <v>292.95981568144879</v>
      </c>
      <c r="DU118" s="57">
        <f t="shared" si="98"/>
        <v>152.23954167722536</v>
      </c>
      <c r="DV118" s="15">
        <f>IF(ISNA(VLOOKUP(A118,'Données projet'!$A$165:$I$185,3,0)),0,VLOOKUP(A118,'Données projet'!$A$165:$I$185,3,0))</f>
        <v>19</v>
      </c>
      <c r="DW118" s="15">
        <f>IF(ISNA(VLOOKUP(A118,'Données projet'!$A$165:$I$185,4,0)),0,VLOOKUP(A118,'Données projet'!$A$165:$I$185,4,0))</f>
        <v>13</v>
      </c>
      <c r="DX118" s="16">
        <f>IF(ISNA(VLOOKUP(A118,'Données projet'!$A$165:$I$185,5,0)),0%,VLOOKUP(A118,'Données projet'!$A$165:$I$185,5,0)*VLOOKUP('Données projet'!$B$14,Paramètres!$A$1:$I$89,7,0))</f>
        <v>0.30099999999999999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29.340051748038828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29.340051748038828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7" t="e">
        <f t="shared" si="74"/>
        <v>#N/A</v>
      </c>
      <c r="EO118" s="57" t="e">
        <f ca="1">AVERAGE(OFFSET($EN$3,0,0,'Données projet'!$E$15+1,1))-AVERAGE(OFFSET($H$3,0,0,'Données projet'!$E$15+1,1))</f>
        <v>#N/A</v>
      </c>
      <c r="EP118" s="57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7" t="e">
        <f t="shared" si="77"/>
        <v>#N/A</v>
      </c>
      <c r="FJ118" s="57" t="e">
        <f ca="1">AVERAGE(OFFSET($FI$3,0,0,'Données projet'!$E$16+1,1))-AVERAGE(OFFSET($H$3,0,0,'Données projet'!$E$16+1,1))</f>
        <v>#N/A</v>
      </c>
      <c r="FK118" s="57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7" t="e">
        <f t="shared" si="80"/>
        <v>#N/A</v>
      </c>
      <c r="GE118" s="57" t="e">
        <f ca="1">AVERAGE(OFFSET($GD$3,0,0,'Données projet'!$E$17+1,1))-AVERAGE(OFFSET($H$3,0,0,'Données projet'!$E$17+1,1))</f>
        <v>#N/A</v>
      </c>
      <c r="GF118" s="57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7" t="e">
        <f t="shared" si="83"/>
        <v>#N/A</v>
      </c>
      <c r="GZ118" s="57" t="e">
        <f ca="1">AVERAGE(OFFSET($GY$3,0,0,'Données projet'!$E$18+1,1))-AVERAGE(OFFSET($H$3,0,0,'Données projet'!$E$18+1,1))</f>
        <v>#N/A</v>
      </c>
      <c r="HA118" s="57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1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5">
        <f t="shared" si="56"/>
        <v>256.66666666666669</v>
      </c>
      <c r="I119" s="6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3.6</v>
      </c>
      <c r="N119" s="13">
        <f>IF('Données projet'!$A$36&gt;35,N118+M119-V118,IF(A119&lt;'Données projet'!$A$36,$K$205^A119,IF(A119='Données projet'!$A$36,'Données projet'!$B$36,N118+M119-V118)))</f>
        <v>270.5999999999998</v>
      </c>
      <c r="O119" s="13">
        <f>N119*VLOOKUP('Données projet'!$B$9,Paramètres!$A$1:$I$89,3,0)*VLOOKUP('Données projet'!$B$9,Paramètres!$A$1:$I$89,5,0)</f>
        <v>244.83887999999979</v>
      </c>
      <c r="P119" s="13">
        <f t="shared" si="87"/>
        <v>59.47942648942773</v>
      </c>
      <c r="Q119" s="20">
        <f t="shared" si="107"/>
        <v>530.02105046908628</v>
      </c>
      <c r="R119" s="57">
        <f t="shared" si="55"/>
        <v>823.35438380241953</v>
      </c>
      <c r="S119" s="57">
        <f ca="1">AVERAGE(OFFSET($R$3,0,0,'Données projet'!$E$9+1,1))-AVERAGE(OFFSET($H$3,0,0,'Données projet'!$E$9+1,1))</f>
        <v>373.45926089889866</v>
      </c>
      <c r="T119" s="57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44.84708370087791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44.84708370087791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270.5999999999998</v>
      </c>
      <c r="AJ119" s="13">
        <f>AI119*VLOOKUP('Données projet'!$B$10,Paramètres!$A$1:$I$89,3,0)*VLOOKUP('Données projet'!$B$10,Paramètres!$A$1:$I$89,5,0)</f>
        <v>257.5029599999998</v>
      </c>
      <c r="AK119" s="13">
        <f t="shared" si="89"/>
        <v>62.189811354397115</v>
      </c>
      <c r="AL119" s="20">
        <f t="shared" si="58"/>
        <v>556.7982434422413</v>
      </c>
      <c r="AM119" s="57">
        <f t="shared" si="59"/>
        <v>850.13157677557456</v>
      </c>
      <c r="AN119" s="57">
        <f ca="1">AVERAGE(OFFSET($AM$3,0,0,'Données projet'!$E$10+1,1))-AVERAGE(OFFSET($H$3,0,0,'Données projet'!$E$10+1,1))</f>
        <v>390.70240761116355</v>
      </c>
      <c r="AO119" s="57">
        <f t="shared" si="90"/>
        <v>241.18285512887638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47.166760444026764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47.166760444026764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3.6</v>
      </c>
      <c r="BD119" s="12">
        <f>IF('Données projet'!$A$88&gt;35,BD118+BC119-BL118,IF(A119&lt;'Données projet'!$A$88,$BA$205^A119,IF(A119='Données projet'!$A$88,'Données projet'!$B$88,BD118+BC119-BL118)))</f>
        <v>270.5999999999998</v>
      </c>
      <c r="BE119" s="13">
        <f>BD119*VLOOKUP('Données projet'!$B$11,Paramètres!$A$1:$I$89,3,0)*VLOOKUP('Données projet'!$B$11,Paramètres!$A$1:$I$89,5,0)</f>
        <v>261.72431999999981</v>
      </c>
      <c r="BF119" s="13">
        <f t="shared" si="91"/>
        <v>63.089791777829831</v>
      </c>
      <c r="BG119" s="20">
        <f t="shared" si="61"/>
        <v>565.71791134638659</v>
      </c>
      <c r="BH119" s="57">
        <f t="shared" si="62"/>
        <v>859.05124467971996</v>
      </c>
      <c r="BI119" s="57">
        <f ca="1">AVERAGE(OFFSET($BH$3,0,0,'Données projet'!$E$11+1,1))-AVERAGE(OFFSET($H$3,0,0,'Données projet'!$E$11+1,1))</f>
        <v>396.44612884768748</v>
      </c>
      <c r="BJ119" s="57">
        <f t="shared" si="92"/>
        <v>244.451492444461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47.939986025076379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47.939986025076379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3.4106051316484809E-13</v>
      </c>
      <c r="BZ119" s="13">
        <f>BY119*VLOOKUP('Données projet'!$B$12,Paramètres!$A$1:$I$89,3,0)*VLOOKUP('Données projet'!$B$12,Paramètres!$A$1:$I$89,5,0)</f>
        <v>2.0395418687257919E-13</v>
      </c>
      <c r="CA119" s="13">
        <f t="shared" si="93"/>
        <v>2.8200388570161721E-12</v>
      </c>
      <c r="CB119" s="20">
        <f t="shared" si="64"/>
        <v>5.2667878847729083E-12</v>
      </c>
      <c r="CC119" s="57">
        <f t="shared" si="65"/>
        <v>293.3333333333386</v>
      </c>
      <c r="CD119" s="57">
        <f ca="1">AVERAGE(OFFSET($CC$3,0,0,'Données projet'!$E$12+1,1))-AVERAGE(OFFSET($H$3,0,0,'Données projet'!$E$12+1,1))</f>
        <v>259.64096626089821</v>
      </c>
      <c r="CE119" s="57">
        <f t="shared" si="94"/>
        <v>258.1415293081597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49.772486754312176</v>
      </c>
      <c r="CL119" s="21">
        <f>EXP(-LN(2)/25)*CL118+(1-EXP(-LN(2)/25))/(LN(2)/25)*Calculateur!CG119*Calculateur!CI119*VLOOKUP('Données projet'!$B$12,Paramètres!$A$1:$I$89,3,0)*0.475*44/12</f>
        <v>7.5022592286257659</v>
      </c>
      <c r="CM119" s="21">
        <f>EXP(-LN(2)/2)*CM118+(1-EXP(-LN(2)/2))/(LN(2)/2)*CG119*CJ119*VLOOKUP('Données projet'!$B$12,Paramètres!$A$1:$I$89,3,0)*0.475*44/12</f>
        <v>1.0115827567218458E-7</v>
      </c>
      <c r="CN119" s="22">
        <f t="shared" si="66"/>
        <v>57.274746084096222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3.6</v>
      </c>
      <c r="CT119" s="12">
        <f>IF('Données projet'!$A$140&gt;35,CT118+CS119-DB118,IF(A119&lt;'Données projet'!$A$140,$CQ$205^A119,IF(A119='Données projet'!$A$140,'Données projet'!$B$140,CT118+CS119-DB118)))</f>
        <v>270.5999999999998</v>
      </c>
      <c r="CU119" s="17">
        <f>CT119*VLOOKUP('Données projet'!$B$13,Paramètres!$A$1:$I$89,3,0)*VLOOKUP('Données projet'!$B$13,Paramètres!$A$1:$I$89,5,0)</f>
        <v>291.27383999999978</v>
      </c>
      <c r="CV119" s="13">
        <f t="shared" si="95"/>
        <v>69.34399427639238</v>
      </c>
      <c r="CW119" s="20">
        <f t="shared" si="67"/>
        <v>628.07606136471634</v>
      </c>
      <c r="CX119" s="57">
        <f t="shared" si="68"/>
        <v>921.40939469804971</v>
      </c>
      <c r="CY119" s="57">
        <f ca="1">AVERAGE(OFFSET($CX$3,0,0,'Données projet'!$E$13+1,1))-AVERAGE(OFFSET($H$3,0,0,'Données projet'!$E$13+1,1))</f>
        <v>436.59978658837537</v>
      </c>
      <c r="CZ119" s="57">
        <f t="shared" si="96"/>
        <v>267.2998309535638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53.35256509242371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53.35256509242371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3</v>
      </c>
      <c r="DO119" s="12">
        <f>IF('Données projet'!$A$166&gt;35,DO118+DN119-DW118,IF(A119&lt;'Données projet'!$A$166,$DL$205^A119,IF(A119='Données projet'!$A$166,'Données projet'!$B$166,DO118+DN119-DW118)))</f>
        <v>208.99999999999989</v>
      </c>
      <c r="DP119" s="17">
        <f>DO119*VLOOKUP('Données projet'!$B$14,Paramètres!$A$1:$I$89,3,0)*VLOOKUP('Données projet'!$B$14,Paramètres!$A$1:$I$89,5,0)</f>
        <v>198.88439999999989</v>
      </c>
      <c r="DQ119" s="13">
        <f t="shared" si="97"/>
        <v>49.498912851978972</v>
      </c>
      <c r="DR119" s="20">
        <f t="shared" si="70"/>
        <v>432.60093655052987</v>
      </c>
      <c r="DS119" s="57">
        <f t="shared" si="71"/>
        <v>725.93426988386318</v>
      </c>
      <c r="DT119" s="57">
        <f ca="1">AVERAGE(OFFSET($DS$3,0,0,'Données projet'!$E$14+1,1))-AVERAGE(OFFSET($H$3,0,0,'Données projet'!$E$14+1,1))</f>
        <v>292.95981568144879</v>
      </c>
      <c r="DU119" s="57">
        <f t="shared" si="98"/>
        <v>152.23954167722536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28.764711228924302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28.764711228924302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7" t="e">
        <f t="shared" si="74"/>
        <v>#N/A</v>
      </c>
      <c r="EO119" s="57" t="e">
        <f ca="1">AVERAGE(OFFSET($EN$3,0,0,'Données projet'!$E$15+1,1))-AVERAGE(OFFSET($H$3,0,0,'Données projet'!$E$15+1,1))</f>
        <v>#N/A</v>
      </c>
      <c r="EP119" s="57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7" t="e">
        <f t="shared" si="77"/>
        <v>#N/A</v>
      </c>
      <c r="FJ119" s="57" t="e">
        <f ca="1">AVERAGE(OFFSET($FI$3,0,0,'Données projet'!$E$16+1,1))-AVERAGE(OFFSET($H$3,0,0,'Données projet'!$E$16+1,1))</f>
        <v>#N/A</v>
      </c>
      <c r="FK119" s="57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7" t="e">
        <f t="shared" si="80"/>
        <v>#N/A</v>
      </c>
      <c r="GE119" s="57" t="e">
        <f ca="1">AVERAGE(OFFSET($GD$3,0,0,'Données projet'!$E$17+1,1))-AVERAGE(OFFSET($H$3,0,0,'Données projet'!$E$17+1,1))</f>
        <v>#N/A</v>
      </c>
      <c r="GF119" s="57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7" t="e">
        <f t="shared" si="83"/>
        <v>#N/A</v>
      </c>
      <c r="GZ119" s="57" t="e">
        <f ca="1">AVERAGE(OFFSET($GY$3,0,0,'Données projet'!$E$18+1,1))-AVERAGE(OFFSET($H$3,0,0,'Données projet'!$E$18+1,1))</f>
        <v>#N/A</v>
      </c>
      <c r="HA119" s="57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1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5">
        <f t="shared" si="56"/>
        <v>256.66666666666669</v>
      </c>
      <c r="I120" s="6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3.6</v>
      </c>
      <c r="N120" s="13">
        <f>IF('Données projet'!$A$36&gt;35,N119+M120-V119,IF(A120&lt;'Données projet'!$A$36,$K$205^A120,IF(A120='Données projet'!$A$36,'Données projet'!$B$36,N119+M120-V119)))</f>
        <v>274.19999999999982</v>
      </c>
      <c r="O120" s="13">
        <f>N120*VLOOKUP('Données projet'!$B$9,Paramètres!$A$1:$I$89,3,0)*VLOOKUP('Données projet'!$B$9,Paramètres!$A$1:$I$89,5,0)</f>
        <v>248.09615999999983</v>
      </c>
      <c r="P120" s="13">
        <f t="shared" si="87"/>
        <v>60.178080967364686</v>
      </c>
      <c r="Q120" s="20">
        <f t="shared" si="107"/>
        <v>536.91096968482657</v>
      </c>
      <c r="R120" s="57">
        <f t="shared" si="55"/>
        <v>830.24430301815983</v>
      </c>
      <c r="S120" s="57">
        <f ca="1">AVERAGE(OFFSET($R$3,0,0,'Données projet'!$E$9+1,1))-AVERAGE(OFFSET($H$3,0,0,'Données projet'!$E$9+1,1))</f>
        <v>373.45926089889866</v>
      </c>
      <c r="T120" s="57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43.967659743523768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43.967659743523768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274.19999999999982</v>
      </c>
      <c r="AJ120" s="13">
        <f>AI120*VLOOKUP('Données projet'!$B$10,Paramètres!$A$1:$I$89,3,0)*VLOOKUP('Données projet'!$B$10,Paramètres!$A$1:$I$89,5,0)</f>
        <v>260.92871999999983</v>
      </c>
      <c r="AK120" s="13">
        <f t="shared" si="89"/>
        <v>62.920302429197974</v>
      </c>
      <c r="AL120" s="20">
        <f t="shared" si="58"/>
        <v>564.03704739751959</v>
      </c>
      <c r="AM120" s="57">
        <f t="shared" si="59"/>
        <v>857.37038073085296</v>
      </c>
      <c r="AN120" s="57">
        <f ca="1">AVERAGE(OFFSET($AM$3,0,0,'Données projet'!$E$10+1,1))-AVERAGE(OFFSET($H$3,0,0,'Données projet'!$E$10+1,1))</f>
        <v>390.70240761116355</v>
      </c>
      <c r="AO120" s="57">
        <f t="shared" si="90"/>
        <v>241.18285512887638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46.241849040602581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46.241849040602581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3.6</v>
      </c>
      <c r="BD120" s="12">
        <f>IF('Données projet'!$A$88&gt;35,BD119+BC120-BL119,IF(A120&lt;'Données projet'!$A$88,$BA$205^A120,IF(A120='Données projet'!$A$88,'Données projet'!$B$88,BD119+BC120-BL119)))</f>
        <v>274.19999999999982</v>
      </c>
      <c r="BE120" s="13">
        <f>BD120*VLOOKUP('Données projet'!$B$11,Paramètres!$A$1:$I$89,3,0)*VLOOKUP('Données projet'!$B$11,Paramètres!$A$1:$I$89,5,0)</f>
        <v>265.20623999999981</v>
      </c>
      <c r="BF120" s="13">
        <f t="shared" si="91"/>
        <v>63.830854160896386</v>
      </c>
      <c r="BG120" s="20">
        <f t="shared" si="61"/>
        <v>573.07293899689409</v>
      </c>
      <c r="BH120" s="57">
        <f t="shared" si="62"/>
        <v>866.40627233022747</v>
      </c>
      <c r="BI120" s="57">
        <f ca="1">AVERAGE(OFFSET($BH$3,0,0,'Données projet'!$E$11+1,1))-AVERAGE(OFFSET($H$3,0,0,'Données projet'!$E$11+1,1))</f>
        <v>396.44612884768748</v>
      </c>
      <c r="BJ120" s="57">
        <f t="shared" si="92"/>
        <v>244.451492444461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46.999912139628847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46.999912139628847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3.4106051316484809E-13</v>
      </c>
      <c r="BZ120" s="13">
        <f>BY120*VLOOKUP('Données projet'!$B$12,Paramètres!$A$1:$I$89,3,0)*VLOOKUP('Données projet'!$B$12,Paramètres!$A$1:$I$89,5,0)</f>
        <v>2.0395418687257919E-13</v>
      </c>
      <c r="CA120" s="13">
        <f t="shared" si="93"/>
        <v>2.8200388570161721E-12</v>
      </c>
      <c r="CB120" s="20">
        <f t="shared" si="64"/>
        <v>5.2667878847729083E-12</v>
      </c>
      <c r="CC120" s="57">
        <f t="shared" si="65"/>
        <v>293.3333333333386</v>
      </c>
      <c r="CD120" s="57">
        <f ca="1">AVERAGE(OFFSET($CC$3,0,0,'Données projet'!$E$12+1,1))-AVERAGE(OFFSET($H$3,0,0,'Données projet'!$E$12+1,1))</f>
        <v>259.64096626089821</v>
      </c>
      <c r="CE120" s="57">
        <f t="shared" si="94"/>
        <v>258.1415293081597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48.796478647279407</v>
      </c>
      <c r="CL120" s="21">
        <f>EXP(-LN(2)/25)*CL119+(1-EXP(-LN(2)/25))/(LN(2)/25)*Calculateur!CG120*Calculateur!CI120*VLOOKUP('Données projet'!$B$12,Paramètres!$A$1:$I$89,3,0)*0.475*44/12</f>
        <v>7.2971095554923284</v>
      </c>
      <c r="CM120" s="21">
        <f>EXP(-LN(2)/2)*CM119+(1-EXP(-LN(2)/2))/(LN(2)/2)*CG120*CJ120*VLOOKUP('Données projet'!$B$12,Paramètres!$A$1:$I$89,3,0)*0.475*44/12</f>
        <v>7.1529702700939878E-8</v>
      </c>
      <c r="CN120" s="22">
        <f t="shared" si="66"/>
        <v>56.093588274301439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3.6</v>
      </c>
      <c r="CT120" s="12">
        <f>IF('Données projet'!$A$140&gt;35,CT119+CS120-DB119,IF(A120&lt;'Données projet'!$A$140,$CQ$205^A120,IF(A120='Données projet'!$A$140,'Données projet'!$B$140,CT119+CS120-DB119)))</f>
        <v>274.19999999999982</v>
      </c>
      <c r="CU120" s="17">
        <f>CT120*VLOOKUP('Données projet'!$B$13,Paramètres!$A$1:$I$89,3,0)*VLOOKUP('Données projet'!$B$13,Paramètres!$A$1:$I$89,5,0)</f>
        <v>295.14887999999979</v>
      </c>
      <c r="CV120" s="13">
        <f t="shared" si="95"/>
        <v>70.158519482479349</v>
      </c>
      <c r="CW120" s="20">
        <f t="shared" si="67"/>
        <v>636.24372076531779</v>
      </c>
      <c r="CX120" s="57">
        <f t="shared" si="68"/>
        <v>929.57705409865116</v>
      </c>
      <c r="CY120" s="57">
        <f ca="1">AVERAGE(OFFSET($CX$3,0,0,'Données projet'!$E$13+1,1))-AVERAGE(OFFSET($H$3,0,0,'Données projet'!$E$13+1,1))</f>
        <v>436.59978658837537</v>
      </c>
      <c r="CZ120" s="57">
        <f t="shared" si="96"/>
        <v>267.2998309535638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52.306353832812746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52.306353832812746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3</v>
      </c>
      <c r="DO120" s="12">
        <f>IF('Données projet'!$A$166&gt;35,DO119+DN120-DW119,IF(A120&lt;'Données projet'!$A$166,$DL$205^A120,IF(A120='Données projet'!$A$166,'Données projet'!$B$166,DO119+DN120-DW119)))</f>
        <v>211.99999999999989</v>
      </c>
      <c r="DP120" s="17">
        <f>DO120*VLOOKUP('Données projet'!$B$14,Paramètres!$A$1:$I$89,3,0)*VLOOKUP('Données projet'!$B$14,Paramètres!$A$1:$I$89,5,0)</f>
        <v>201.7391999999999</v>
      </c>
      <c r="DQ120" s="13">
        <f t="shared" si="97"/>
        <v>50.126198422100671</v>
      </c>
      <c r="DR120" s="20">
        <f t="shared" si="70"/>
        <v>438.66556891849177</v>
      </c>
      <c r="DS120" s="57">
        <f t="shared" si="71"/>
        <v>731.99890225182503</v>
      </c>
      <c r="DT120" s="57">
        <f ca="1">AVERAGE(OFFSET($DS$3,0,0,'Données projet'!$E$14+1,1))-AVERAGE(OFFSET($H$3,0,0,'Données projet'!$E$14+1,1))</f>
        <v>292.95981568144879</v>
      </c>
      <c r="DU120" s="57">
        <f t="shared" si="98"/>
        <v>152.23954167722536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28.200652786466545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28.200652786466545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7" t="e">
        <f t="shared" si="74"/>
        <v>#N/A</v>
      </c>
      <c r="EO120" s="57" t="e">
        <f ca="1">AVERAGE(OFFSET($EN$3,0,0,'Données projet'!$E$15+1,1))-AVERAGE(OFFSET($H$3,0,0,'Données projet'!$E$15+1,1))</f>
        <v>#N/A</v>
      </c>
      <c r="EP120" s="57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7" t="e">
        <f t="shared" si="77"/>
        <v>#N/A</v>
      </c>
      <c r="FJ120" s="57" t="e">
        <f ca="1">AVERAGE(OFFSET($FI$3,0,0,'Données projet'!$E$16+1,1))-AVERAGE(OFFSET($H$3,0,0,'Données projet'!$E$16+1,1))</f>
        <v>#N/A</v>
      </c>
      <c r="FK120" s="57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7" t="e">
        <f t="shared" si="80"/>
        <v>#N/A</v>
      </c>
      <c r="GE120" s="57" t="e">
        <f ca="1">AVERAGE(OFFSET($GD$3,0,0,'Données projet'!$E$17+1,1))-AVERAGE(OFFSET($H$3,0,0,'Données projet'!$E$17+1,1))</f>
        <v>#N/A</v>
      </c>
      <c r="GF120" s="57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7" t="e">
        <f t="shared" si="83"/>
        <v>#N/A</v>
      </c>
      <c r="GZ120" s="57" t="e">
        <f ca="1">AVERAGE(OFFSET($GY$3,0,0,'Données projet'!$E$18+1,1))-AVERAGE(OFFSET($H$3,0,0,'Données projet'!$E$18+1,1))</f>
        <v>#N/A</v>
      </c>
      <c r="HA120" s="57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1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5">
        <f t="shared" si="56"/>
        <v>256.66666666666669</v>
      </c>
      <c r="I121" s="6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3.6</v>
      </c>
      <c r="N121" s="13">
        <f>IF('Données projet'!$A$36&gt;35,N120+M121-V120,IF(A121&lt;'Données projet'!$A$36,$K$205^A121,IF(A121='Données projet'!$A$36,'Données projet'!$B$36,N120+M121-V120)))</f>
        <v>277.79999999999984</v>
      </c>
      <c r="O121" s="13">
        <f>N121*VLOOKUP('Données projet'!$B$9,Paramètres!$A$1:$I$89,3,0)*VLOOKUP('Données projet'!$B$9,Paramètres!$A$1:$I$89,5,0)</f>
        <v>251.35343999999986</v>
      </c>
      <c r="P121" s="13">
        <f t="shared" si="87"/>
        <v>60.875668525284958</v>
      </c>
      <c r="Q121" s="20">
        <f t="shared" si="107"/>
        <v>543.79903068153772</v>
      </c>
      <c r="R121" s="57">
        <f t="shared" si="55"/>
        <v>837.13236401487097</v>
      </c>
      <c r="S121" s="57">
        <f ca="1">AVERAGE(OFFSET($R$3,0,0,'Données projet'!$E$9+1,1))-AVERAGE(OFFSET($H$3,0,0,'Données projet'!$E$9+1,1))</f>
        <v>373.45926089889866</v>
      </c>
      <c r="T121" s="57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43.105480753577687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43.105480753577687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277.79999999999984</v>
      </c>
      <c r="AJ121" s="13">
        <f>AI121*VLOOKUP('Données projet'!$B$10,Paramètres!$A$1:$I$89,3,0)*VLOOKUP('Données projet'!$B$10,Paramètres!$A$1:$I$89,5,0)</f>
        <v>264.35447999999985</v>
      </c>
      <c r="AK121" s="13">
        <f t="shared" si="89"/>
        <v>63.649677966098132</v>
      </c>
      <c r="AL121" s="20">
        <f t="shared" si="58"/>
        <v>571.27390845762056</v>
      </c>
      <c r="AM121" s="57">
        <f t="shared" si="59"/>
        <v>864.60724179095382</v>
      </c>
      <c r="AN121" s="57">
        <f ca="1">AVERAGE(OFFSET($AM$3,0,0,'Données projet'!$E$10+1,1))-AVERAGE(OFFSET($H$3,0,0,'Données projet'!$E$10+1,1))</f>
        <v>390.70240761116355</v>
      </c>
      <c r="AO121" s="57">
        <f t="shared" si="90"/>
        <v>241.18285512887638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45.335074585659292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45.335074585659292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3.6</v>
      </c>
      <c r="BD121" s="12">
        <f>IF('Données projet'!$A$88&gt;35,BD120+BC121-BL120,IF(A121&lt;'Données projet'!$A$88,$BA$205^A121,IF(A121='Données projet'!$A$88,'Données projet'!$B$88,BD120+BC121-BL120)))</f>
        <v>277.79999999999984</v>
      </c>
      <c r="BE121" s="13">
        <f>BD121*VLOOKUP('Données projet'!$B$11,Paramètres!$A$1:$I$89,3,0)*VLOOKUP('Données projet'!$B$11,Paramètres!$A$1:$I$89,5,0)</f>
        <v>268.68815999999987</v>
      </c>
      <c r="BF121" s="13">
        <f t="shared" si="91"/>
        <v>64.570784862545324</v>
      </c>
      <c r="BG121" s="20">
        <f t="shared" si="61"/>
        <v>580.42599563559952</v>
      </c>
      <c r="BH121" s="57">
        <f t="shared" si="62"/>
        <v>873.75932896893278</v>
      </c>
      <c r="BI121" s="57">
        <f ca="1">AVERAGE(OFFSET($BH$3,0,0,'Données projet'!$E$11+1,1))-AVERAGE(OFFSET($H$3,0,0,'Données projet'!$E$11+1,1))</f>
        <v>396.44612884768748</v>
      </c>
      <c r="BJ121" s="57">
        <f t="shared" si="92"/>
        <v>244.451492444461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46.078272529686487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46.078272529686487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3.4106051316484809E-13</v>
      </c>
      <c r="BZ121" s="13">
        <f>BY121*VLOOKUP('Données projet'!$B$12,Paramètres!$A$1:$I$89,3,0)*VLOOKUP('Données projet'!$B$12,Paramètres!$A$1:$I$89,5,0)</f>
        <v>2.0395418687257919E-13</v>
      </c>
      <c r="CA121" s="13">
        <f t="shared" si="93"/>
        <v>2.8200388570161721E-12</v>
      </c>
      <c r="CB121" s="20">
        <f t="shared" si="64"/>
        <v>5.2667878847729083E-12</v>
      </c>
      <c r="CC121" s="57">
        <f t="shared" si="65"/>
        <v>293.3333333333386</v>
      </c>
      <c r="CD121" s="57">
        <f ca="1">AVERAGE(OFFSET($CC$3,0,0,'Données projet'!$E$12+1,1))-AVERAGE(OFFSET($H$3,0,0,'Données projet'!$E$12+1,1))</f>
        <v>259.64096626089821</v>
      </c>
      <c r="CE121" s="57">
        <f t="shared" si="94"/>
        <v>258.1415293081597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47.839609463919388</v>
      </c>
      <c r="CL121" s="21">
        <f>EXP(-LN(2)/25)*CL120+(1-EXP(-LN(2)/25))/(LN(2)/25)*Calculateur!CG121*Calculateur!CI121*VLOOKUP('Données projet'!$B$12,Paramètres!$A$1:$I$89,3,0)*0.475*44/12</f>
        <v>7.0975697109590765</v>
      </c>
      <c r="CM121" s="21">
        <f>EXP(-LN(2)/2)*CM120+(1-EXP(-LN(2)/2))/(LN(2)/2)*CG121*CJ121*VLOOKUP('Données projet'!$B$12,Paramètres!$A$1:$I$89,3,0)*0.475*44/12</f>
        <v>5.0579137836092292E-8</v>
      </c>
      <c r="CN121" s="22">
        <f t="shared" si="66"/>
        <v>54.937179225457605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3.6</v>
      </c>
      <c r="CT121" s="12">
        <f>IF('Données projet'!$A$140&gt;35,CT120+CS121-DB120,IF(A121&lt;'Données projet'!$A$140,$CQ$205^A121,IF(A121='Données projet'!$A$140,'Données projet'!$B$140,CT120+CS121-DB120)))</f>
        <v>277.79999999999984</v>
      </c>
      <c r="CU121" s="17">
        <f>CT121*VLOOKUP('Données projet'!$B$13,Paramètres!$A$1:$I$89,3,0)*VLOOKUP('Données projet'!$B$13,Paramètres!$A$1:$I$89,5,0)</f>
        <v>299.0239199999998</v>
      </c>
      <c r="CV121" s="13">
        <f t="shared" si="95"/>
        <v>70.971800821570739</v>
      </c>
      <c r="CW121" s="20">
        <f t="shared" si="67"/>
        <v>644.40921376423535</v>
      </c>
      <c r="CX121" s="57">
        <f t="shared" si="68"/>
        <v>937.7425470975686</v>
      </c>
      <c r="CY121" s="57">
        <f ca="1">AVERAGE(OFFSET($CX$3,0,0,'Données projet'!$E$13+1,1))-AVERAGE(OFFSET($H$3,0,0,'Données projet'!$E$13+1,1))</f>
        <v>436.59978658837537</v>
      </c>
      <c r="CZ121" s="57">
        <f t="shared" si="96"/>
        <v>267.2998309535638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51.280658137876898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51.280658137876898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3</v>
      </c>
      <c r="DO121" s="12">
        <f>IF('Données projet'!$A$166&gt;35,DO120+DN121-DW120,IF(A121&lt;'Données projet'!$A$166,$DL$205^A121,IF(A121='Données projet'!$A$166,'Données projet'!$B$166,DO120+DN121-DW120)))</f>
        <v>214.99999999999989</v>
      </c>
      <c r="DP121" s="17">
        <f>DO121*VLOOKUP('Données projet'!$B$14,Paramètres!$A$1:$I$89,3,0)*VLOOKUP('Données projet'!$B$14,Paramètres!$A$1:$I$89,5,0)</f>
        <v>204.59399999999988</v>
      </c>
      <c r="DQ121" s="13">
        <f t="shared" si="97"/>
        <v>50.752451560432448</v>
      </c>
      <c r="DR121" s="20">
        <f t="shared" si="70"/>
        <v>444.72840313441958</v>
      </c>
      <c r="DS121" s="57">
        <f t="shared" si="71"/>
        <v>738.06173646775289</v>
      </c>
      <c r="DT121" s="57">
        <f ca="1">AVERAGE(OFFSET($DS$3,0,0,'Données projet'!$E$14+1,1))-AVERAGE(OFFSET($H$3,0,0,'Données projet'!$E$14+1,1))</f>
        <v>292.95981568144879</v>
      </c>
      <c r="DU121" s="57">
        <f t="shared" si="98"/>
        <v>152.23954167722536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27.647655186023709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27.647655186023709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7" t="e">
        <f t="shared" si="74"/>
        <v>#N/A</v>
      </c>
      <c r="EO121" s="57" t="e">
        <f ca="1">AVERAGE(OFFSET($EN$3,0,0,'Données projet'!$E$15+1,1))-AVERAGE(OFFSET($H$3,0,0,'Données projet'!$E$15+1,1))</f>
        <v>#N/A</v>
      </c>
      <c r="EP121" s="57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7" t="e">
        <f t="shared" si="77"/>
        <v>#N/A</v>
      </c>
      <c r="FJ121" s="57" t="e">
        <f ca="1">AVERAGE(OFFSET($FI$3,0,0,'Données projet'!$E$16+1,1))-AVERAGE(OFFSET($H$3,0,0,'Données projet'!$E$16+1,1))</f>
        <v>#N/A</v>
      </c>
      <c r="FK121" s="57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7" t="e">
        <f t="shared" si="80"/>
        <v>#N/A</v>
      </c>
      <c r="GE121" s="57" t="e">
        <f ca="1">AVERAGE(OFFSET($GD$3,0,0,'Données projet'!$E$17+1,1))-AVERAGE(OFFSET($H$3,0,0,'Données projet'!$E$17+1,1))</f>
        <v>#N/A</v>
      </c>
      <c r="GF121" s="57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7" t="e">
        <f t="shared" si="83"/>
        <v>#N/A</v>
      </c>
      <c r="GZ121" s="57" t="e">
        <f ca="1">AVERAGE(OFFSET($GY$3,0,0,'Données projet'!$E$18+1,1))-AVERAGE(OFFSET($H$3,0,0,'Données projet'!$E$18+1,1))</f>
        <v>#N/A</v>
      </c>
      <c r="HA121" s="57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1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5">
        <f t="shared" si="56"/>
        <v>256.66666666666669</v>
      </c>
      <c r="I122" s="6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3.6</v>
      </c>
      <c r="N122" s="13">
        <f>IF('Données projet'!$A$36&gt;35,N121+M122-V121,IF(A122&lt;'Données projet'!$A$36,$K$205^A122,IF(A122='Données projet'!$A$36,'Données projet'!$B$36,N121+M122-V121)))</f>
        <v>281.39999999999986</v>
      </c>
      <c r="O122" s="13">
        <f>N122*VLOOKUP('Données projet'!$B$9,Paramètres!$A$1:$I$89,3,0)*VLOOKUP('Données projet'!$B$9,Paramètres!$A$1:$I$89,5,0)</f>
        <v>254.61071999999987</v>
      </c>
      <c r="P122" s="13">
        <f t="shared" si="87"/>
        <v>61.572204587965679</v>
      </c>
      <c r="Q122" s="20">
        <f t="shared" si="107"/>
        <v>550.68526032403997</v>
      </c>
      <c r="R122" s="57">
        <f t="shared" si="55"/>
        <v>844.01859365737323</v>
      </c>
      <c r="S122" s="57">
        <f ca="1">AVERAGE(OFFSET($R$3,0,0,'Données projet'!$E$9+1,1))-AVERAGE(OFFSET($H$3,0,0,'Données projet'!$E$9+1,1))</f>
        <v>373.45926089889866</v>
      </c>
      <c r="T122" s="57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42.260208567747192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42.260208567747192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281.39999999999986</v>
      </c>
      <c r="AJ122" s="13">
        <f>AI122*VLOOKUP('Données projet'!$B$10,Paramètres!$A$1:$I$89,3,0)*VLOOKUP('Données projet'!$B$10,Paramètres!$A$1:$I$89,5,0)</f>
        <v>267.78023999999988</v>
      </c>
      <c r="AK122" s="13">
        <f t="shared" si="89"/>
        <v>64.377954092757619</v>
      </c>
      <c r="AL122" s="20">
        <f t="shared" si="58"/>
        <v>578.50885471155266</v>
      </c>
      <c r="AM122" s="57">
        <f t="shared" si="59"/>
        <v>871.84218804488592</v>
      </c>
      <c r="AN122" s="57">
        <f ca="1">AVERAGE(OFFSET($AM$3,0,0,'Données projet'!$E$10+1,1))-AVERAGE(OFFSET($H$3,0,0,'Données projet'!$E$10+1,1))</f>
        <v>390.70240761116355</v>
      </c>
      <c r="AO122" s="57">
        <f t="shared" si="90"/>
        <v>241.18285512887638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44.446081424699635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44.446081424699635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3.6</v>
      </c>
      <c r="BD122" s="12">
        <f>IF('Données projet'!$A$88&gt;35,BD121+BC122-BL121,IF(A122&lt;'Données projet'!$A$88,$BA$205^A122,IF(A122='Données projet'!$A$88,'Données projet'!$B$88,BD121+BC122-BL121)))</f>
        <v>281.39999999999986</v>
      </c>
      <c r="BE122" s="13">
        <f>BD122*VLOOKUP('Données projet'!$B$11,Paramètres!$A$1:$I$89,3,0)*VLOOKUP('Données projet'!$B$11,Paramètres!$A$1:$I$89,5,0)</f>
        <v>272.17007999999987</v>
      </c>
      <c r="BF122" s="13">
        <f t="shared" si="91"/>
        <v>65.309600243828228</v>
      </c>
      <c r="BG122" s="20">
        <f t="shared" si="61"/>
        <v>587.77710975800062</v>
      </c>
      <c r="BH122" s="57">
        <f t="shared" si="62"/>
        <v>881.11044309133399</v>
      </c>
      <c r="BI122" s="57">
        <f ca="1">AVERAGE(OFFSET($BH$3,0,0,'Données projet'!$E$11+1,1))-AVERAGE(OFFSET($H$3,0,0,'Données projet'!$E$11+1,1))</f>
        <v>396.44612884768748</v>
      </c>
      <c r="BJ122" s="57">
        <f t="shared" si="92"/>
        <v>244.451492444461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45.174705710350445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45.174705710350445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3.4106051316484809E-13</v>
      </c>
      <c r="BZ122" s="13">
        <f>BY122*VLOOKUP('Données projet'!$B$12,Paramètres!$A$1:$I$89,3,0)*VLOOKUP('Données projet'!$B$12,Paramètres!$A$1:$I$89,5,0)</f>
        <v>2.0395418687257919E-13</v>
      </c>
      <c r="CA122" s="13">
        <f t="shared" si="93"/>
        <v>2.8200388570161721E-12</v>
      </c>
      <c r="CB122" s="20">
        <f t="shared" si="64"/>
        <v>5.2667878847729083E-12</v>
      </c>
      <c r="CC122" s="57">
        <f t="shared" si="65"/>
        <v>293.3333333333386</v>
      </c>
      <c r="CD122" s="57">
        <f ca="1">AVERAGE(OFFSET($CC$3,0,0,'Données projet'!$E$12+1,1))-AVERAGE(OFFSET($H$3,0,0,'Données projet'!$E$12+1,1))</f>
        <v>259.64096626089821</v>
      </c>
      <c r="CE122" s="57">
        <f t="shared" si="94"/>
        <v>258.1415293081597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46.901503901612486</v>
      </c>
      <c r="CL122" s="21">
        <f>EXP(-LN(2)/25)*CL121+(1-EXP(-LN(2)/25))/(LN(2)/25)*Calculateur!CG122*Calculateur!CI122*VLOOKUP('Données projet'!$B$12,Paramètres!$A$1:$I$89,3,0)*0.475*44/12</f>
        <v>6.9034862939679309</v>
      </c>
      <c r="CM122" s="21">
        <f>EXP(-LN(2)/2)*CM121+(1-EXP(-LN(2)/2))/(LN(2)/2)*CG122*CJ122*VLOOKUP('Données projet'!$B$12,Paramètres!$A$1:$I$89,3,0)*0.475*44/12</f>
        <v>3.5764851350469939E-8</v>
      </c>
      <c r="CN122" s="22">
        <f t="shared" si="66"/>
        <v>53.804990231345265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3.6</v>
      </c>
      <c r="CT122" s="12">
        <f>IF('Données projet'!$A$140&gt;35,CT121+CS122-DB121,IF(A122&lt;'Données projet'!$A$140,$CQ$205^A122,IF(A122='Données projet'!$A$140,'Données projet'!$B$140,CT121+CS122-DB121)))</f>
        <v>281.39999999999986</v>
      </c>
      <c r="CU122" s="17">
        <f>CT122*VLOOKUP('Données projet'!$B$13,Paramètres!$A$1:$I$89,3,0)*VLOOKUP('Données projet'!$B$13,Paramètres!$A$1:$I$89,5,0)</f>
        <v>302.89895999999982</v>
      </c>
      <c r="CV122" s="13">
        <f t="shared" si="95"/>
        <v>71.78385627661811</v>
      </c>
      <c r="CW122" s="20">
        <f t="shared" si="67"/>
        <v>652.57257168177625</v>
      </c>
      <c r="CX122" s="57">
        <f t="shared" si="68"/>
        <v>945.90590501510951</v>
      </c>
      <c r="CY122" s="57">
        <f ca="1">AVERAGE(OFFSET($CX$3,0,0,'Données projet'!$E$13+1,1))-AVERAGE(OFFSET($H$3,0,0,'Données projet'!$E$13+1,1))</f>
        <v>436.59978658837537</v>
      </c>
      <c r="CZ122" s="57">
        <f t="shared" si="96"/>
        <v>267.2998309535638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50.27507570990614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50.27507570990614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3</v>
      </c>
      <c r="DO122" s="12">
        <f>IF('Données projet'!$A$166&gt;35,DO121+DN122-DW121,IF(A122&lt;'Données projet'!$A$166,$DL$205^A122,IF(A122='Données projet'!$A$166,'Données projet'!$B$166,DO121+DN122-DW121)))</f>
        <v>217.99999999999989</v>
      </c>
      <c r="DP122" s="17">
        <f>DO122*VLOOKUP('Données projet'!$B$14,Paramètres!$A$1:$I$89,3,0)*VLOOKUP('Données projet'!$B$14,Paramètres!$A$1:$I$89,5,0)</f>
        <v>207.44879999999989</v>
      </c>
      <c r="DQ122" s="13">
        <f t="shared" si="97"/>
        <v>51.377688337856306</v>
      </c>
      <c r="DR122" s="20">
        <f t="shared" si="70"/>
        <v>450.78946718843281</v>
      </c>
      <c r="DS122" s="57">
        <f t="shared" si="71"/>
        <v>744.12280052176607</v>
      </c>
      <c r="DT122" s="57">
        <f ca="1">AVERAGE(OFFSET($DS$3,0,0,'Données projet'!$E$14+1,1))-AVERAGE(OFFSET($H$3,0,0,'Données projet'!$E$14+1,1))</f>
        <v>292.95981568144879</v>
      </c>
      <c r="DU122" s="57">
        <f t="shared" si="98"/>
        <v>152.23954167722536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27.105501531230324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27.105501531230324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7" t="e">
        <f t="shared" si="74"/>
        <v>#N/A</v>
      </c>
      <c r="EO122" s="57" t="e">
        <f ca="1">AVERAGE(OFFSET($EN$3,0,0,'Données projet'!$E$15+1,1))-AVERAGE(OFFSET($H$3,0,0,'Données projet'!$E$15+1,1))</f>
        <v>#N/A</v>
      </c>
      <c r="EP122" s="57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7" t="e">
        <f t="shared" si="77"/>
        <v>#N/A</v>
      </c>
      <c r="FJ122" s="57" t="e">
        <f ca="1">AVERAGE(OFFSET($FI$3,0,0,'Données projet'!$E$16+1,1))-AVERAGE(OFFSET($H$3,0,0,'Données projet'!$E$16+1,1))</f>
        <v>#N/A</v>
      </c>
      <c r="FK122" s="57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7" t="e">
        <f t="shared" si="80"/>
        <v>#N/A</v>
      </c>
      <c r="GE122" s="57" t="e">
        <f ca="1">AVERAGE(OFFSET($GD$3,0,0,'Données projet'!$E$17+1,1))-AVERAGE(OFFSET($H$3,0,0,'Données projet'!$E$17+1,1))</f>
        <v>#N/A</v>
      </c>
      <c r="GF122" s="57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7" t="e">
        <f t="shared" si="83"/>
        <v>#N/A</v>
      </c>
      <c r="GZ122" s="57" t="e">
        <f ca="1">AVERAGE(OFFSET($GY$3,0,0,'Données projet'!$E$18+1,1))-AVERAGE(OFFSET($H$3,0,0,'Données projet'!$E$18+1,1))</f>
        <v>#N/A</v>
      </c>
      <c r="HA122" s="57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1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5">
        <f t="shared" si="56"/>
        <v>256.66666666666669</v>
      </c>
      <c r="I123" s="6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3.6</v>
      </c>
      <c r="M123" s="12">
        <f t="array" ref="M123">INDEX(L:L,MIN(IF(ISNUMBER(L123:L319),ROW(L123:L319),"")))</f>
        <v>3.6</v>
      </c>
      <c r="N123" s="13">
        <f>IF('Données projet'!$A$36&gt;35,N122+M123-V122,IF(A123&lt;'Données projet'!$A$36,$K$205^A123,IF(A123='Données projet'!$A$36,'Données projet'!$B$36,N122+M123-V122)))</f>
        <v>284.99999999999989</v>
      </c>
      <c r="O123" s="13">
        <f>N123*VLOOKUP('Données projet'!$B$9,Paramètres!$A$1:$I$89,3,0)*VLOOKUP('Données projet'!$B$9,Paramètres!$A$1:$I$89,5,0)</f>
        <v>257.86799999999988</v>
      </c>
      <c r="P123" s="13">
        <f t="shared" si="87"/>
        <v>62.267704162827471</v>
      </c>
      <c r="Q123" s="20">
        <f t="shared" si="107"/>
        <v>557.56968475025758</v>
      </c>
      <c r="R123" s="57">
        <f t="shared" si="55"/>
        <v>850.90301808359095</v>
      </c>
      <c r="S123" s="57">
        <f ca="1">AVERAGE(OFFSET($R$3,0,0,'Données projet'!$E$9+1,1))-AVERAGE(OFFSET($H$3,0,0,'Données projet'!$E$9+1,1))</f>
        <v>373.45926089889866</v>
      </c>
      <c r="T123" s="57">
        <f t="shared" si="88"/>
        <v>231.36959598460686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285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139.49402157923026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139.49402157923026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284.99999999999989</v>
      </c>
      <c r="AJ123" s="13">
        <f>AI123*VLOOKUP('Données projet'!$B$10,Paramètres!$A$1:$I$89,3,0)*VLOOKUP('Données projet'!$B$10,Paramètres!$A$1:$I$89,5,0)</f>
        <v>271.2059999999999</v>
      </c>
      <c r="AK123" s="13">
        <f t="shared" si="89"/>
        <v>65.105146500461984</v>
      </c>
      <c r="AL123" s="20">
        <f t="shared" si="58"/>
        <v>585.74191348830436</v>
      </c>
      <c r="AM123" s="57">
        <f t="shared" si="59"/>
        <v>879.07524682163762</v>
      </c>
      <c r="AN123" s="57">
        <f ca="1">AVERAGE(OFFSET($AM$3,0,0,'Données projet'!$E$10+1,1))-AVERAGE(OFFSET($H$3,0,0,'Données projet'!$E$10+1,1))</f>
        <v>390.70240761116355</v>
      </c>
      <c r="AO123" s="57">
        <f t="shared" si="90"/>
        <v>241.18285512887638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146.70922959194905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146.70922959194905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285</v>
      </c>
      <c r="BB123" s="12">
        <f>VLOOKUP(A123,'Données projet'!$A$87:$I$107,9,0)</f>
        <v>3.6</v>
      </c>
      <c r="BC123" s="12">
        <f t="array" ref="BC123">INDEX(BB:BB,MIN(IF(ISNUMBER(BB123:BB319),ROW(BB123:BB319),"")))</f>
        <v>3.6</v>
      </c>
      <c r="BD123" s="12">
        <f>IF('Données projet'!$A$88&gt;35,BD122+BC123-BL122,IF(A123&lt;'Données projet'!$A$88,$BA$205^A123,IF(A123='Données projet'!$A$88,'Données projet'!$B$88,BD122+BC123-BL122)))</f>
        <v>284.99999999999989</v>
      </c>
      <c r="BE123" s="13">
        <f>BD123*VLOOKUP('Données projet'!$B$11,Paramètres!$A$1:$I$89,3,0)*VLOOKUP('Données projet'!$B$11,Paramètres!$A$1:$I$89,5,0)</f>
        <v>275.65199999999993</v>
      </c>
      <c r="BF123" s="13">
        <f t="shared" si="91"/>
        <v>66.047316223107259</v>
      </c>
      <c r="BG123" s="20">
        <f t="shared" si="61"/>
        <v>595.1263090885783</v>
      </c>
      <c r="BH123" s="57">
        <f t="shared" si="62"/>
        <v>888.45964242191167</v>
      </c>
      <c r="BI123" s="57">
        <f ca="1">AVERAGE(OFFSET($BH$3,0,0,'Données projet'!$E$11+1,1))-AVERAGE(OFFSET($H$3,0,0,'Données projet'!$E$11+1,1))</f>
        <v>396.44612884768748</v>
      </c>
      <c r="BJ123" s="57">
        <f t="shared" si="92"/>
        <v>244.451492444461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285</v>
      </c>
      <c r="BM123" s="16">
        <f>IF(ISNA(VLOOKUP(A123,'Données projet'!$A$87:$I$107,5,0)),0%,VLOOKUP(A123,'Données projet'!$A$87:$I$107,5,0)*VLOOKUP('Données projet'!$B$11,Paramètres!$A$1:$I$89,7,0))</f>
        <v>0.34400000000000003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149.11429892952199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149.11429892952199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3.4106051316484809E-13</v>
      </c>
      <c r="BZ123" s="13">
        <f>BY123*VLOOKUP('Données projet'!$B$12,Paramètres!$A$1:$I$89,3,0)*VLOOKUP('Données projet'!$B$12,Paramètres!$A$1:$I$89,5,0)</f>
        <v>2.0395418687257919E-13</v>
      </c>
      <c r="CA123" s="13">
        <f t="shared" si="93"/>
        <v>2.8200388570161721E-12</v>
      </c>
      <c r="CB123" s="20">
        <f t="shared" si="64"/>
        <v>5.2667878847729083E-12</v>
      </c>
      <c r="CC123" s="57">
        <f t="shared" si="65"/>
        <v>293.3333333333386</v>
      </c>
      <c r="CD123" s="57">
        <f ca="1">AVERAGE(OFFSET($CC$3,0,0,'Données projet'!$E$12+1,1))-AVERAGE(OFFSET($H$3,0,0,'Données projet'!$E$12+1,1))</f>
        <v>259.64096626089821</v>
      </c>
      <c r="CE123" s="57">
        <f t="shared" si="94"/>
        <v>258.1415293081597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45.981794017194531</v>
      </c>
      <c r="CL123" s="21">
        <f>EXP(-LN(2)/25)*CL122+(1-EXP(-LN(2)/25))/(LN(2)/25)*Calculateur!CG123*Calculateur!CI123*VLOOKUP('Données projet'!$B$12,Paramètres!$A$1:$I$89,3,0)*0.475*44/12</f>
        <v>6.7147100982208121</v>
      </c>
      <c r="CM123" s="21">
        <f>EXP(-LN(2)/2)*CM122+(1-EXP(-LN(2)/2))/(LN(2)/2)*CG123*CJ123*VLOOKUP('Données projet'!$B$12,Paramètres!$A$1:$I$89,3,0)*0.475*44/12</f>
        <v>2.5289568918046146E-8</v>
      </c>
      <c r="CN123" s="22">
        <f t="shared" si="66"/>
        <v>52.69650414070491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285</v>
      </c>
      <c r="CR123" s="12">
        <f>VLOOKUP(A123,'Données projet'!$A$139:$I$159,9,0)</f>
        <v>3.6</v>
      </c>
      <c r="CS123" s="12">
        <f t="array" ref="CS123">INDEX(CR:CR,MIN(IF(ISNUMBER(CR123:CR319),ROW(CR123:CR319),"")))</f>
        <v>3.6</v>
      </c>
      <c r="CT123" s="12">
        <f>IF('Données projet'!$A$140&gt;35,CT122+CS123-DB122,IF(A123&lt;'Données projet'!$A$140,$CQ$205^A123,IF(A123='Données projet'!$A$140,'Données projet'!$B$140,CT122+CS123-DB122)))</f>
        <v>284.99999999999989</v>
      </c>
      <c r="CU123" s="17">
        <f>CT123*VLOOKUP('Données projet'!$B$13,Paramètres!$A$1:$I$89,3,0)*VLOOKUP('Données projet'!$B$13,Paramètres!$A$1:$I$89,5,0)</f>
        <v>306.77399999999989</v>
      </c>
      <c r="CV123" s="13">
        <f t="shared" si="95"/>
        <v>72.594703343999058</v>
      </c>
      <c r="CW123" s="20">
        <f t="shared" si="67"/>
        <v>660.7338249907981</v>
      </c>
      <c r="CX123" s="57">
        <f t="shared" si="68"/>
        <v>954.06715832413147</v>
      </c>
      <c r="CY123" s="57">
        <f ca="1">AVERAGE(OFFSET($CX$3,0,0,'Données projet'!$E$13+1,1))-AVERAGE(OFFSET($H$3,0,0,'Données projet'!$E$13+1,1))</f>
        <v>436.59978658837537</v>
      </c>
      <c r="CZ123" s="57">
        <f t="shared" si="96"/>
        <v>267.2998309535638</v>
      </c>
      <c r="DA123" s="15">
        <f>IF(ISNA(VLOOKUP(A123,'Données projet'!$A$139:$I$159,3,0)),0,VLOOKUP(A123,'Données projet'!$A$139:$I$159,3,0))</f>
        <v>21</v>
      </c>
      <c r="DB123" s="15">
        <f>IF(ISNA(VLOOKUP(A123,'Données projet'!$A$139:$I$159,4,0)),0,VLOOKUP(A123,'Données projet'!$A$139:$I$159,4,0))</f>
        <v>285</v>
      </c>
      <c r="DC123" s="16">
        <f>IF(ISNA(VLOOKUP(A123,'Données projet'!$A$139:$I$159,5,0)),0%,VLOOKUP(A123,'Données projet'!$A$139:$I$159,5,0)*VLOOKUP('Données projet'!$B$13,Paramètres!$A$1:$I$89,7,0))</f>
        <v>0.34400000000000003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165.94978429253257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165.94978429253257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221</v>
      </c>
      <c r="DM123" s="12">
        <f>VLOOKUP(A123,'Données projet'!$A$165:$I$185,9,0)</f>
        <v>3</v>
      </c>
      <c r="DN123" s="12">
        <f t="array" ref="DN123">INDEX(DM:DM,MIN(IF(ISNUMBER(DM123:DM319),ROW(DM123:DM319),"")))</f>
        <v>3</v>
      </c>
      <c r="DO123" s="12">
        <f>IF('Données projet'!$A$166&gt;35,DO122+DN123-DW122,IF(A123&lt;'Données projet'!$A$166,$DL$205^A123,IF(A123='Données projet'!$A$166,'Données projet'!$B$166,DO122+DN123-DW122)))</f>
        <v>220.99999999999989</v>
      </c>
      <c r="DP123" s="17">
        <f>DO123*VLOOKUP('Données projet'!$B$14,Paramètres!$A$1:$I$89,3,0)*VLOOKUP('Données projet'!$B$14,Paramètres!$A$1:$I$89,5,0)</f>
        <v>210.30359999999988</v>
      </c>
      <c r="DQ123" s="13">
        <f t="shared" si="97"/>
        <v>52.001924357524459</v>
      </c>
      <c r="DR123" s="20">
        <f t="shared" si="70"/>
        <v>456.84878825602158</v>
      </c>
      <c r="DS123" s="57">
        <f t="shared" si="71"/>
        <v>750.18212158935489</v>
      </c>
      <c r="DT123" s="57">
        <f ca="1">AVERAGE(OFFSET($DS$3,0,0,'Données projet'!$E$14+1,1))-AVERAGE(OFFSET($H$3,0,0,'Données projet'!$E$14+1,1))</f>
        <v>292.95981568144879</v>
      </c>
      <c r="DU123" s="57">
        <f t="shared" si="98"/>
        <v>152.23954167722536</v>
      </c>
      <c r="DV123" s="15">
        <f>IF(ISNA(VLOOKUP(A123,'Données projet'!$A$165:$I$185,3,0)),0,VLOOKUP(A123,'Données projet'!$A$165:$I$185,3,0))</f>
        <v>20</v>
      </c>
      <c r="DW123" s="15">
        <f>IF(ISNA(VLOOKUP(A123,'Données projet'!$A$165:$I$185,4,0)),0,VLOOKUP(A123,'Données projet'!$A$165:$I$185,4,0))</f>
        <v>221</v>
      </c>
      <c r="DX123" s="16">
        <f>IF(ISNA(VLOOKUP(A123,'Données projet'!$A$165:$I$185,5,0)),0%,VLOOKUP(A123,'Données projet'!$A$165:$I$185,5,0)*VLOOKUP('Données projet'!$B$14,Paramètres!$A$1:$I$89,7,0))</f>
        <v>0.34400000000000003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106.5486129540725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106.5486129540725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7" t="e">
        <f t="shared" si="74"/>
        <v>#N/A</v>
      </c>
      <c r="EO123" s="57" t="e">
        <f ca="1">AVERAGE(OFFSET($EN$3,0,0,'Données projet'!$E$15+1,1))-AVERAGE(OFFSET($H$3,0,0,'Données projet'!$E$15+1,1))</f>
        <v>#N/A</v>
      </c>
      <c r="EP123" s="57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7" t="e">
        <f t="shared" si="77"/>
        <v>#N/A</v>
      </c>
      <c r="FJ123" s="57" t="e">
        <f ca="1">AVERAGE(OFFSET($FI$3,0,0,'Données projet'!$E$16+1,1))-AVERAGE(OFFSET($H$3,0,0,'Données projet'!$E$16+1,1))</f>
        <v>#N/A</v>
      </c>
      <c r="FK123" s="57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7" t="e">
        <f t="shared" si="80"/>
        <v>#N/A</v>
      </c>
      <c r="GE123" s="57" t="e">
        <f ca="1">AVERAGE(OFFSET($GD$3,0,0,'Données projet'!$E$17+1,1))-AVERAGE(OFFSET($H$3,0,0,'Données projet'!$E$17+1,1))</f>
        <v>#N/A</v>
      </c>
      <c r="GF123" s="57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7" t="e">
        <f t="shared" si="83"/>
        <v>#N/A</v>
      </c>
      <c r="GZ123" s="57" t="e">
        <f ca="1">AVERAGE(OFFSET($GY$3,0,0,'Données projet'!$E$18+1,1))-AVERAGE(OFFSET($H$3,0,0,'Données projet'!$E$18+1,1))</f>
        <v>#N/A</v>
      </c>
      <c r="HA123" s="57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1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5">
        <f t="shared" si="56"/>
        <v>256.66666666666669</v>
      </c>
      <c r="I124" s="6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7" t="e">
        <f t="shared" si="55"/>
        <v>#NUM!</v>
      </c>
      <c r="S124" s="57">
        <f ca="1">AVERAGE(OFFSET($R$3,0,0,'Données projet'!$E$9+1,1))-AVERAGE(OFFSET($H$3,0,0,'Données projet'!$E$9+1,1))</f>
        <v>373.45926089889866</v>
      </c>
      <c r="T124" s="57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136.75862889901347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136.75862889901347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-1.0818439477588981E-13</v>
      </c>
      <c r="AK124" s="13" t="e">
        <f t="shared" si="89"/>
        <v>#NUM!</v>
      </c>
      <c r="AL124" s="20" t="e">
        <f t="shared" si="58"/>
        <v>#NUM!</v>
      </c>
      <c r="AM124" s="57" t="e">
        <f t="shared" si="59"/>
        <v>#NUM!</v>
      </c>
      <c r="AN124" s="57">
        <f ca="1">AVERAGE(OFFSET($AM$3,0,0,'Données projet'!$E$10+1,1))-AVERAGE(OFFSET($H$3,0,0,'Données projet'!$E$10+1,1))</f>
        <v>390.70240761116355</v>
      </c>
      <c r="AO124" s="57">
        <f t="shared" si="90"/>
        <v>241.18285512887638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143.83235108344519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143.83235108344519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-1.0995790944434703E-13</v>
      </c>
      <c r="BF124" s="13" t="e">
        <f t="shared" si="91"/>
        <v>#NUM!</v>
      </c>
      <c r="BG124" s="20" t="e">
        <f t="shared" si="61"/>
        <v>#NUM!</v>
      </c>
      <c r="BH124" s="57" t="e">
        <f t="shared" si="62"/>
        <v>#NUM!</v>
      </c>
      <c r="BI124" s="57">
        <f ca="1">AVERAGE(OFFSET($BH$3,0,0,'Données projet'!$E$11+1,1))-AVERAGE(OFFSET($H$3,0,0,'Données projet'!$E$11+1,1))</f>
        <v>396.44612884768748</v>
      </c>
      <c r="BJ124" s="57">
        <f t="shared" si="92"/>
        <v>244.451492444461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146.19025847825577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146.19025847825577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3.4106051316484809E-13</v>
      </c>
      <c r="BZ124" s="13">
        <f>BY124*VLOOKUP('Données projet'!$B$12,Paramètres!$A$1:$I$89,3,0)*VLOOKUP('Données projet'!$B$12,Paramètres!$A$1:$I$89,5,0)</f>
        <v>2.0395418687257919E-13</v>
      </c>
      <c r="CA124" s="13">
        <f t="shared" si="93"/>
        <v>2.8200388570161721E-12</v>
      </c>
      <c r="CB124" s="20">
        <f t="shared" si="64"/>
        <v>5.2667878847729083E-12</v>
      </c>
      <c r="CC124" s="57">
        <f t="shared" si="65"/>
        <v>293.3333333333386</v>
      </c>
      <c r="CD124" s="57">
        <f ca="1">AVERAGE(OFFSET($CC$3,0,0,'Données projet'!$E$12+1,1))-AVERAGE(OFFSET($H$3,0,0,'Données projet'!$E$12+1,1))</f>
        <v>259.64096626089821</v>
      </c>
      <c r="CE124" s="57">
        <f t="shared" si="94"/>
        <v>258.1415293081597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45.080119082642369</v>
      </c>
      <c r="CL124" s="21">
        <f>EXP(-LN(2)/25)*CL123+(1-EXP(-LN(2)/25))/(LN(2)/25)*Calculateur!CG124*Calculateur!CI124*VLOOKUP('Données projet'!$B$12,Paramètres!$A$1:$I$89,3,0)*0.475*44/12</f>
        <v>6.5310959974737068</v>
      </c>
      <c r="CM124" s="21">
        <f>EXP(-LN(2)/2)*CM123+(1-EXP(-LN(2)/2))/(LN(2)/2)*CG124*CJ124*VLOOKUP('Données projet'!$B$12,Paramètres!$A$1:$I$89,3,0)*0.475*44/12</f>
        <v>1.7882425675234969E-8</v>
      </c>
      <c r="CN124" s="22">
        <f t="shared" si="66"/>
        <v>51.611215097998503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-1.223725121235475E-13</v>
      </c>
      <c r="CV124" s="13" t="e">
        <f t="shared" si="95"/>
        <v>#NUM!</v>
      </c>
      <c r="CW124" s="20" t="e">
        <f t="shared" si="67"/>
        <v>#NUM!</v>
      </c>
      <c r="CX124" s="57" t="e">
        <f t="shared" si="68"/>
        <v>#NUM!</v>
      </c>
      <c r="CY124" s="57">
        <f ca="1">AVERAGE(OFFSET($CX$3,0,0,'Données projet'!$E$13+1,1))-AVERAGE(OFFSET($H$3,0,0,'Données projet'!$E$13+1,1))</f>
        <v>436.59978658837537</v>
      </c>
      <c r="CZ124" s="57">
        <f t="shared" si="96"/>
        <v>267.2998309535638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162.69561024192984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162.69561024192984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-1.0818439477588981E-13</v>
      </c>
      <c r="DQ124" s="13" t="e">
        <f t="shared" si="97"/>
        <v>#NUM!</v>
      </c>
      <c r="DR124" s="20" t="e">
        <f t="shared" si="70"/>
        <v>#NUM!</v>
      </c>
      <c r="DS124" s="57" t="e">
        <f t="shared" si="71"/>
        <v>#NUM!</v>
      </c>
      <c r="DT124" s="57">
        <f ca="1">AVERAGE(OFFSET($DS$3,0,0,'Données projet'!$E$14+1,1))-AVERAGE(OFFSET($H$3,0,0,'Données projet'!$E$14+1,1))</f>
        <v>292.95981568144879</v>
      </c>
      <c r="DU124" s="57">
        <f t="shared" si="98"/>
        <v>152.23954167722536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104.45925964227997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104.45925964227997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7" t="e">
        <f t="shared" si="74"/>
        <v>#N/A</v>
      </c>
      <c r="EO124" s="57" t="e">
        <f ca="1">AVERAGE(OFFSET($EN$3,0,0,'Données projet'!$E$15+1,1))-AVERAGE(OFFSET($H$3,0,0,'Données projet'!$E$15+1,1))</f>
        <v>#N/A</v>
      </c>
      <c r="EP124" s="57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7" t="e">
        <f t="shared" si="77"/>
        <v>#N/A</v>
      </c>
      <c r="FJ124" s="57" t="e">
        <f ca="1">AVERAGE(OFFSET($FI$3,0,0,'Données projet'!$E$16+1,1))-AVERAGE(OFFSET($H$3,0,0,'Données projet'!$E$16+1,1))</f>
        <v>#N/A</v>
      </c>
      <c r="FK124" s="57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7" t="e">
        <f t="shared" si="80"/>
        <v>#N/A</v>
      </c>
      <c r="GE124" s="57" t="e">
        <f ca="1">AVERAGE(OFFSET($GD$3,0,0,'Données projet'!$E$17+1,1))-AVERAGE(OFFSET($H$3,0,0,'Données projet'!$E$17+1,1))</f>
        <v>#N/A</v>
      </c>
      <c r="GF124" s="57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7" t="e">
        <f t="shared" si="83"/>
        <v>#N/A</v>
      </c>
      <c r="GZ124" s="57" t="e">
        <f ca="1">AVERAGE(OFFSET($GY$3,0,0,'Données projet'!$E$18+1,1))-AVERAGE(OFFSET($H$3,0,0,'Données projet'!$E$18+1,1))</f>
        <v>#N/A</v>
      </c>
      <c r="HA124" s="57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1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5">
        <f t="shared" si="56"/>
        <v>256.66666666666669</v>
      </c>
      <c r="I125" s="6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7" t="e">
        <f t="shared" si="55"/>
        <v>#NUM!</v>
      </c>
      <c r="S125" s="57">
        <f ca="1">AVERAGE(OFFSET($R$3,0,0,'Données projet'!$E$9+1,1))-AVERAGE(OFFSET($H$3,0,0,'Données projet'!$E$9+1,1))</f>
        <v>373.45926089889866</v>
      </c>
      <c r="T125" s="57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134.07687560083096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134.07687560083096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-1.0818439477588981E-13</v>
      </c>
      <c r="AK125" s="13" t="e">
        <f t="shared" si="89"/>
        <v>#NUM!</v>
      </c>
      <c r="AL125" s="20" t="e">
        <f t="shared" si="58"/>
        <v>#NUM!</v>
      </c>
      <c r="AM125" s="57" t="e">
        <f t="shared" si="59"/>
        <v>#NUM!</v>
      </c>
      <c r="AN125" s="57">
        <f ca="1">AVERAGE(OFFSET($AM$3,0,0,'Données projet'!$E$10+1,1))-AVERAGE(OFFSET($H$3,0,0,'Données projet'!$E$10+1,1))</f>
        <v>390.70240761116355</v>
      </c>
      <c r="AO125" s="57">
        <f t="shared" si="90"/>
        <v>241.18285512887638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141.01188640777048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141.01188640777048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-1.0995790944434703E-13</v>
      </c>
      <c r="BF125" s="13" t="e">
        <f t="shared" si="91"/>
        <v>#NUM!</v>
      </c>
      <c r="BG125" s="20" t="e">
        <f t="shared" si="61"/>
        <v>#NUM!</v>
      </c>
      <c r="BH125" s="57" t="e">
        <f t="shared" si="62"/>
        <v>#NUM!</v>
      </c>
      <c r="BI125" s="57">
        <f ca="1">AVERAGE(OFFSET($BH$3,0,0,'Données projet'!$E$11+1,1))-AVERAGE(OFFSET($H$3,0,0,'Données projet'!$E$11+1,1))</f>
        <v>396.44612884768748</v>
      </c>
      <c r="BJ125" s="57">
        <f t="shared" si="92"/>
        <v>244.451492444461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143.32355667675031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143.32355667675031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3.4106051316484809E-13</v>
      </c>
      <c r="BZ125" s="13">
        <f>BY125*VLOOKUP('Données projet'!$B$12,Paramètres!$A$1:$I$89,3,0)*VLOOKUP('Données projet'!$B$12,Paramètres!$A$1:$I$89,5,0)</f>
        <v>2.0395418687257919E-13</v>
      </c>
      <c r="CA125" s="13">
        <f t="shared" si="93"/>
        <v>2.8200388570161721E-12</v>
      </c>
      <c r="CB125" s="20">
        <f t="shared" si="64"/>
        <v>5.2667878847729083E-12</v>
      </c>
      <c r="CC125" s="57">
        <f t="shared" si="65"/>
        <v>293.3333333333386</v>
      </c>
      <c r="CD125" s="57">
        <f ca="1">AVERAGE(OFFSET($CC$3,0,0,'Données projet'!$E$12+1,1))-AVERAGE(OFFSET($H$3,0,0,'Données projet'!$E$12+1,1))</f>
        <v>259.64096626089821</v>
      </c>
      <c r="CE125" s="57">
        <f t="shared" si="94"/>
        <v>258.1415293081597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44.196125443589374</v>
      </c>
      <c r="CL125" s="21">
        <f>EXP(-LN(2)/25)*CL124+(1-EXP(-LN(2)/25))/(LN(2)/25)*Calculateur!CG125*Calculateur!CI125*VLOOKUP('Données projet'!$B$12,Paramètres!$A$1:$I$89,3,0)*0.475*44/12</f>
        <v>6.3525028339673772</v>
      </c>
      <c r="CM125" s="21">
        <f>EXP(-LN(2)/2)*CM124+(1-EXP(-LN(2)/2))/(LN(2)/2)*CG125*CJ125*VLOOKUP('Données projet'!$B$12,Paramètres!$A$1:$I$89,3,0)*0.475*44/12</f>
        <v>1.2644784459023073E-8</v>
      </c>
      <c r="CN125" s="22">
        <f t="shared" si="66"/>
        <v>50.548628290201535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-1.223725121235475E-13</v>
      </c>
      <c r="CV125" s="13" t="e">
        <f t="shared" si="95"/>
        <v>#NUM!</v>
      </c>
      <c r="CW125" s="20" t="e">
        <f t="shared" si="67"/>
        <v>#NUM!</v>
      </c>
      <c r="CX125" s="57" t="e">
        <f t="shared" si="68"/>
        <v>#NUM!</v>
      </c>
      <c r="CY125" s="57">
        <f ca="1">AVERAGE(OFFSET($CX$3,0,0,'Données projet'!$E$13+1,1))-AVERAGE(OFFSET($H$3,0,0,'Données projet'!$E$13+1,1))</f>
        <v>436.59978658837537</v>
      </c>
      <c r="CZ125" s="57">
        <f t="shared" si="96"/>
        <v>267.2998309535638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159.50524855960924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159.50524855960924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-1.0818439477588981E-13</v>
      </c>
      <c r="DQ125" s="13" t="e">
        <f t="shared" si="97"/>
        <v>#NUM!</v>
      </c>
      <c r="DR125" s="20" t="e">
        <f t="shared" si="70"/>
        <v>#NUM!</v>
      </c>
      <c r="DS125" s="57" t="e">
        <f t="shared" si="71"/>
        <v>#NUM!</v>
      </c>
      <c r="DT125" s="57">
        <f ca="1">AVERAGE(OFFSET($DS$3,0,0,'Données projet'!$E$14+1,1))-AVERAGE(OFFSET($H$3,0,0,'Données projet'!$E$14+1,1))</f>
        <v>292.95981568144879</v>
      </c>
      <c r="DU125" s="57">
        <f t="shared" si="98"/>
        <v>152.23954167722536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102.41087727455202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102.41087727455202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7" t="e">
        <f t="shared" si="74"/>
        <v>#N/A</v>
      </c>
      <c r="EO125" s="57" t="e">
        <f ca="1">AVERAGE(OFFSET($EN$3,0,0,'Données projet'!$E$15+1,1))-AVERAGE(OFFSET($H$3,0,0,'Données projet'!$E$15+1,1))</f>
        <v>#N/A</v>
      </c>
      <c r="EP125" s="57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7" t="e">
        <f t="shared" si="77"/>
        <v>#N/A</v>
      </c>
      <c r="FJ125" s="57" t="e">
        <f ca="1">AVERAGE(OFFSET($FI$3,0,0,'Données projet'!$E$16+1,1))-AVERAGE(OFFSET($H$3,0,0,'Données projet'!$E$16+1,1))</f>
        <v>#N/A</v>
      </c>
      <c r="FK125" s="57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7" t="e">
        <f t="shared" si="80"/>
        <v>#N/A</v>
      </c>
      <c r="GE125" s="57" t="e">
        <f ca="1">AVERAGE(OFFSET($GD$3,0,0,'Données projet'!$E$17+1,1))-AVERAGE(OFFSET($H$3,0,0,'Données projet'!$E$17+1,1))</f>
        <v>#N/A</v>
      </c>
      <c r="GF125" s="57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7" t="e">
        <f t="shared" si="83"/>
        <v>#N/A</v>
      </c>
      <c r="GZ125" s="57" t="e">
        <f ca="1">AVERAGE(OFFSET($GY$3,0,0,'Données projet'!$E$18+1,1))-AVERAGE(OFFSET($H$3,0,0,'Données projet'!$E$18+1,1))</f>
        <v>#N/A</v>
      </c>
      <c r="HA125" s="57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1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5">
        <f t="shared" si="56"/>
        <v>256.66666666666669</v>
      </c>
      <c r="I126" s="6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7" t="e">
        <f t="shared" si="55"/>
        <v>#NUM!</v>
      </c>
      <c r="S126" s="57">
        <f ca="1">AVERAGE(OFFSET($R$3,0,0,'Données projet'!$E$9+1,1))-AVERAGE(OFFSET($H$3,0,0,'Données projet'!$E$9+1,1))</f>
        <v>373.45926089889866</v>
      </c>
      <c r="T126" s="57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131.44770984911779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131.44770984911779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-1.0818439477588981E-13</v>
      </c>
      <c r="AK126" s="13" t="e">
        <f t="shared" si="89"/>
        <v>#NUM!</v>
      </c>
      <c r="AL126" s="20" t="e">
        <f t="shared" si="58"/>
        <v>#NUM!</v>
      </c>
      <c r="AM126" s="57" t="e">
        <f t="shared" si="59"/>
        <v>#NUM!</v>
      </c>
      <c r="AN126" s="57">
        <f ca="1">AVERAGE(OFFSET($AM$3,0,0,'Données projet'!$E$10+1,1))-AVERAGE(OFFSET($H$3,0,0,'Données projet'!$E$10+1,1))</f>
        <v>390.70240761116355</v>
      </c>
      <c r="AO126" s="57">
        <f t="shared" si="90"/>
        <v>241.18285512887638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138.24672932407213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138.24672932407213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-1.0995790944434703E-13</v>
      </c>
      <c r="BF126" s="13" t="e">
        <f t="shared" si="91"/>
        <v>#NUM!</v>
      </c>
      <c r="BG126" s="20" t="e">
        <f t="shared" si="61"/>
        <v>#NUM!</v>
      </c>
      <c r="BH126" s="57" t="e">
        <f t="shared" si="62"/>
        <v>#NUM!</v>
      </c>
      <c r="BI126" s="57">
        <f ca="1">AVERAGE(OFFSET($BH$3,0,0,'Données projet'!$E$11+1,1))-AVERAGE(OFFSET($H$3,0,0,'Données projet'!$E$11+1,1))</f>
        <v>396.44612884768748</v>
      </c>
      <c r="BJ126" s="57">
        <f t="shared" si="92"/>
        <v>244.451492444461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140.51306914905692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140.51306914905692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3.4106051316484809E-13</v>
      </c>
      <c r="BZ126" s="13">
        <f>BY126*VLOOKUP('Données projet'!$B$12,Paramètres!$A$1:$I$89,3,0)*VLOOKUP('Données projet'!$B$12,Paramètres!$A$1:$I$89,5,0)</f>
        <v>2.0395418687257919E-13</v>
      </c>
      <c r="CA126" s="13">
        <f t="shared" si="93"/>
        <v>2.8200388570161721E-12</v>
      </c>
      <c r="CB126" s="20">
        <f t="shared" si="64"/>
        <v>5.2667878847729083E-12</v>
      </c>
      <c r="CC126" s="57">
        <f t="shared" si="65"/>
        <v>293.3333333333386</v>
      </c>
      <c r="CD126" s="57">
        <f ca="1">AVERAGE(OFFSET($CC$3,0,0,'Données projet'!$E$12+1,1))-AVERAGE(OFFSET($H$3,0,0,'Données projet'!$E$12+1,1))</f>
        <v>259.64096626089821</v>
      </c>
      <c r="CE126" s="57">
        <f t="shared" si="94"/>
        <v>258.1415293081597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43.32946638061533</v>
      </c>
      <c r="CL126" s="21">
        <f>EXP(-LN(2)/25)*CL125+(1-EXP(-LN(2)/25))/(LN(2)/25)*Calculateur!CG126*Calculateur!CI126*VLOOKUP('Données projet'!$B$12,Paramètres!$A$1:$I$89,3,0)*0.475*44/12</f>
        <v>6.1787933099089338</v>
      </c>
      <c r="CM126" s="21">
        <f>EXP(-LN(2)/2)*CM125+(1-EXP(-LN(2)/2))/(LN(2)/2)*CG126*CJ126*VLOOKUP('Données projet'!$B$12,Paramètres!$A$1:$I$89,3,0)*0.475*44/12</f>
        <v>8.9412128376174847E-9</v>
      </c>
      <c r="CN126" s="22">
        <f t="shared" si="66"/>
        <v>49.508259699465476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-1.223725121235475E-13</v>
      </c>
      <c r="CV126" s="13" t="e">
        <f t="shared" si="95"/>
        <v>#NUM!</v>
      </c>
      <c r="CW126" s="20" t="e">
        <f t="shared" si="67"/>
        <v>#NUM!</v>
      </c>
      <c r="CX126" s="57" t="e">
        <f t="shared" si="68"/>
        <v>#NUM!</v>
      </c>
      <c r="CY126" s="57">
        <f ca="1">AVERAGE(OFFSET($CX$3,0,0,'Données projet'!$E$13+1,1))-AVERAGE(OFFSET($H$3,0,0,'Données projet'!$E$13+1,1))</f>
        <v>436.59978658837537</v>
      </c>
      <c r="CZ126" s="57">
        <f t="shared" si="96"/>
        <v>267.2998309535638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156.37744792395048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156.37744792395048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-1.0818439477588981E-13</v>
      </c>
      <c r="DQ126" s="13" t="e">
        <f t="shared" si="97"/>
        <v>#NUM!</v>
      </c>
      <c r="DR126" s="20" t="e">
        <f t="shared" si="70"/>
        <v>#NUM!</v>
      </c>
      <c r="DS126" s="57" t="e">
        <f t="shared" si="71"/>
        <v>#NUM!</v>
      </c>
      <c r="DT126" s="57">
        <f ca="1">AVERAGE(OFFSET($DS$3,0,0,'Données projet'!$E$14+1,1))-AVERAGE(OFFSET($H$3,0,0,'Données projet'!$E$14+1,1))</f>
        <v>292.95981568144879</v>
      </c>
      <c r="DU126" s="57">
        <f t="shared" si="98"/>
        <v>152.23954167722536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100.40266243566533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100.40266243566533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7" t="e">
        <f t="shared" si="74"/>
        <v>#N/A</v>
      </c>
      <c r="EO126" s="57" t="e">
        <f ca="1">AVERAGE(OFFSET($EN$3,0,0,'Données projet'!$E$15+1,1))-AVERAGE(OFFSET($H$3,0,0,'Données projet'!$E$15+1,1))</f>
        <v>#N/A</v>
      </c>
      <c r="EP126" s="57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7" t="e">
        <f t="shared" si="77"/>
        <v>#N/A</v>
      </c>
      <c r="FJ126" s="57" t="e">
        <f ca="1">AVERAGE(OFFSET($FI$3,0,0,'Données projet'!$E$16+1,1))-AVERAGE(OFFSET($H$3,0,0,'Données projet'!$E$16+1,1))</f>
        <v>#N/A</v>
      </c>
      <c r="FK126" s="57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7" t="e">
        <f t="shared" si="80"/>
        <v>#N/A</v>
      </c>
      <c r="GE126" s="57" t="e">
        <f ca="1">AVERAGE(OFFSET($GD$3,0,0,'Données projet'!$E$17+1,1))-AVERAGE(OFFSET($H$3,0,0,'Données projet'!$E$17+1,1))</f>
        <v>#N/A</v>
      </c>
      <c r="GF126" s="57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7" t="e">
        <f t="shared" si="83"/>
        <v>#N/A</v>
      </c>
      <c r="GZ126" s="57" t="e">
        <f ca="1">AVERAGE(OFFSET($GY$3,0,0,'Données projet'!$E$18+1,1))-AVERAGE(OFFSET($H$3,0,0,'Données projet'!$E$18+1,1))</f>
        <v>#N/A</v>
      </c>
      <c r="HA126" s="57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1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5">
        <f t="shared" si="56"/>
        <v>256.66666666666669</v>
      </c>
      <c r="I127" s="6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7" t="e">
        <f t="shared" si="55"/>
        <v>#NUM!</v>
      </c>
      <c r="S127" s="57">
        <f ca="1">AVERAGE(OFFSET($R$3,0,0,'Données projet'!$E$9+1,1))-AVERAGE(OFFSET($H$3,0,0,'Données projet'!$E$9+1,1))</f>
        <v>373.45926089889866</v>
      </c>
      <c r="T127" s="57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128.87010043416296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128.87010043416296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-1.0818439477588981E-13</v>
      </c>
      <c r="AK127" s="13" t="e">
        <f t="shared" si="89"/>
        <v>#NUM!</v>
      </c>
      <c r="AL127" s="20" t="e">
        <f t="shared" si="58"/>
        <v>#NUM!</v>
      </c>
      <c r="AM127" s="57" t="e">
        <f t="shared" si="59"/>
        <v>#NUM!</v>
      </c>
      <c r="AN127" s="57">
        <f ca="1">AVERAGE(OFFSET($AM$3,0,0,'Données projet'!$E$10+1,1))-AVERAGE(OFFSET($H$3,0,0,'Données projet'!$E$10+1,1))</f>
        <v>390.70240761116355</v>
      </c>
      <c r="AO127" s="57">
        <f t="shared" si="90"/>
        <v>241.18285512887638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135.53579528420585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135.53579528420585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-1.0995790944434703E-13</v>
      </c>
      <c r="BF127" s="13" t="e">
        <f t="shared" si="91"/>
        <v>#NUM!</v>
      </c>
      <c r="BG127" s="20" t="e">
        <f t="shared" si="61"/>
        <v>#NUM!</v>
      </c>
      <c r="BH127" s="57" t="e">
        <f t="shared" si="62"/>
        <v>#NUM!</v>
      </c>
      <c r="BI127" s="57">
        <f ca="1">AVERAGE(OFFSET($BH$3,0,0,'Données projet'!$E$11+1,1))-AVERAGE(OFFSET($H$3,0,0,'Données projet'!$E$11+1,1))</f>
        <v>396.44612884768748</v>
      </c>
      <c r="BJ127" s="57">
        <f t="shared" si="92"/>
        <v>244.451492444461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137.75769356755347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137.75769356755347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3.4106051316484809E-13</v>
      </c>
      <c r="BZ127" s="13">
        <f>BY127*VLOOKUP('Données projet'!$B$12,Paramètres!$A$1:$I$89,3,0)*VLOOKUP('Données projet'!$B$12,Paramètres!$A$1:$I$89,5,0)</f>
        <v>2.0395418687257919E-13</v>
      </c>
      <c r="CA127" s="13">
        <f t="shared" si="93"/>
        <v>2.8200388570161721E-12</v>
      </c>
      <c r="CB127" s="20">
        <f t="shared" si="64"/>
        <v>5.2667878847729083E-12</v>
      </c>
      <c r="CC127" s="57">
        <f t="shared" si="65"/>
        <v>293.3333333333386</v>
      </c>
      <c r="CD127" s="57">
        <f ca="1">AVERAGE(OFFSET($CC$3,0,0,'Données projet'!$E$12+1,1))-AVERAGE(OFFSET($H$3,0,0,'Données projet'!$E$12+1,1))</f>
        <v>259.64096626089821</v>
      </c>
      <c r="CE127" s="57">
        <f t="shared" si="94"/>
        <v>258.1415293081597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42.479801973256372</v>
      </c>
      <c r="CL127" s="21">
        <f>EXP(-LN(2)/25)*CL126+(1-EXP(-LN(2)/25))/(LN(2)/25)*Calculateur!CG127*Calculateur!CI127*VLOOKUP('Données projet'!$B$12,Paramètres!$A$1:$I$89,3,0)*0.475*44/12</f>
        <v>6.0098338819208559</v>
      </c>
      <c r="CM127" s="21">
        <f>EXP(-LN(2)/2)*CM126+(1-EXP(-LN(2)/2))/(LN(2)/2)*CG127*CJ127*VLOOKUP('Données projet'!$B$12,Paramètres!$A$1:$I$89,3,0)*0.475*44/12</f>
        <v>6.3223922295115365E-9</v>
      </c>
      <c r="CN127" s="22">
        <f t="shared" si="66"/>
        <v>48.489635861499622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-1.223725121235475E-13</v>
      </c>
      <c r="CV127" s="13" t="e">
        <f t="shared" si="95"/>
        <v>#NUM!</v>
      </c>
      <c r="CW127" s="20" t="e">
        <f t="shared" si="67"/>
        <v>#NUM!</v>
      </c>
      <c r="CX127" s="57" t="e">
        <f t="shared" si="68"/>
        <v>#NUM!</v>
      </c>
      <c r="CY127" s="57">
        <f ca="1">AVERAGE(OFFSET($CX$3,0,0,'Données projet'!$E$13+1,1))-AVERAGE(OFFSET($H$3,0,0,'Données projet'!$E$13+1,1))</f>
        <v>436.59978658837537</v>
      </c>
      <c r="CZ127" s="57">
        <f t="shared" si="96"/>
        <v>267.2998309535638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153.31098155098698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153.31098155098698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-1.0818439477588981E-13</v>
      </c>
      <c r="DQ127" s="13" t="e">
        <f t="shared" si="97"/>
        <v>#NUM!</v>
      </c>
      <c r="DR127" s="20" t="e">
        <f t="shared" si="70"/>
        <v>#NUM!</v>
      </c>
      <c r="DS127" s="57" t="e">
        <f t="shared" si="71"/>
        <v>#NUM!</v>
      </c>
      <c r="DT127" s="57">
        <f ca="1">AVERAGE(OFFSET($DS$3,0,0,'Données projet'!$E$14+1,1))-AVERAGE(OFFSET($H$3,0,0,'Données projet'!$E$14+1,1))</f>
        <v>292.95981568144879</v>
      </c>
      <c r="DU127" s="57">
        <f t="shared" si="98"/>
        <v>152.23954167722536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98.433827464879116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98.433827464879116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7" t="e">
        <f t="shared" si="74"/>
        <v>#N/A</v>
      </c>
      <c r="EO127" s="57" t="e">
        <f ca="1">AVERAGE(OFFSET($EN$3,0,0,'Données projet'!$E$15+1,1))-AVERAGE(OFFSET($H$3,0,0,'Données projet'!$E$15+1,1))</f>
        <v>#N/A</v>
      </c>
      <c r="EP127" s="57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7" t="e">
        <f t="shared" si="77"/>
        <v>#N/A</v>
      </c>
      <c r="FJ127" s="57" t="e">
        <f ca="1">AVERAGE(OFFSET($FI$3,0,0,'Données projet'!$E$16+1,1))-AVERAGE(OFFSET($H$3,0,0,'Données projet'!$E$16+1,1))</f>
        <v>#N/A</v>
      </c>
      <c r="FK127" s="57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7" t="e">
        <f t="shared" si="80"/>
        <v>#N/A</v>
      </c>
      <c r="GE127" s="57" t="e">
        <f ca="1">AVERAGE(OFFSET($GD$3,0,0,'Données projet'!$E$17+1,1))-AVERAGE(OFFSET($H$3,0,0,'Données projet'!$E$17+1,1))</f>
        <v>#N/A</v>
      </c>
      <c r="GF127" s="57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7" t="e">
        <f t="shared" si="83"/>
        <v>#N/A</v>
      </c>
      <c r="GZ127" s="57" t="e">
        <f ca="1">AVERAGE(OFFSET($GY$3,0,0,'Données projet'!$E$18+1,1))-AVERAGE(OFFSET($H$3,0,0,'Données projet'!$E$18+1,1))</f>
        <v>#N/A</v>
      </c>
      <c r="HA127" s="57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1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5">
        <f t="shared" si="56"/>
        <v>256.66666666666669</v>
      </c>
      <c r="I128" s="6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7" t="e">
        <f t="shared" si="55"/>
        <v>#NUM!</v>
      </c>
      <c r="S128" s="57">
        <f ca="1">AVERAGE(OFFSET($R$3,0,0,'Données projet'!$E$9+1,1))-AVERAGE(OFFSET($H$3,0,0,'Données projet'!$E$9+1,1))</f>
        <v>373.45926089889866</v>
      </c>
      <c r="T128" s="57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126.34303636764889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126.34303636764889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-1.0818439477588981E-13</v>
      </c>
      <c r="AK128" s="13" t="e">
        <f t="shared" si="89"/>
        <v>#NUM!</v>
      </c>
      <c r="AL128" s="20" t="e">
        <f t="shared" si="58"/>
        <v>#NUM!</v>
      </c>
      <c r="AM128" s="57" t="e">
        <f t="shared" si="59"/>
        <v>#NUM!</v>
      </c>
      <c r="AN128" s="57">
        <f ca="1">AVERAGE(OFFSET($AM$3,0,0,'Données projet'!$E$10+1,1))-AVERAGE(OFFSET($H$3,0,0,'Données projet'!$E$10+1,1))</f>
        <v>390.70240761116355</v>
      </c>
      <c r="AO128" s="57">
        <f t="shared" si="90"/>
        <v>241.18285512887638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132.87802100735485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132.87802100735485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-1.0995790944434703E-13</v>
      </c>
      <c r="BF128" s="13" t="e">
        <f t="shared" si="91"/>
        <v>#NUM!</v>
      </c>
      <c r="BG128" s="20" t="e">
        <f t="shared" si="61"/>
        <v>#NUM!</v>
      </c>
      <c r="BH128" s="57" t="e">
        <f t="shared" si="62"/>
        <v>#NUM!</v>
      </c>
      <c r="BI128" s="57">
        <f ca="1">AVERAGE(OFFSET($BH$3,0,0,'Données projet'!$E$11+1,1))-AVERAGE(OFFSET($H$3,0,0,'Données projet'!$E$11+1,1))</f>
        <v>396.44612884768748</v>
      </c>
      <c r="BJ128" s="57">
        <f t="shared" si="92"/>
        <v>244.451492444461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135.05634922059016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135.05634922059016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3.4106051316484809E-13</v>
      </c>
      <c r="BZ128" s="13">
        <f>BY128*VLOOKUP('Données projet'!$B$12,Paramètres!$A$1:$I$89,3,0)*VLOOKUP('Données projet'!$B$12,Paramètres!$A$1:$I$89,5,0)</f>
        <v>2.0395418687257919E-13</v>
      </c>
      <c r="CA128" s="13">
        <f t="shared" si="93"/>
        <v>2.8200388570161721E-12</v>
      </c>
      <c r="CB128" s="20">
        <f t="shared" si="64"/>
        <v>5.2667878847729083E-12</v>
      </c>
      <c r="CC128" s="57">
        <f t="shared" si="65"/>
        <v>293.3333333333386</v>
      </c>
      <c r="CD128" s="57">
        <f ca="1">AVERAGE(OFFSET($CC$3,0,0,'Données projet'!$E$12+1,1))-AVERAGE(OFFSET($H$3,0,0,'Données projet'!$E$12+1,1))</f>
        <v>259.64096626089821</v>
      </c>
      <c r="CE128" s="57">
        <f t="shared" si="94"/>
        <v>258.1415293081597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41.646798966681608</v>
      </c>
      <c r="CL128" s="21">
        <f>EXP(-LN(2)/25)*CL127+(1-EXP(-LN(2)/25))/(LN(2)/25)*Calculateur!CG128*Calculateur!CI128*VLOOKUP('Données projet'!$B$12,Paramètres!$A$1:$I$89,3,0)*0.475*44/12</f>
        <v>5.8454946583763014</v>
      </c>
      <c r="CM128" s="21">
        <f>EXP(-LN(2)/2)*CM127+(1-EXP(-LN(2)/2))/(LN(2)/2)*CG128*CJ128*VLOOKUP('Données projet'!$B$12,Paramètres!$A$1:$I$89,3,0)*0.475*44/12</f>
        <v>4.4706064188087424E-9</v>
      </c>
      <c r="CN128" s="22">
        <f t="shared" si="66"/>
        <v>47.492293629528518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-1.223725121235475E-13</v>
      </c>
      <c r="CV128" s="13" t="e">
        <f t="shared" si="95"/>
        <v>#NUM!</v>
      </c>
      <c r="CW128" s="20" t="e">
        <f t="shared" si="67"/>
        <v>#NUM!</v>
      </c>
      <c r="CX128" s="57" t="e">
        <f t="shared" si="68"/>
        <v>#NUM!</v>
      </c>
      <c r="CY128" s="57">
        <f ca="1">AVERAGE(OFFSET($CX$3,0,0,'Données projet'!$E$13+1,1))-AVERAGE(OFFSET($H$3,0,0,'Données projet'!$E$13+1,1))</f>
        <v>436.59978658837537</v>
      </c>
      <c r="CZ128" s="57">
        <f t="shared" si="96"/>
        <v>267.2998309535638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150.30464671323747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150.30464671323747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-1.0818439477588981E-13</v>
      </c>
      <c r="DQ128" s="13" t="e">
        <f t="shared" si="97"/>
        <v>#NUM!</v>
      </c>
      <c r="DR128" s="20" t="e">
        <f t="shared" si="70"/>
        <v>#NUM!</v>
      </c>
      <c r="DS128" s="57" t="e">
        <f t="shared" si="71"/>
        <v>#NUM!</v>
      </c>
      <c r="DT128" s="57">
        <f ca="1">AVERAGE(OFFSET($DS$3,0,0,'Données projet'!$E$14+1,1))-AVERAGE(OFFSET($H$3,0,0,'Données projet'!$E$14+1,1))</f>
        <v>292.95981568144879</v>
      </c>
      <c r="DU128" s="57">
        <f t="shared" si="98"/>
        <v>152.23954167722536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96.503600146999261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96.503600146999261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7" t="e">
        <f t="shared" si="74"/>
        <v>#N/A</v>
      </c>
      <c r="EO128" s="57" t="e">
        <f ca="1">AVERAGE(OFFSET($EN$3,0,0,'Données projet'!$E$15+1,1))-AVERAGE(OFFSET($H$3,0,0,'Données projet'!$E$15+1,1))</f>
        <v>#N/A</v>
      </c>
      <c r="EP128" s="57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7" t="e">
        <f t="shared" si="77"/>
        <v>#N/A</v>
      </c>
      <c r="FJ128" s="57" t="e">
        <f ca="1">AVERAGE(OFFSET($FI$3,0,0,'Données projet'!$E$16+1,1))-AVERAGE(OFFSET($H$3,0,0,'Données projet'!$E$16+1,1))</f>
        <v>#N/A</v>
      </c>
      <c r="FK128" s="57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7" t="e">
        <f t="shared" si="80"/>
        <v>#N/A</v>
      </c>
      <c r="GE128" s="57" t="e">
        <f ca="1">AVERAGE(OFFSET($GD$3,0,0,'Données projet'!$E$17+1,1))-AVERAGE(OFFSET($H$3,0,0,'Données projet'!$E$17+1,1))</f>
        <v>#N/A</v>
      </c>
      <c r="GF128" s="57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7" t="e">
        <f t="shared" si="83"/>
        <v>#N/A</v>
      </c>
      <c r="GZ128" s="57" t="e">
        <f ca="1">AVERAGE(OFFSET($GY$3,0,0,'Données projet'!$E$18+1,1))-AVERAGE(OFFSET($H$3,0,0,'Données projet'!$E$18+1,1))</f>
        <v>#N/A</v>
      </c>
      <c r="HA128" s="57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1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5">
        <f t="shared" si="56"/>
        <v>256.66666666666669</v>
      </c>
      <c r="I129" s="6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7" t="e">
        <f t="shared" si="55"/>
        <v>#NUM!</v>
      </c>
      <c r="S129" s="57">
        <f ca="1">AVERAGE(OFFSET($R$3,0,0,'Données projet'!$E$9+1,1))-AVERAGE(OFFSET($H$3,0,0,'Données projet'!$E$9+1,1))</f>
        <v>373.45926089889866</v>
      </c>
      <c r="T129" s="57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123.86552648612228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123.86552648612228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-1.0818439477588981E-13</v>
      </c>
      <c r="AK129" s="13" t="e">
        <f t="shared" si="89"/>
        <v>#NUM!</v>
      </c>
      <c r="AL129" s="20" t="e">
        <f t="shared" si="58"/>
        <v>#NUM!</v>
      </c>
      <c r="AM129" s="57" t="e">
        <f t="shared" si="59"/>
        <v>#NUM!</v>
      </c>
      <c r="AN129" s="57">
        <f ca="1">AVERAGE(OFFSET($AM$3,0,0,'Données projet'!$E$10+1,1))-AVERAGE(OFFSET($H$3,0,0,'Données projet'!$E$10+1,1))</f>
        <v>390.70240761116355</v>
      </c>
      <c r="AO129" s="57">
        <f t="shared" si="90"/>
        <v>241.18285512887638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130.27236406299065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130.27236406299065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-1.0995790944434703E-13</v>
      </c>
      <c r="BF129" s="13" t="e">
        <f t="shared" si="91"/>
        <v>#NUM!</v>
      </c>
      <c r="BG129" s="20" t="e">
        <f t="shared" si="61"/>
        <v>#NUM!</v>
      </c>
      <c r="BH129" s="57" t="e">
        <f t="shared" si="62"/>
        <v>#NUM!</v>
      </c>
      <c r="BI129" s="57">
        <f ca="1">AVERAGE(OFFSET($BH$3,0,0,'Données projet'!$E$11+1,1))-AVERAGE(OFFSET($H$3,0,0,'Données projet'!$E$11+1,1))</f>
        <v>396.44612884768748</v>
      </c>
      <c r="BJ129" s="57">
        <f t="shared" si="92"/>
        <v>244.451492444461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132.40797658861345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132.40797658861345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3.4106051316484809E-13</v>
      </c>
      <c r="BZ129" s="13">
        <f>BY129*VLOOKUP('Données projet'!$B$12,Paramètres!$A$1:$I$89,3,0)*VLOOKUP('Données projet'!$B$12,Paramètres!$A$1:$I$89,5,0)</f>
        <v>2.0395418687257919E-13</v>
      </c>
      <c r="CA129" s="13">
        <f t="shared" si="93"/>
        <v>2.8200388570161721E-12</v>
      </c>
      <c r="CB129" s="20">
        <f t="shared" si="64"/>
        <v>5.2667878847729083E-12</v>
      </c>
      <c r="CC129" s="57">
        <f t="shared" si="65"/>
        <v>293.3333333333386</v>
      </c>
      <c r="CD129" s="57">
        <f ca="1">AVERAGE(OFFSET($CC$3,0,0,'Données projet'!$E$12+1,1))-AVERAGE(OFFSET($H$3,0,0,'Données projet'!$E$12+1,1))</f>
        <v>259.64096626089821</v>
      </c>
      <c r="CE129" s="57">
        <f t="shared" si="94"/>
        <v>258.1415293081597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40.830130640984109</v>
      </c>
      <c r="CL129" s="21">
        <f>EXP(-LN(2)/25)*CL128+(1-EXP(-LN(2)/25))/(LN(2)/25)*Calculateur!CG129*Calculateur!CI129*VLOOKUP('Données projet'!$B$12,Paramètres!$A$1:$I$89,3,0)*0.475*44/12</f>
        <v>5.6856492995417973</v>
      </c>
      <c r="CM129" s="21">
        <f>EXP(-LN(2)/2)*CM128+(1-EXP(-LN(2)/2))/(LN(2)/2)*CG129*CJ129*VLOOKUP('Données projet'!$B$12,Paramètres!$A$1:$I$89,3,0)*0.475*44/12</f>
        <v>3.1611961147557683E-9</v>
      </c>
      <c r="CN129" s="22">
        <f t="shared" si="66"/>
        <v>46.5157799436871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-1.223725121235475E-13</v>
      </c>
      <c r="CV129" s="13" t="e">
        <f t="shared" si="95"/>
        <v>#NUM!</v>
      </c>
      <c r="CW129" s="20" t="e">
        <f t="shared" si="67"/>
        <v>#NUM!</v>
      </c>
      <c r="CX129" s="57" t="e">
        <f t="shared" si="68"/>
        <v>#NUM!</v>
      </c>
      <c r="CY129" s="57">
        <f ca="1">AVERAGE(OFFSET($CX$3,0,0,'Données projet'!$E$13+1,1))-AVERAGE(OFFSET($H$3,0,0,'Données projet'!$E$13+1,1))</f>
        <v>436.59978658837537</v>
      </c>
      <c r="CZ129" s="57">
        <f t="shared" si="96"/>
        <v>267.2998309535638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147.35726426797305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147.35726426797305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-1.0818439477588981E-13</v>
      </c>
      <c r="DQ129" s="13" t="e">
        <f t="shared" si="97"/>
        <v>#NUM!</v>
      </c>
      <c r="DR129" s="20" t="e">
        <f t="shared" si="70"/>
        <v>#NUM!</v>
      </c>
      <c r="DS129" s="57" t="e">
        <f t="shared" si="71"/>
        <v>#NUM!</v>
      </c>
      <c r="DT129" s="57">
        <f ca="1">AVERAGE(OFFSET($DS$3,0,0,'Données projet'!$E$14+1,1))-AVERAGE(OFFSET($H$3,0,0,'Données projet'!$E$14+1,1))</f>
        <v>292.95981568144879</v>
      </c>
      <c r="DU129" s="57">
        <f t="shared" si="98"/>
        <v>152.23954167722536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94.61122340950061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94.61122340950061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7" t="e">
        <f t="shared" si="74"/>
        <v>#N/A</v>
      </c>
      <c r="EO129" s="57" t="e">
        <f ca="1">AVERAGE(OFFSET($EN$3,0,0,'Données projet'!$E$15+1,1))-AVERAGE(OFFSET($H$3,0,0,'Données projet'!$E$15+1,1))</f>
        <v>#N/A</v>
      </c>
      <c r="EP129" s="57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7" t="e">
        <f t="shared" si="77"/>
        <v>#N/A</v>
      </c>
      <c r="FJ129" s="57" t="e">
        <f ca="1">AVERAGE(OFFSET($FI$3,0,0,'Données projet'!$E$16+1,1))-AVERAGE(OFFSET($H$3,0,0,'Données projet'!$E$16+1,1))</f>
        <v>#N/A</v>
      </c>
      <c r="FK129" s="57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7" t="e">
        <f t="shared" si="80"/>
        <v>#N/A</v>
      </c>
      <c r="GE129" s="57" t="e">
        <f ca="1">AVERAGE(OFFSET($GD$3,0,0,'Données projet'!$E$17+1,1))-AVERAGE(OFFSET($H$3,0,0,'Données projet'!$E$17+1,1))</f>
        <v>#N/A</v>
      </c>
      <c r="GF129" s="57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7" t="e">
        <f t="shared" si="83"/>
        <v>#N/A</v>
      </c>
      <c r="GZ129" s="57" t="e">
        <f ca="1">AVERAGE(OFFSET($GY$3,0,0,'Données projet'!$E$18+1,1))-AVERAGE(OFFSET($H$3,0,0,'Données projet'!$E$18+1,1))</f>
        <v>#N/A</v>
      </c>
      <c r="HA129" s="57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1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5">
        <f t="shared" si="56"/>
        <v>256.66666666666669</v>
      </c>
      <c r="I130" s="6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7" t="e">
        <f t="shared" si="55"/>
        <v>#NUM!</v>
      </c>
      <c r="S130" s="57">
        <f ca="1">AVERAGE(OFFSET($R$3,0,0,'Données projet'!$E$9+1,1))-AVERAGE(OFFSET($H$3,0,0,'Données projet'!$E$9+1,1))</f>
        <v>373.45926089889866</v>
      </c>
      <c r="T130" s="57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121.43659906224059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121.43659906224059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-1.0818439477588981E-13</v>
      </c>
      <c r="AK130" s="13" t="e">
        <f t="shared" si="89"/>
        <v>#NUM!</v>
      </c>
      <c r="AL130" s="20" t="e">
        <f t="shared" si="58"/>
        <v>#NUM!</v>
      </c>
      <c r="AM130" s="57" t="e">
        <f t="shared" si="59"/>
        <v>#NUM!</v>
      </c>
      <c r="AN130" s="57">
        <f ca="1">AVERAGE(OFFSET($AM$3,0,0,'Données projet'!$E$10+1,1))-AVERAGE(OFFSET($H$3,0,0,'Données projet'!$E$10+1,1))</f>
        <v>390.70240761116355</v>
      </c>
      <c r="AO130" s="57">
        <f t="shared" si="90"/>
        <v>241.18285512887638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127.71780246201162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127.71780246201162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-1.0995790944434703E-13</v>
      </c>
      <c r="BF130" s="13" t="e">
        <f t="shared" si="91"/>
        <v>#NUM!</v>
      </c>
      <c r="BG130" s="20" t="e">
        <f t="shared" si="61"/>
        <v>#NUM!</v>
      </c>
      <c r="BH130" s="57" t="e">
        <f t="shared" si="62"/>
        <v>#NUM!</v>
      </c>
      <c r="BI130" s="57">
        <f ca="1">AVERAGE(OFFSET($BH$3,0,0,'Données projet'!$E$11+1,1))-AVERAGE(OFFSET($H$3,0,0,'Données projet'!$E$11+1,1))</f>
        <v>396.44612884768748</v>
      </c>
      <c r="BJ130" s="57">
        <f t="shared" si="92"/>
        <v>244.451492444461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129.81153692860198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129.81153692860198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3.4106051316484809E-13</v>
      </c>
      <c r="BZ130" s="13">
        <f>BY130*VLOOKUP('Données projet'!$B$12,Paramètres!$A$1:$I$89,3,0)*VLOOKUP('Données projet'!$B$12,Paramètres!$A$1:$I$89,5,0)</f>
        <v>2.0395418687257919E-13</v>
      </c>
      <c r="CA130" s="13">
        <f t="shared" si="93"/>
        <v>2.8200388570161721E-12</v>
      </c>
      <c r="CB130" s="20">
        <f t="shared" si="64"/>
        <v>5.2667878847729083E-12</v>
      </c>
      <c r="CC130" s="57">
        <f t="shared" si="65"/>
        <v>293.3333333333386</v>
      </c>
      <c r="CD130" s="57">
        <f ca="1">AVERAGE(OFFSET($CC$3,0,0,'Données projet'!$E$12+1,1))-AVERAGE(OFFSET($H$3,0,0,'Données projet'!$E$12+1,1))</f>
        <v>259.64096626089821</v>
      </c>
      <c r="CE130" s="57">
        <f t="shared" si="94"/>
        <v>258.1415293081597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40.029476683035043</v>
      </c>
      <c r="CL130" s="21">
        <f>EXP(-LN(2)/25)*CL129+(1-EXP(-LN(2)/25))/(LN(2)/25)*Calculateur!CG130*Calculateur!CI130*VLOOKUP('Données projet'!$B$12,Paramètres!$A$1:$I$89,3,0)*0.475*44/12</f>
        <v>5.5301749204505253</v>
      </c>
      <c r="CM130" s="21">
        <f>EXP(-LN(2)/2)*CM129+(1-EXP(-LN(2)/2))/(LN(2)/2)*CG130*CJ130*VLOOKUP('Données projet'!$B$12,Paramètres!$A$1:$I$89,3,0)*0.475*44/12</f>
        <v>2.2353032094043712E-9</v>
      </c>
      <c r="CN130" s="22">
        <f t="shared" si="66"/>
        <v>45.559651605720873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-1.223725121235475E-13</v>
      </c>
      <c r="CV130" s="13" t="e">
        <f t="shared" si="95"/>
        <v>#NUM!</v>
      </c>
      <c r="CW130" s="20" t="e">
        <f t="shared" si="67"/>
        <v>#NUM!</v>
      </c>
      <c r="CX130" s="57" t="e">
        <f t="shared" si="68"/>
        <v>#NUM!</v>
      </c>
      <c r="CY130" s="57">
        <f ca="1">AVERAGE(OFFSET($CX$3,0,0,'Données projet'!$E$13+1,1))-AVERAGE(OFFSET($H$3,0,0,'Données projet'!$E$13+1,1))</f>
        <v>436.59978658837537</v>
      </c>
      <c r="CZ130" s="57">
        <f t="shared" si="96"/>
        <v>267.2998309535638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144.46767819473448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144.46767819473448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-1.0818439477588981E-13</v>
      </c>
      <c r="DQ130" s="13" t="e">
        <f t="shared" si="97"/>
        <v>#NUM!</v>
      </c>
      <c r="DR130" s="20" t="e">
        <f t="shared" si="70"/>
        <v>#NUM!</v>
      </c>
      <c r="DS130" s="57" t="e">
        <f t="shared" si="71"/>
        <v>#NUM!</v>
      </c>
      <c r="DT130" s="57">
        <f ca="1">AVERAGE(OFFSET($DS$3,0,0,'Données projet'!$E$14+1,1))-AVERAGE(OFFSET($H$3,0,0,'Données projet'!$E$14+1,1))</f>
        <v>292.95981568144879</v>
      </c>
      <c r="DU130" s="57">
        <f t="shared" si="98"/>
        <v>152.23954167722536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92.755955025588477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92.755955025588477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7" t="e">
        <f t="shared" si="74"/>
        <v>#N/A</v>
      </c>
      <c r="EO130" s="57" t="e">
        <f ca="1">AVERAGE(OFFSET($EN$3,0,0,'Données projet'!$E$15+1,1))-AVERAGE(OFFSET($H$3,0,0,'Données projet'!$E$15+1,1))</f>
        <v>#N/A</v>
      </c>
      <c r="EP130" s="57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7" t="e">
        <f t="shared" si="77"/>
        <v>#N/A</v>
      </c>
      <c r="FJ130" s="57" t="e">
        <f ca="1">AVERAGE(OFFSET($FI$3,0,0,'Données projet'!$E$16+1,1))-AVERAGE(OFFSET($H$3,0,0,'Données projet'!$E$16+1,1))</f>
        <v>#N/A</v>
      </c>
      <c r="FK130" s="57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7" t="e">
        <f t="shared" si="80"/>
        <v>#N/A</v>
      </c>
      <c r="GE130" s="57" t="e">
        <f ca="1">AVERAGE(OFFSET($GD$3,0,0,'Données projet'!$E$17+1,1))-AVERAGE(OFFSET($H$3,0,0,'Données projet'!$E$17+1,1))</f>
        <v>#N/A</v>
      </c>
      <c r="GF130" s="57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7" t="e">
        <f t="shared" si="83"/>
        <v>#N/A</v>
      </c>
      <c r="GZ130" s="57" t="e">
        <f ca="1">AVERAGE(OFFSET($GY$3,0,0,'Données projet'!$E$18+1,1))-AVERAGE(OFFSET($H$3,0,0,'Données projet'!$E$18+1,1))</f>
        <v>#N/A</v>
      </c>
      <c r="HA130" s="57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1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5">
        <f t="shared" si="56"/>
        <v>256.66666666666669</v>
      </c>
      <c r="I131" s="6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7" t="e">
        <f t="shared" ref="R131:R194" si="109">Q131+(I131+J131)*44/12</f>
        <v>#NUM!</v>
      </c>
      <c r="S131" s="57">
        <f ca="1">AVERAGE(OFFSET($R$3,0,0,'Données projet'!$E$9+1,1))-AVERAGE(OFFSET($H$3,0,0,'Données projet'!$E$9+1,1))</f>
        <v>373.45926089889866</v>
      </c>
      <c r="T131" s="57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119.05530142364177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119.05530142364177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-1.0818439477588981E-13</v>
      </c>
      <c r="AK131" s="13" t="e">
        <f t="shared" si="89"/>
        <v>#NUM!</v>
      </c>
      <c r="AL131" s="20" t="e">
        <f t="shared" si="58"/>
        <v>#NUM!</v>
      </c>
      <c r="AM131" s="57" t="e">
        <f t="shared" si="59"/>
        <v>#NUM!</v>
      </c>
      <c r="AN131" s="57">
        <f ca="1">AVERAGE(OFFSET($AM$3,0,0,'Données projet'!$E$10+1,1))-AVERAGE(OFFSET($H$3,0,0,'Données projet'!$E$10+1,1))</f>
        <v>390.70240761116355</v>
      </c>
      <c r="AO131" s="57">
        <f t="shared" si="90"/>
        <v>241.18285512887638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125.21333425589907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125.21333425589907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-1.0995790944434703E-13</v>
      </c>
      <c r="BF131" s="13" t="e">
        <f t="shared" si="91"/>
        <v>#NUM!</v>
      </c>
      <c r="BG131" s="20" t="e">
        <f t="shared" si="61"/>
        <v>#NUM!</v>
      </c>
      <c r="BH131" s="57" t="e">
        <f t="shared" si="62"/>
        <v>#NUM!</v>
      </c>
      <c r="BI131" s="57">
        <f ca="1">AVERAGE(OFFSET($BH$3,0,0,'Données projet'!$E$11+1,1))-AVERAGE(OFFSET($H$3,0,0,'Données projet'!$E$11+1,1))</f>
        <v>396.44612884768748</v>
      </c>
      <c r="BJ131" s="57">
        <f t="shared" si="92"/>
        <v>244.451492444461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127.26601186665152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127.26601186665152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3.4106051316484809E-13</v>
      </c>
      <c r="BZ131" s="13">
        <f>BY131*VLOOKUP('Données projet'!$B$12,Paramètres!$A$1:$I$89,3,0)*VLOOKUP('Données projet'!$B$12,Paramètres!$A$1:$I$89,5,0)</f>
        <v>2.0395418687257919E-13</v>
      </c>
      <c r="CA131" s="13">
        <f t="shared" si="93"/>
        <v>2.8200388570161721E-12</v>
      </c>
      <c r="CB131" s="20">
        <f t="shared" si="64"/>
        <v>5.2667878847729083E-12</v>
      </c>
      <c r="CC131" s="57">
        <f t="shared" si="65"/>
        <v>293.3333333333386</v>
      </c>
      <c r="CD131" s="57">
        <f ca="1">AVERAGE(OFFSET($CC$3,0,0,'Données projet'!$E$12+1,1))-AVERAGE(OFFSET($H$3,0,0,'Données projet'!$E$12+1,1))</f>
        <v>259.64096626089821</v>
      </c>
      <c r="CE131" s="57">
        <f t="shared" si="94"/>
        <v>258.1415293081597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39.244523060850668</v>
      </c>
      <c r="CL131" s="21">
        <f>EXP(-LN(2)/25)*CL130+(1-EXP(-LN(2)/25))/(LN(2)/25)*Calculateur!CG131*Calculateur!CI131*VLOOKUP('Données projet'!$B$12,Paramètres!$A$1:$I$89,3,0)*0.475*44/12</f>
        <v>5.378951996431546</v>
      </c>
      <c r="CM131" s="21">
        <f>EXP(-LN(2)/2)*CM130+(1-EXP(-LN(2)/2))/(LN(2)/2)*CG131*CJ131*VLOOKUP('Données projet'!$B$12,Paramètres!$A$1:$I$89,3,0)*0.475*44/12</f>
        <v>1.5805980573778841E-9</v>
      </c>
      <c r="CN131" s="22">
        <f t="shared" si="66"/>
        <v>44.623475058862809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-1.223725121235475E-13</v>
      </c>
      <c r="CV131" s="13" t="e">
        <f t="shared" si="95"/>
        <v>#NUM!</v>
      </c>
      <c r="CW131" s="20" t="e">
        <f t="shared" si="67"/>
        <v>#NUM!</v>
      </c>
      <c r="CX131" s="57" t="e">
        <f t="shared" si="68"/>
        <v>#NUM!</v>
      </c>
      <c r="CY131" s="57">
        <f ca="1">AVERAGE(OFFSET($CX$3,0,0,'Données projet'!$E$13+1,1))-AVERAGE(OFFSET($H$3,0,0,'Données projet'!$E$13+1,1))</f>
        <v>436.59978658837537</v>
      </c>
      <c r="CZ131" s="57">
        <f t="shared" si="96"/>
        <v>267.2998309535638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141.63475514191865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141.63475514191865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-1.0818439477588981E-13</v>
      </c>
      <c r="DQ131" s="13" t="e">
        <f t="shared" si="97"/>
        <v>#NUM!</v>
      </c>
      <c r="DR131" s="20" t="e">
        <f t="shared" si="70"/>
        <v>#NUM!</v>
      </c>
      <c r="DS131" s="57" t="e">
        <f t="shared" si="71"/>
        <v>#NUM!</v>
      </c>
      <c r="DT131" s="57">
        <f ca="1">AVERAGE(OFFSET($DS$3,0,0,'Données projet'!$E$14+1,1))-AVERAGE(OFFSET($H$3,0,0,'Données projet'!$E$14+1,1))</f>
        <v>292.95981568144879</v>
      </c>
      <c r="DU131" s="57">
        <f t="shared" si="98"/>
        <v>152.23954167722536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90.937067323082886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90.937067323082886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7" t="e">
        <f t="shared" si="74"/>
        <v>#N/A</v>
      </c>
      <c r="EO131" s="57" t="e">
        <f ca="1">AVERAGE(OFFSET($EN$3,0,0,'Données projet'!$E$15+1,1))-AVERAGE(OFFSET($H$3,0,0,'Données projet'!$E$15+1,1))</f>
        <v>#N/A</v>
      </c>
      <c r="EP131" s="57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7" t="e">
        <f t="shared" si="77"/>
        <v>#N/A</v>
      </c>
      <c r="FJ131" s="57" t="e">
        <f ca="1">AVERAGE(OFFSET($FI$3,0,0,'Données projet'!$E$16+1,1))-AVERAGE(OFFSET($H$3,0,0,'Données projet'!$E$16+1,1))</f>
        <v>#N/A</v>
      </c>
      <c r="FK131" s="57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7" t="e">
        <f t="shared" si="80"/>
        <v>#N/A</v>
      </c>
      <c r="GE131" s="57" t="e">
        <f ca="1">AVERAGE(OFFSET($GD$3,0,0,'Données projet'!$E$17+1,1))-AVERAGE(OFFSET($H$3,0,0,'Données projet'!$E$17+1,1))</f>
        <v>#N/A</v>
      </c>
      <c r="GF131" s="57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7" t="e">
        <f t="shared" si="83"/>
        <v>#N/A</v>
      </c>
      <c r="GZ131" s="57" t="e">
        <f ca="1">AVERAGE(OFFSET($GY$3,0,0,'Données projet'!$E$18+1,1))-AVERAGE(OFFSET($H$3,0,0,'Données projet'!$E$18+1,1))</f>
        <v>#N/A</v>
      </c>
      <c r="HA131" s="57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1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5">
        <f t="shared" ref="H132:H195" si="110">(B132+E132+F132)*44/12+(C132+D132)*0.475*44/12</f>
        <v>256.66666666666669</v>
      </c>
      <c r="I132" s="6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7" t="e">
        <f t="shared" si="109"/>
        <v>#NUM!</v>
      </c>
      <c r="S132" s="57">
        <f ca="1">AVERAGE(OFFSET($R$3,0,0,'Données projet'!$E$9+1,1))-AVERAGE(OFFSET($H$3,0,0,'Données projet'!$E$9+1,1))</f>
        <v>373.45926089889866</v>
      </c>
      <c r="T132" s="57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116.72069957928773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116.72069957928773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-1.0818439477588981E-13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7" t="e">
        <f t="shared" ref="AM132:AM195" si="113">AL132+(AD132+AE132)*44/12</f>
        <v>#NUM!</v>
      </c>
      <c r="AN132" s="57">
        <f ca="1">AVERAGE(OFFSET($AM$3,0,0,'Données projet'!$E$10+1,1))-AVERAGE(OFFSET($H$3,0,0,'Données projet'!$E$10+1,1))</f>
        <v>390.70240761116355</v>
      </c>
      <c r="AO132" s="57">
        <f t="shared" si="90"/>
        <v>241.18285512887638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122.75797714373361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122.75797714373361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-1.0995790944434703E-13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7" t="e">
        <f t="shared" ref="BH132:BH195" si="116">BG132+(AY132+AZ132)*44/12</f>
        <v>#NUM!</v>
      </c>
      <c r="BI132" s="57">
        <f ca="1">AVERAGE(OFFSET($BH$3,0,0,'Données projet'!$E$11+1,1))-AVERAGE(OFFSET($H$3,0,0,'Données projet'!$E$11+1,1))</f>
        <v>396.44612884768748</v>
      </c>
      <c r="BJ132" s="57">
        <f t="shared" si="92"/>
        <v>244.451492444461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124.77040299854893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124.77040299854893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3.4106051316484809E-13</v>
      </c>
      <c r="BZ132" s="13">
        <f>BY132*VLOOKUP('Données projet'!$B$12,Paramètres!$A$1:$I$89,3,0)*VLOOKUP('Données projet'!$B$12,Paramètres!$A$1:$I$89,5,0)</f>
        <v>2.0395418687257919E-13</v>
      </c>
      <c r="CA132" s="13">
        <f t="shared" si="93"/>
        <v>2.8200388570161721E-12</v>
      </c>
      <c r="CB132" s="20">
        <f t="shared" ref="CB132:CB153" si="118">(BZ132+CA132)*0.475*44/12</f>
        <v>5.2667878847729083E-12</v>
      </c>
      <c r="CC132" s="57">
        <f t="shared" ref="CC132:CC195" si="119">CB132+(BT132+BU132)*44/12</f>
        <v>293.3333333333386</v>
      </c>
      <c r="CD132" s="57">
        <f ca="1">AVERAGE(OFFSET($CC$3,0,0,'Données projet'!$E$12+1,1))-AVERAGE(OFFSET($H$3,0,0,'Données projet'!$E$12+1,1))</f>
        <v>259.64096626089821</v>
      </c>
      <c r="CE132" s="57">
        <f t="shared" si="94"/>
        <v>258.1415293081597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38.47496190042289</v>
      </c>
      <c r="CL132" s="21">
        <f>EXP(-LN(2)/25)*CL131+(1-EXP(-LN(2)/25))/(LN(2)/25)*Calculateur!CG132*Calculateur!CI132*VLOOKUP('Données projet'!$B$12,Paramètres!$A$1:$I$89,3,0)*0.475*44/12</f>
        <v>5.2318642712223333</v>
      </c>
      <c r="CM132" s="21">
        <f>EXP(-LN(2)/2)*CM131+(1-EXP(-LN(2)/2))/(LN(2)/2)*CG132*CJ132*VLOOKUP('Données projet'!$B$12,Paramètres!$A$1:$I$89,3,0)*0.475*44/12</f>
        <v>1.1176516047021856E-9</v>
      </c>
      <c r="CN132" s="22">
        <f t="shared" ref="CN132:CN153" si="120">SUM(CK132:CM132)</f>
        <v>43.706826172762874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-1.223725121235475E-13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7" t="e">
        <f t="shared" ref="CX132:CX195" si="122">CW132+(CO132+CP132)*44/12</f>
        <v>#NUM!</v>
      </c>
      <c r="CY132" s="57">
        <f ca="1">AVERAGE(OFFSET($CX$3,0,0,'Données projet'!$E$13+1,1))-AVERAGE(OFFSET($H$3,0,0,'Données projet'!$E$13+1,1))</f>
        <v>436.59978658837537</v>
      </c>
      <c r="CZ132" s="57">
        <f t="shared" si="96"/>
        <v>267.2998309535638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138.8573839822561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138.8573839822561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-1.0818439477588981E-13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7" t="e">
        <f t="shared" ref="DS132:DS195" si="125">DR132+(DJ132+DK132)*44/12</f>
        <v>#NUM!</v>
      </c>
      <c r="DT132" s="57">
        <f ca="1">AVERAGE(OFFSET($DS$3,0,0,'Données projet'!$E$14+1,1))-AVERAGE(OFFSET($H$3,0,0,'Données projet'!$E$14+1,1))</f>
        <v>292.95981568144879</v>
      </c>
      <c r="DU132" s="57">
        <f t="shared" si="98"/>
        <v>152.23954167722536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89.153846899011469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89.153846899011469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7" t="e">
        <f t="shared" ref="EN132:EN195" si="128">EM132+(EE132+EF132)*44/12</f>
        <v>#N/A</v>
      </c>
      <c r="EO132" s="57" t="e">
        <f ca="1">AVERAGE(OFFSET($EN$3,0,0,'Données projet'!$E$15+1,1))-AVERAGE(OFFSET($H$3,0,0,'Données projet'!$E$15+1,1))</f>
        <v>#N/A</v>
      </c>
      <c r="EP132" s="57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7" t="e">
        <f t="shared" ref="FI132:FI195" si="131">FH132+(EZ132+FA132)*44/12</f>
        <v>#N/A</v>
      </c>
      <c r="FJ132" s="57" t="e">
        <f ca="1">AVERAGE(OFFSET($FI$3,0,0,'Données projet'!$E$16+1,1))-AVERAGE(OFFSET($H$3,0,0,'Données projet'!$E$16+1,1))</f>
        <v>#N/A</v>
      </c>
      <c r="FK132" s="57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7" t="e">
        <f t="shared" ref="GD132:GD195" si="134">GC132+(FU132+FV132)*44/12</f>
        <v>#N/A</v>
      </c>
      <c r="GE132" s="57" t="e">
        <f ca="1">AVERAGE(OFFSET($GD$3,0,0,'Données projet'!$E$17+1,1))-AVERAGE(OFFSET($H$3,0,0,'Données projet'!$E$17+1,1))</f>
        <v>#N/A</v>
      </c>
      <c r="GF132" s="57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7" t="e">
        <f t="shared" ref="GY132:GY195" si="137">GX132+(GP132+GQ132)*44/12</f>
        <v>#N/A</v>
      </c>
      <c r="GZ132" s="57" t="e">
        <f ca="1">AVERAGE(OFFSET($GY$3,0,0,'Données projet'!$E$18+1,1))-AVERAGE(OFFSET($H$3,0,0,'Données projet'!$E$18+1,1))</f>
        <v>#N/A</v>
      </c>
      <c r="HA132" s="57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1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5">
        <f t="shared" si="110"/>
        <v>256.66666666666669</v>
      </c>
      <c r="I133" s="6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7" t="e">
        <f t="shared" si="109"/>
        <v>#NUM!</v>
      </c>
      <c r="S133" s="57">
        <f ca="1">AVERAGE(OFFSET($R$3,0,0,'Données projet'!$E$9+1,1))-AVERAGE(OFFSET($H$3,0,0,'Données projet'!$E$9+1,1))</f>
        <v>373.45926089889866</v>
      </c>
      <c r="T133" s="57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114.43187785313495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114.43187785313495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-1.0818439477588981E-13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7" t="e">
        <f t="shared" si="113"/>
        <v>#NUM!</v>
      </c>
      <c r="AN133" s="57">
        <f ca="1">AVERAGE(OFFSET($AM$3,0,0,'Données projet'!$E$10+1,1))-AVERAGE(OFFSET($H$3,0,0,'Données projet'!$E$10+1,1))</f>
        <v>390.70240761116355</v>
      </c>
      <c r="AO133" s="57">
        <f t="shared" ref="AO133:AO196" si="144">$AO$3</f>
        <v>241.18285512887638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120.35076808691777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120.35076808691777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-1.0995790944434703E-13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7" t="e">
        <f t="shared" si="116"/>
        <v>#NUM!</v>
      </c>
      <c r="BI133" s="57">
        <f ca="1">AVERAGE(OFFSET($BH$3,0,0,'Données projet'!$E$11+1,1))-AVERAGE(OFFSET($H$3,0,0,'Données projet'!$E$11+1,1))</f>
        <v>396.44612884768748</v>
      </c>
      <c r="BJ133" s="57">
        <f t="shared" ref="BJ133:BJ196" si="146">$BJ$3</f>
        <v>244.451492444461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122.32373149817873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122.32373149817873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3.4106051316484809E-13</v>
      </c>
      <c r="BZ133" s="13">
        <f>BY133*VLOOKUP('Données projet'!$B$12,Paramètres!$A$1:$I$89,3,0)*VLOOKUP('Données projet'!$B$12,Paramètres!$A$1:$I$89,5,0)</f>
        <v>2.0395418687257919E-13</v>
      </c>
      <c r="CA133" s="13">
        <f t="shared" ref="CA133:CA153" si="147">EXP(-1.0587+0.8836*LN(BZ133)+0.284)</f>
        <v>2.8200388570161721E-12</v>
      </c>
      <c r="CB133" s="20">
        <f t="shared" si="118"/>
        <v>5.2667878847729083E-12</v>
      </c>
      <c r="CC133" s="57">
        <f t="shared" si="119"/>
        <v>293.3333333333386</v>
      </c>
      <c r="CD133" s="57">
        <f ca="1">AVERAGE(OFFSET($CC$3,0,0,'Données projet'!$E$12+1,1))-AVERAGE(OFFSET($H$3,0,0,'Données projet'!$E$12+1,1))</f>
        <v>259.64096626089821</v>
      </c>
      <c r="CE133" s="57">
        <f t="shared" ref="CE133:CE196" si="148">$CE$3</f>
        <v>258.1415293081597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37.720491364965142</v>
      </c>
      <c r="CL133" s="21">
        <f>EXP(-LN(2)/25)*CL132+(1-EXP(-LN(2)/25))/(LN(2)/25)*Calculateur!CG133*Calculateur!CI133*VLOOKUP('Données projet'!$B$12,Paramètres!$A$1:$I$89,3,0)*0.475*44/12</f>
        <v>5.0887986675939745</v>
      </c>
      <c r="CM133" s="21">
        <f>EXP(-LN(2)/2)*CM132+(1-EXP(-LN(2)/2))/(LN(2)/2)*CG133*CJ133*VLOOKUP('Données projet'!$B$12,Paramètres!$A$1:$I$89,3,0)*0.475*44/12</f>
        <v>7.9029902868894207E-10</v>
      </c>
      <c r="CN133" s="22">
        <f t="shared" si="120"/>
        <v>42.80929003334942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-1.223725121235475E-13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7" t="e">
        <f t="shared" si="122"/>
        <v>#NUM!</v>
      </c>
      <c r="CY133" s="57">
        <f ca="1">AVERAGE(OFFSET($CX$3,0,0,'Données projet'!$E$13+1,1))-AVERAGE(OFFSET($H$3,0,0,'Données projet'!$E$13+1,1))</f>
        <v>436.59978658837537</v>
      </c>
      <c r="CZ133" s="57">
        <f t="shared" ref="CZ133:CZ196" si="150">$CZ$3</f>
        <v>267.2998309535638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136.13447537700537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136.13447537700537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-1.0818439477588981E-13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7" t="e">
        <f t="shared" si="125"/>
        <v>#NUM!</v>
      </c>
      <c r="DT133" s="57">
        <f ca="1">AVERAGE(OFFSET($DS$3,0,0,'Données projet'!$E$14+1,1))-AVERAGE(OFFSET($H$3,0,0,'Données projet'!$E$14+1,1))</f>
        <v>292.95981568144879</v>
      </c>
      <c r="DU133" s="57">
        <f t="shared" ref="DU133:DU196" si="152">$DU$3</f>
        <v>152.23954167722536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87.405594339799038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87.405594339799038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7" t="e">
        <f t="shared" si="128"/>
        <v>#N/A</v>
      </c>
      <c r="EO133" s="57" t="e">
        <f ca="1">AVERAGE(OFFSET($EN$3,0,0,'Données projet'!$E$15+1,1))-AVERAGE(OFFSET($H$3,0,0,'Données projet'!$E$15+1,1))</f>
        <v>#N/A</v>
      </c>
      <c r="EP133" s="57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7" t="e">
        <f t="shared" si="131"/>
        <v>#N/A</v>
      </c>
      <c r="FJ133" s="57" t="e">
        <f ca="1">AVERAGE(OFFSET($FI$3,0,0,'Données projet'!$E$16+1,1))-AVERAGE(OFFSET($H$3,0,0,'Données projet'!$E$16+1,1))</f>
        <v>#N/A</v>
      </c>
      <c r="FK133" s="57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7" t="e">
        <f t="shared" si="134"/>
        <v>#N/A</v>
      </c>
      <c r="GE133" s="57" t="e">
        <f ca="1">AVERAGE(OFFSET($GD$3,0,0,'Données projet'!$E$17+1,1))-AVERAGE(OFFSET($H$3,0,0,'Données projet'!$E$17+1,1))</f>
        <v>#N/A</v>
      </c>
      <c r="GF133" s="57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7" t="e">
        <f t="shared" si="137"/>
        <v>#N/A</v>
      </c>
      <c r="GZ133" s="57" t="e">
        <f ca="1">AVERAGE(OFFSET($GY$3,0,0,'Données projet'!$E$18+1,1))-AVERAGE(OFFSET($H$3,0,0,'Données projet'!$E$18+1,1))</f>
        <v>#N/A</v>
      </c>
      <c r="HA133" s="57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1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5">
        <f t="shared" si="110"/>
        <v>256.66666666666669</v>
      </c>
      <c r="I134" s="6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7" t="e">
        <f t="shared" si="109"/>
        <v>#NUM!</v>
      </c>
      <c r="S134" s="57">
        <f ca="1">AVERAGE(OFFSET($R$3,0,0,'Données projet'!$E$9+1,1))-AVERAGE(OFFSET($H$3,0,0,'Données projet'!$E$9+1,1))</f>
        <v>373.45926089889866</v>
      </c>
      <c r="T134" s="57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112.18793852498862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112.18793852498862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-1.0818439477588981E-13</v>
      </c>
      <c r="AK134" s="13" t="e">
        <f t="shared" si="143"/>
        <v>#NUM!</v>
      </c>
      <c r="AL134" s="20" t="e">
        <f t="shared" si="112"/>
        <v>#NUM!</v>
      </c>
      <c r="AM134" s="57" t="e">
        <f t="shared" si="113"/>
        <v>#NUM!</v>
      </c>
      <c r="AN134" s="57">
        <f ca="1">AVERAGE(OFFSET($AM$3,0,0,'Données projet'!$E$10+1,1))-AVERAGE(OFFSET($H$3,0,0,'Données projet'!$E$10+1,1))</f>
        <v>390.70240761116355</v>
      </c>
      <c r="AO134" s="57">
        <f t="shared" si="144"/>
        <v>241.18285512887638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117.99076293145353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117.99076293145353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-1.0995790944434703E-13</v>
      </c>
      <c r="BF134" s="13" t="e">
        <f t="shared" si="145"/>
        <v>#NUM!</v>
      </c>
      <c r="BG134" s="20" t="e">
        <f t="shared" si="115"/>
        <v>#NUM!</v>
      </c>
      <c r="BH134" s="57" t="e">
        <f t="shared" si="116"/>
        <v>#NUM!</v>
      </c>
      <c r="BI134" s="57">
        <f ca="1">AVERAGE(OFFSET($BH$3,0,0,'Données projet'!$E$11+1,1))-AVERAGE(OFFSET($H$3,0,0,'Données projet'!$E$11+1,1))</f>
        <v>396.44612884768748</v>
      </c>
      <c r="BJ134" s="57">
        <f t="shared" si="146"/>
        <v>244.451492444461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119.92503773360852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119.92503773360852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3.4106051316484809E-13</v>
      </c>
      <c r="BZ134" s="13">
        <f>BY134*VLOOKUP('Données projet'!$B$12,Paramètres!$A$1:$I$89,3,0)*VLOOKUP('Données projet'!$B$12,Paramètres!$A$1:$I$89,5,0)</f>
        <v>2.0395418687257919E-13</v>
      </c>
      <c r="CA134" s="13">
        <f t="shared" si="147"/>
        <v>2.8200388570161721E-12</v>
      </c>
      <c r="CB134" s="20">
        <f t="shared" si="118"/>
        <v>5.2667878847729083E-12</v>
      </c>
      <c r="CC134" s="57">
        <f t="shared" si="119"/>
        <v>293.3333333333386</v>
      </c>
      <c r="CD134" s="57">
        <f ca="1">AVERAGE(OFFSET($CC$3,0,0,'Données projet'!$E$12+1,1))-AVERAGE(OFFSET($H$3,0,0,'Données projet'!$E$12+1,1))</f>
        <v>259.64096626089821</v>
      </c>
      <c r="CE134" s="57">
        <f t="shared" si="148"/>
        <v>258.1415293081597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36.98081553652613</v>
      </c>
      <c r="CL134" s="21">
        <f>EXP(-LN(2)/25)*CL133+(1-EXP(-LN(2)/25))/(LN(2)/25)*Calculateur!CG134*Calculateur!CI134*VLOOKUP('Données projet'!$B$12,Paramètres!$A$1:$I$89,3,0)*0.475*44/12</f>
        <v>4.949645200420326</v>
      </c>
      <c r="CM134" s="21">
        <f>EXP(-LN(2)/2)*CM133+(1-EXP(-LN(2)/2))/(LN(2)/2)*CG134*CJ134*VLOOKUP('Données projet'!$B$12,Paramètres!$A$1:$I$89,3,0)*0.475*44/12</f>
        <v>5.588258023510928E-10</v>
      </c>
      <c r="CN134" s="22">
        <f t="shared" si="120"/>
        <v>41.930460737505285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-1.223725121235475E-13</v>
      </c>
      <c r="CV134" s="13" t="e">
        <f t="shared" si="149"/>
        <v>#NUM!</v>
      </c>
      <c r="CW134" s="20" t="e">
        <f t="shared" si="121"/>
        <v>#NUM!</v>
      </c>
      <c r="CX134" s="57" t="e">
        <f t="shared" si="122"/>
        <v>#NUM!</v>
      </c>
      <c r="CY134" s="57">
        <f ca="1">AVERAGE(OFFSET($CX$3,0,0,'Données projet'!$E$13+1,1))-AVERAGE(OFFSET($H$3,0,0,'Données projet'!$E$13+1,1))</f>
        <v>436.59978658837537</v>
      </c>
      <c r="CZ134" s="57">
        <f t="shared" si="150"/>
        <v>267.2998309535638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133.46496134869338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133.46496134869338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-1.0818439477588981E-13</v>
      </c>
      <c r="DQ134" s="13" t="e">
        <f t="shared" si="151"/>
        <v>#NUM!</v>
      </c>
      <c r="DR134" s="20" t="e">
        <f t="shared" si="124"/>
        <v>#NUM!</v>
      </c>
      <c r="DS134" s="57" t="e">
        <f t="shared" si="125"/>
        <v>#NUM!</v>
      </c>
      <c r="DT134" s="57">
        <f ca="1">AVERAGE(OFFSET($DS$3,0,0,'Données projet'!$E$14+1,1))-AVERAGE(OFFSET($H$3,0,0,'Données projet'!$E$14+1,1))</f>
        <v>292.95981568144879</v>
      </c>
      <c r="DU134" s="57">
        <f t="shared" si="152"/>
        <v>152.23954167722536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85.691623946943992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85.691623946943992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7" t="e">
        <f t="shared" si="128"/>
        <v>#N/A</v>
      </c>
      <c r="EO134" s="57" t="e">
        <f ca="1">AVERAGE(OFFSET($EN$3,0,0,'Données projet'!$E$15+1,1))-AVERAGE(OFFSET($H$3,0,0,'Données projet'!$E$15+1,1))</f>
        <v>#N/A</v>
      </c>
      <c r="EP134" s="57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7" t="e">
        <f t="shared" si="131"/>
        <v>#N/A</v>
      </c>
      <c r="FJ134" s="57" t="e">
        <f ca="1">AVERAGE(OFFSET($FI$3,0,0,'Données projet'!$E$16+1,1))-AVERAGE(OFFSET($H$3,0,0,'Données projet'!$E$16+1,1))</f>
        <v>#N/A</v>
      </c>
      <c r="FK134" s="57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7" t="e">
        <f t="shared" si="134"/>
        <v>#N/A</v>
      </c>
      <c r="GE134" s="57" t="e">
        <f ca="1">AVERAGE(OFFSET($GD$3,0,0,'Données projet'!$E$17+1,1))-AVERAGE(OFFSET($H$3,0,0,'Données projet'!$E$17+1,1))</f>
        <v>#N/A</v>
      </c>
      <c r="GF134" s="57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7" t="e">
        <f t="shared" si="137"/>
        <v>#N/A</v>
      </c>
      <c r="GZ134" s="57" t="e">
        <f ca="1">AVERAGE(OFFSET($GY$3,0,0,'Données projet'!$E$18+1,1))-AVERAGE(OFFSET($H$3,0,0,'Données projet'!$E$18+1,1))</f>
        <v>#N/A</v>
      </c>
      <c r="HA134" s="57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1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5">
        <f t="shared" si="110"/>
        <v>256.66666666666669</v>
      </c>
      <c r="I135" s="6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7" t="e">
        <f t="shared" si="109"/>
        <v>#NUM!</v>
      </c>
      <c r="S135" s="57">
        <f ca="1">AVERAGE(OFFSET($R$3,0,0,'Données projet'!$E$9+1,1))-AVERAGE(OFFSET($H$3,0,0,'Données projet'!$E$9+1,1))</f>
        <v>373.45926089889866</v>
      </c>
      <c r="T135" s="57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109.98800147839941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109.98800147839941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-1.0818439477588981E-13</v>
      </c>
      <c r="AK135" s="13" t="e">
        <f t="shared" si="143"/>
        <v>#NUM!</v>
      </c>
      <c r="AL135" s="20" t="e">
        <f t="shared" si="112"/>
        <v>#NUM!</v>
      </c>
      <c r="AM135" s="57" t="e">
        <f t="shared" si="113"/>
        <v>#NUM!</v>
      </c>
      <c r="AN135" s="57">
        <f ca="1">AVERAGE(OFFSET($AM$3,0,0,'Données projet'!$E$10+1,1))-AVERAGE(OFFSET($H$3,0,0,'Données projet'!$E$10+1,1))</f>
        <v>390.70240761116355</v>
      </c>
      <c r="AO135" s="57">
        <f t="shared" si="144"/>
        <v>241.18285512887638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115.67703603762693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115.67703603762693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-1.0995790944434703E-13</v>
      </c>
      <c r="BF135" s="13" t="e">
        <f t="shared" si="145"/>
        <v>#NUM!</v>
      </c>
      <c r="BG135" s="20" t="e">
        <f t="shared" si="115"/>
        <v>#NUM!</v>
      </c>
      <c r="BH135" s="57" t="e">
        <f t="shared" si="116"/>
        <v>#NUM!</v>
      </c>
      <c r="BI135" s="57">
        <f ca="1">AVERAGE(OFFSET($BH$3,0,0,'Données projet'!$E$11+1,1))-AVERAGE(OFFSET($H$3,0,0,'Données projet'!$E$11+1,1))</f>
        <v>396.44612884768748</v>
      </c>
      <c r="BJ135" s="57">
        <f t="shared" si="146"/>
        <v>244.451492444461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117.57338089070281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117.57338089070281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3.4106051316484809E-13</v>
      </c>
      <c r="BZ135" s="13">
        <f>BY135*VLOOKUP('Données projet'!$B$12,Paramètres!$A$1:$I$89,3,0)*VLOOKUP('Données projet'!$B$12,Paramètres!$A$1:$I$89,5,0)</f>
        <v>2.0395418687257919E-13</v>
      </c>
      <c r="CA135" s="13">
        <f t="shared" si="147"/>
        <v>2.8200388570161721E-12</v>
      </c>
      <c r="CB135" s="20">
        <f t="shared" si="118"/>
        <v>5.2667878847729083E-12</v>
      </c>
      <c r="CC135" s="57">
        <f t="shared" si="119"/>
        <v>293.3333333333386</v>
      </c>
      <c r="CD135" s="57">
        <f ca="1">AVERAGE(OFFSET($CC$3,0,0,'Données projet'!$E$12+1,1))-AVERAGE(OFFSET($H$3,0,0,'Données projet'!$E$12+1,1))</f>
        <v>259.64096626089821</v>
      </c>
      <c r="CE135" s="57">
        <f t="shared" si="148"/>
        <v>258.1415293081597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36.255644299925102</v>
      </c>
      <c r="CL135" s="21">
        <f>EXP(-LN(2)/25)*CL134+(1-EXP(-LN(2)/25))/(LN(2)/25)*Calculateur!CG135*Calculateur!CI135*VLOOKUP('Données projet'!$B$12,Paramètres!$A$1:$I$89,3,0)*0.475*44/12</f>
        <v>4.8142968921243039</v>
      </c>
      <c r="CM135" s="21">
        <f>EXP(-LN(2)/2)*CM134+(1-EXP(-LN(2)/2))/(LN(2)/2)*CG135*CJ135*VLOOKUP('Données projet'!$B$12,Paramètres!$A$1:$I$89,3,0)*0.475*44/12</f>
        <v>3.9514951434447103E-10</v>
      </c>
      <c r="CN135" s="22">
        <f t="shared" si="120"/>
        <v>41.069941192444553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-1.223725121235475E-13</v>
      </c>
      <c r="CV135" s="13" t="e">
        <f t="shared" si="149"/>
        <v>#NUM!</v>
      </c>
      <c r="CW135" s="20" t="e">
        <f t="shared" si="121"/>
        <v>#NUM!</v>
      </c>
      <c r="CX135" s="57" t="e">
        <f t="shared" si="122"/>
        <v>#NUM!</v>
      </c>
      <c r="CY135" s="57">
        <f ca="1">AVERAGE(OFFSET($CX$3,0,0,'Données projet'!$E$13+1,1))-AVERAGE(OFFSET($H$3,0,0,'Données projet'!$E$13+1,1))</f>
        <v>436.59978658837537</v>
      </c>
      <c r="CZ135" s="57">
        <f t="shared" si="150"/>
        <v>267.2998309535638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130.8477948622338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130.8477948622338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-1.0818439477588981E-13</v>
      </c>
      <c r="DQ135" s="13" t="e">
        <f t="shared" si="151"/>
        <v>#NUM!</v>
      </c>
      <c r="DR135" s="20" t="e">
        <f t="shared" si="124"/>
        <v>#NUM!</v>
      </c>
      <c r="DS135" s="57" t="e">
        <f t="shared" si="125"/>
        <v>#NUM!</v>
      </c>
      <c r="DT135" s="57">
        <f ca="1">AVERAGE(OFFSET($DS$3,0,0,'Données projet'!$E$14+1,1))-AVERAGE(OFFSET($H$3,0,0,'Données projet'!$E$14+1,1))</f>
        <v>292.95981568144879</v>
      </c>
      <c r="DU135" s="57">
        <f t="shared" si="152"/>
        <v>152.23954167722536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84.011263468074119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84.011263468074119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7" t="e">
        <f t="shared" si="128"/>
        <v>#N/A</v>
      </c>
      <c r="EO135" s="57" t="e">
        <f ca="1">AVERAGE(OFFSET($EN$3,0,0,'Données projet'!$E$15+1,1))-AVERAGE(OFFSET($H$3,0,0,'Données projet'!$E$15+1,1))</f>
        <v>#N/A</v>
      </c>
      <c r="EP135" s="57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7" t="e">
        <f t="shared" si="131"/>
        <v>#N/A</v>
      </c>
      <c r="FJ135" s="57" t="e">
        <f ca="1">AVERAGE(OFFSET($FI$3,0,0,'Données projet'!$E$16+1,1))-AVERAGE(OFFSET($H$3,0,0,'Données projet'!$E$16+1,1))</f>
        <v>#N/A</v>
      </c>
      <c r="FK135" s="57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7" t="e">
        <f t="shared" si="134"/>
        <v>#N/A</v>
      </c>
      <c r="GE135" s="57" t="e">
        <f ca="1">AVERAGE(OFFSET($GD$3,0,0,'Données projet'!$E$17+1,1))-AVERAGE(OFFSET($H$3,0,0,'Données projet'!$E$17+1,1))</f>
        <v>#N/A</v>
      </c>
      <c r="GF135" s="57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7" t="e">
        <f t="shared" si="137"/>
        <v>#N/A</v>
      </c>
      <c r="GZ135" s="57" t="e">
        <f ca="1">AVERAGE(OFFSET($GY$3,0,0,'Données projet'!$E$18+1,1))-AVERAGE(OFFSET($H$3,0,0,'Données projet'!$E$18+1,1))</f>
        <v>#N/A</v>
      </c>
      <c r="HA135" s="57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1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5">
        <f t="shared" si="110"/>
        <v>256.66666666666669</v>
      </c>
      <c r="I136" s="6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7" t="e">
        <f t="shared" si="109"/>
        <v>#NUM!</v>
      </c>
      <c r="S136" s="57">
        <f ca="1">AVERAGE(OFFSET($R$3,0,0,'Données projet'!$E$9+1,1))-AVERAGE(OFFSET($H$3,0,0,'Données projet'!$E$9+1,1))</f>
        <v>373.45926089889866</v>
      </c>
      <c r="T136" s="57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107.83120385546471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107.83120385546471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-1.0818439477588981E-13</v>
      </c>
      <c r="AK136" s="13" t="e">
        <f t="shared" si="143"/>
        <v>#NUM!</v>
      </c>
      <c r="AL136" s="20" t="e">
        <f t="shared" si="112"/>
        <v>#NUM!</v>
      </c>
      <c r="AM136" s="57" t="e">
        <f t="shared" si="113"/>
        <v>#NUM!</v>
      </c>
      <c r="AN136" s="57">
        <f ca="1">AVERAGE(OFFSET($AM$3,0,0,'Données projet'!$E$10+1,1))-AVERAGE(OFFSET($H$3,0,0,'Données projet'!$E$10+1,1))</f>
        <v>390.70240761116355</v>
      </c>
      <c r="AO136" s="57">
        <f t="shared" si="144"/>
        <v>241.18285512887638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113.40867991695423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113.40867991695423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-1.0995790944434703E-13</v>
      </c>
      <c r="BF136" s="13" t="e">
        <f t="shared" si="145"/>
        <v>#NUM!</v>
      </c>
      <c r="BG136" s="20" t="e">
        <f t="shared" si="115"/>
        <v>#NUM!</v>
      </c>
      <c r="BH136" s="57" t="e">
        <f t="shared" si="116"/>
        <v>#NUM!</v>
      </c>
      <c r="BI136" s="57">
        <f ca="1">AVERAGE(OFFSET($BH$3,0,0,'Données projet'!$E$11+1,1))-AVERAGE(OFFSET($H$3,0,0,'Données projet'!$E$11+1,1))</f>
        <v>396.44612884768748</v>
      </c>
      <c r="BJ136" s="57">
        <f t="shared" si="146"/>
        <v>244.451492444461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115.26783860411743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115.26783860411743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3.4106051316484809E-13</v>
      </c>
      <c r="BZ136" s="13">
        <f>BY136*VLOOKUP('Données projet'!$B$12,Paramètres!$A$1:$I$89,3,0)*VLOOKUP('Données projet'!$B$12,Paramètres!$A$1:$I$89,5,0)</f>
        <v>2.0395418687257919E-13</v>
      </c>
      <c r="CA136" s="13">
        <f t="shared" si="147"/>
        <v>2.8200388570161721E-12</v>
      </c>
      <c r="CB136" s="20">
        <f t="shared" si="118"/>
        <v>5.2667878847729083E-12</v>
      </c>
      <c r="CC136" s="57">
        <f t="shared" si="119"/>
        <v>293.3333333333386</v>
      </c>
      <c r="CD136" s="57">
        <f ca="1">AVERAGE(OFFSET($CC$3,0,0,'Données projet'!$E$12+1,1))-AVERAGE(OFFSET($H$3,0,0,'Données projet'!$E$12+1,1))</f>
        <v>259.64096626089821</v>
      </c>
      <c r="CE136" s="57">
        <f t="shared" si="148"/>
        <v>258.1415293081597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35.544693228963041</v>
      </c>
      <c r="CL136" s="21">
        <f>EXP(-LN(2)/25)*CL135+(1-EXP(-LN(2)/25))/(LN(2)/25)*Calculateur!CG136*Calculateur!CI136*VLOOKUP('Données projet'!$B$12,Paramètres!$A$1:$I$89,3,0)*0.475*44/12</f>
        <v>4.6826496904362944</v>
      </c>
      <c r="CM136" s="21">
        <f>EXP(-LN(2)/2)*CM135+(1-EXP(-LN(2)/2))/(LN(2)/2)*CG136*CJ136*VLOOKUP('Données projet'!$B$12,Paramètres!$A$1:$I$89,3,0)*0.475*44/12</f>
        <v>2.794129011755464E-10</v>
      </c>
      <c r="CN136" s="22">
        <f t="shared" si="120"/>
        <v>40.227342919678748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-1.223725121235475E-13</v>
      </c>
      <c r="CV136" s="13" t="e">
        <f t="shared" si="149"/>
        <v>#NUM!</v>
      </c>
      <c r="CW136" s="20" t="e">
        <f t="shared" si="121"/>
        <v>#NUM!</v>
      </c>
      <c r="CX136" s="57" t="e">
        <f t="shared" si="122"/>
        <v>#NUM!</v>
      </c>
      <c r="CY136" s="57">
        <f ca="1">AVERAGE(OFFSET($CX$3,0,0,'Données projet'!$E$13+1,1))-AVERAGE(OFFSET($H$3,0,0,'Données projet'!$E$13+1,1))</f>
        <v>436.59978658837537</v>
      </c>
      <c r="CZ136" s="57">
        <f t="shared" si="150"/>
        <v>267.2998309535638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128.28194941425974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128.28194941425974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-1.0818439477588981E-13</v>
      </c>
      <c r="DQ136" s="13" t="e">
        <f t="shared" si="151"/>
        <v>#NUM!</v>
      </c>
      <c r="DR136" s="20" t="e">
        <f t="shared" si="124"/>
        <v>#NUM!</v>
      </c>
      <c r="DS136" s="57" t="e">
        <f t="shared" si="125"/>
        <v>#NUM!</v>
      </c>
      <c r="DT136" s="57">
        <f ca="1">AVERAGE(OFFSET($DS$3,0,0,'Données projet'!$E$14+1,1))-AVERAGE(OFFSET($H$3,0,0,'Données projet'!$E$14+1,1))</f>
        <v>292.95981568144879</v>
      </c>
      <c r="DU136" s="57">
        <f t="shared" si="152"/>
        <v>152.23954167722536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82.363853833276195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82.363853833276195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7" t="e">
        <f t="shared" si="128"/>
        <v>#N/A</v>
      </c>
      <c r="EO136" s="57" t="e">
        <f ca="1">AVERAGE(OFFSET($EN$3,0,0,'Données projet'!$E$15+1,1))-AVERAGE(OFFSET($H$3,0,0,'Données projet'!$E$15+1,1))</f>
        <v>#N/A</v>
      </c>
      <c r="EP136" s="57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7" t="e">
        <f t="shared" si="131"/>
        <v>#N/A</v>
      </c>
      <c r="FJ136" s="57" t="e">
        <f ca="1">AVERAGE(OFFSET($FI$3,0,0,'Données projet'!$E$16+1,1))-AVERAGE(OFFSET($H$3,0,0,'Données projet'!$E$16+1,1))</f>
        <v>#N/A</v>
      </c>
      <c r="FK136" s="57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7" t="e">
        <f t="shared" si="134"/>
        <v>#N/A</v>
      </c>
      <c r="GE136" s="57" t="e">
        <f ca="1">AVERAGE(OFFSET($GD$3,0,0,'Données projet'!$E$17+1,1))-AVERAGE(OFFSET($H$3,0,0,'Données projet'!$E$17+1,1))</f>
        <v>#N/A</v>
      </c>
      <c r="GF136" s="57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7" t="e">
        <f t="shared" si="137"/>
        <v>#N/A</v>
      </c>
      <c r="GZ136" s="57" t="e">
        <f ca="1">AVERAGE(OFFSET($GY$3,0,0,'Données projet'!$E$18+1,1))-AVERAGE(OFFSET($H$3,0,0,'Données projet'!$E$18+1,1))</f>
        <v>#N/A</v>
      </c>
      <c r="HA136" s="57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1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5">
        <f t="shared" si="110"/>
        <v>256.66666666666669</v>
      </c>
      <c r="I137" s="6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7" t="e">
        <f t="shared" si="109"/>
        <v>#NUM!</v>
      </c>
      <c r="S137" s="57">
        <f ca="1">AVERAGE(OFFSET($R$3,0,0,'Données projet'!$E$9+1,1))-AVERAGE(OFFSET($H$3,0,0,'Données projet'!$E$9+1,1))</f>
        <v>373.45926089889866</v>
      </c>
      <c r="T137" s="57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105.7166997183991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105.7166997183991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-1.0818439477588981E-13</v>
      </c>
      <c r="AK137" s="13" t="e">
        <f t="shared" si="143"/>
        <v>#NUM!</v>
      </c>
      <c r="AL137" s="20" t="e">
        <f t="shared" si="112"/>
        <v>#NUM!</v>
      </c>
      <c r="AM137" s="57" t="e">
        <f t="shared" si="113"/>
        <v>#NUM!</v>
      </c>
      <c r="AN137" s="57">
        <f ca="1">AVERAGE(OFFSET($AM$3,0,0,'Données projet'!$E$10+1,1))-AVERAGE(OFFSET($H$3,0,0,'Données projet'!$E$10+1,1))</f>
        <v>390.70240761116355</v>
      </c>
      <c r="AO137" s="57">
        <f t="shared" si="144"/>
        <v>241.18285512887638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111.18480487624728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111.18480487624728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-1.0995790944434703E-13</v>
      </c>
      <c r="BF137" s="13" t="e">
        <f t="shared" si="145"/>
        <v>#NUM!</v>
      </c>
      <c r="BG137" s="20" t="e">
        <f t="shared" si="115"/>
        <v>#NUM!</v>
      </c>
      <c r="BH137" s="57" t="e">
        <f t="shared" si="116"/>
        <v>#NUM!</v>
      </c>
      <c r="BI137" s="57">
        <f ca="1">AVERAGE(OFFSET($BH$3,0,0,'Données projet'!$E$11+1,1))-AVERAGE(OFFSET($H$3,0,0,'Données projet'!$E$11+1,1))</f>
        <v>396.44612884768748</v>
      </c>
      <c r="BJ137" s="57">
        <f t="shared" si="146"/>
        <v>244.451492444461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113.00750659553005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113.00750659553005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3.4106051316484809E-13</v>
      </c>
      <c r="BZ137" s="13">
        <f>BY137*VLOOKUP('Données projet'!$B$12,Paramètres!$A$1:$I$89,3,0)*VLOOKUP('Données projet'!$B$12,Paramètres!$A$1:$I$89,5,0)</f>
        <v>2.0395418687257919E-13</v>
      </c>
      <c r="CA137" s="13">
        <f t="shared" si="147"/>
        <v>2.8200388570161721E-12</v>
      </c>
      <c r="CB137" s="20">
        <f t="shared" si="118"/>
        <v>5.2667878847729083E-12</v>
      </c>
      <c r="CC137" s="57">
        <f t="shared" si="119"/>
        <v>293.3333333333386</v>
      </c>
      <c r="CD137" s="57">
        <f ca="1">AVERAGE(OFFSET($CC$3,0,0,'Données projet'!$E$12+1,1))-AVERAGE(OFFSET($H$3,0,0,'Données projet'!$E$12+1,1))</f>
        <v>259.64096626089821</v>
      </c>
      <c r="CE137" s="57">
        <f t="shared" si="148"/>
        <v>258.1415293081597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34.847683474865214</v>
      </c>
      <c r="CL137" s="21">
        <f>EXP(-LN(2)/25)*CL136+(1-EXP(-LN(2)/25))/(LN(2)/25)*Calculateur!CG137*Calculateur!CI137*VLOOKUP('Données projet'!$B$12,Paramètres!$A$1:$I$89,3,0)*0.475*44/12</f>
        <v>4.5546023884014692</v>
      </c>
      <c r="CM137" s="21">
        <f>EXP(-LN(2)/2)*CM136+(1-EXP(-LN(2)/2))/(LN(2)/2)*CG137*CJ137*VLOOKUP('Données projet'!$B$12,Paramètres!$A$1:$I$89,3,0)*0.475*44/12</f>
        <v>1.9757475717223552E-10</v>
      </c>
      <c r="CN137" s="22">
        <f t="shared" si="120"/>
        <v>39.402285863464257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-1.223725121235475E-13</v>
      </c>
      <c r="CV137" s="13" t="e">
        <f t="shared" si="149"/>
        <v>#NUM!</v>
      </c>
      <c r="CW137" s="20" t="e">
        <f t="shared" si="121"/>
        <v>#NUM!</v>
      </c>
      <c r="CX137" s="57" t="e">
        <f t="shared" si="122"/>
        <v>#NUM!</v>
      </c>
      <c r="CY137" s="57">
        <f ca="1">AVERAGE(OFFSET($CX$3,0,0,'Données projet'!$E$13+1,1))-AVERAGE(OFFSET($H$3,0,0,'Données projet'!$E$13+1,1))</f>
        <v>436.59978658837537</v>
      </c>
      <c r="CZ137" s="57">
        <f t="shared" si="150"/>
        <v>267.2998309535638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125.76641863050928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125.76641863050928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-1.0818439477588981E-13</v>
      </c>
      <c r="DQ137" s="13" t="e">
        <f t="shared" si="151"/>
        <v>#NUM!</v>
      </c>
      <c r="DR137" s="20" t="e">
        <f t="shared" si="124"/>
        <v>#NUM!</v>
      </c>
      <c r="DS137" s="57" t="e">
        <f t="shared" si="125"/>
        <v>#NUM!</v>
      </c>
      <c r="DT137" s="57">
        <f ca="1">AVERAGE(OFFSET($DS$3,0,0,'Données projet'!$E$14+1,1))-AVERAGE(OFFSET($H$3,0,0,'Données projet'!$E$14+1,1))</f>
        <v>292.95981568144879</v>
      </c>
      <c r="DU137" s="57">
        <f t="shared" si="152"/>
        <v>152.23954167722536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80.748748896595998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80.748748896595998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7" t="e">
        <f t="shared" si="128"/>
        <v>#N/A</v>
      </c>
      <c r="EO137" s="57" t="e">
        <f ca="1">AVERAGE(OFFSET($EN$3,0,0,'Données projet'!$E$15+1,1))-AVERAGE(OFFSET($H$3,0,0,'Données projet'!$E$15+1,1))</f>
        <v>#N/A</v>
      </c>
      <c r="EP137" s="57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7" t="e">
        <f t="shared" si="131"/>
        <v>#N/A</v>
      </c>
      <c r="FJ137" s="57" t="e">
        <f ca="1">AVERAGE(OFFSET($FI$3,0,0,'Données projet'!$E$16+1,1))-AVERAGE(OFFSET($H$3,0,0,'Données projet'!$E$16+1,1))</f>
        <v>#N/A</v>
      </c>
      <c r="FK137" s="57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7" t="e">
        <f t="shared" si="134"/>
        <v>#N/A</v>
      </c>
      <c r="GE137" s="57" t="e">
        <f ca="1">AVERAGE(OFFSET($GD$3,0,0,'Données projet'!$E$17+1,1))-AVERAGE(OFFSET($H$3,0,0,'Données projet'!$E$17+1,1))</f>
        <v>#N/A</v>
      </c>
      <c r="GF137" s="57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7" t="e">
        <f t="shared" si="137"/>
        <v>#N/A</v>
      </c>
      <c r="GZ137" s="57" t="e">
        <f ca="1">AVERAGE(OFFSET($GY$3,0,0,'Données projet'!$E$18+1,1))-AVERAGE(OFFSET($H$3,0,0,'Données projet'!$E$18+1,1))</f>
        <v>#N/A</v>
      </c>
      <c r="HA137" s="57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1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5">
        <f t="shared" si="110"/>
        <v>256.66666666666669</v>
      </c>
      <c r="I138" s="6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7" t="e">
        <f t="shared" si="109"/>
        <v>#NUM!</v>
      </c>
      <c r="S138" s="57">
        <f ca="1">AVERAGE(OFFSET($R$3,0,0,'Données projet'!$E$9+1,1))-AVERAGE(OFFSET($H$3,0,0,'Données projet'!$E$9+1,1))</f>
        <v>373.45926089889866</v>
      </c>
      <c r="T138" s="57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103.64365971774117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103.64365971774117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-1.0818439477588981E-13</v>
      </c>
      <c r="AK138" s="13" t="e">
        <f t="shared" si="143"/>
        <v>#NUM!</v>
      </c>
      <c r="AL138" s="20" t="e">
        <f t="shared" si="112"/>
        <v>#NUM!</v>
      </c>
      <c r="AM138" s="57" t="e">
        <f t="shared" si="113"/>
        <v>#NUM!</v>
      </c>
      <c r="AN138" s="57">
        <f ca="1">AVERAGE(OFFSET($AM$3,0,0,'Données projet'!$E$10+1,1))-AVERAGE(OFFSET($H$3,0,0,'Données projet'!$E$10+1,1))</f>
        <v>390.70240761116355</v>
      </c>
      <c r="AO138" s="57">
        <f t="shared" si="144"/>
        <v>241.18285512887638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109.00453866865877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109.00453866865877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-1.0995790944434703E-13</v>
      </c>
      <c r="BF138" s="13" t="e">
        <f t="shared" si="145"/>
        <v>#NUM!</v>
      </c>
      <c r="BG138" s="20" t="e">
        <f t="shared" si="115"/>
        <v>#NUM!</v>
      </c>
      <c r="BH138" s="57" t="e">
        <f t="shared" si="116"/>
        <v>#NUM!</v>
      </c>
      <c r="BI138" s="57">
        <f ca="1">AVERAGE(OFFSET($BH$3,0,0,'Données projet'!$E$11+1,1))-AVERAGE(OFFSET($H$3,0,0,'Données projet'!$E$11+1,1))</f>
        <v>396.44612884768748</v>
      </c>
      <c r="BJ138" s="57">
        <f t="shared" si="146"/>
        <v>244.451492444461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110.79149831896467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110.79149831896467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3.4106051316484809E-13</v>
      </c>
      <c r="BZ138" s="13">
        <f>BY138*VLOOKUP('Données projet'!$B$12,Paramètres!$A$1:$I$89,3,0)*VLOOKUP('Données projet'!$B$12,Paramètres!$A$1:$I$89,5,0)</f>
        <v>2.0395418687257919E-13</v>
      </c>
      <c r="CA138" s="13">
        <f t="shared" si="147"/>
        <v>2.8200388570161721E-12</v>
      </c>
      <c r="CB138" s="20">
        <f t="shared" si="118"/>
        <v>5.2667878847729083E-12</v>
      </c>
      <c r="CC138" s="57">
        <f t="shared" si="119"/>
        <v>293.3333333333386</v>
      </c>
      <c r="CD138" s="57">
        <f ca="1">AVERAGE(OFFSET($CC$3,0,0,'Données projet'!$E$12+1,1))-AVERAGE(OFFSET($H$3,0,0,'Données projet'!$E$12+1,1))</f>
        <v>259.64096626089821</v>
      </c>
      <c r="CE138" s="57">
        <f t="shared" si="148"/>
        <v>258.1415293081597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34.164341656911269</v>
      </c>
      <c r="CL138" s="21">
        <f>EXP(-LN(2)/25)*CL137+(1-EXP(-LN(2)/25))/(LN(2)/25)*Calculateur!CG138*Calculateur!CI138*VLOOKUP('Données projet'!$B$12,Paramètres!$A$1:$I$89,3,0)*0.475*44/12</f>
        <v>4.4300565465745008</v>
      </c>
      <c r="CM138" s="21">
        <f>EXP(-LN(2)/2)*CM137+(1-EXP(-LN(2)/2))/(LN(2)/2)*CG138*CJ138*VLOOKUP('Données projet'!$B$12,Paramètres!$A$1:$I$89,3,0)*0.475*44/12</f>
        <v>1.397064505877732E-10</v>
      </c>
      <c r="CN138" s="22">
        <f t="shared" si="120"/>
        <v>38.594398203625474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-1.223725121235475E-13</v>
      </c>
      <c r="CV138" s="13" t="e">
        <f t="shared" si="149"/>
        <v>#NUM!</v>
      </c>
      <c r="CW138" s="20" t="e">
        <f t="shared" si="121"/>
        <v>#NUM!</v>
      </c>
      <c r="CX138" s="57" t="e">
        <f t="shared" si="122"/>
        <v>#NUM!</v>
      </c>
      <c r="CY138" s="57">
        <f ca="1">AVERAGE(OFFSET($CX$3,0,0,'Données projet'!$E$13+1,1))-AVERAGE(OFFSET($H$3,0,0,'Données projet'!$E$13+1,1))</f>
        <v>436.59978658837537</v>
      </c>
      <c r="CZ138" s="57">
        <f t="shared" si="150"/>
        <v>267.2998309535638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123.30021587110588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123.30021587110588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-1.0818439477588981E-13</v>
      </c>
      <c r="DQ138" s="13" t="e">
        <f t="shared" si="151"/>
        <v>#NUM!</v>
      </c>
      <c r="DR138" s="20" t="e">
        <f t="shared" si="124"/>
        <v>#NUM!</v>
      </c>
      <c r="DS138" s="57" t="e">
        <f t="shared" si="125"/>
        <v>#NUM!</v>
      </c>
      <c r="DT138" s="57">
        <f ca="1">AVERAGE(OFFSET($DS$3,0,0,'Données projet'!$E$14+1,1))-AVERAGE(OFFSET($H$3,0,0,'Données projet'!$E$14+1,1))</f>
        <v>292.95981568144879</v>
      </c>
      <c r="DU138" s="57">
        <f t="shared" si="152"/>
        <v>152.23954167722536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79.165315182607358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79.165315182607358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7" t="e">
        <f t="shared" si="128"/>
        <v>#N/A</v>
      </c>
      <c r="EO138" s="57" t="e">
        <f ca="1">AVERAGE(OFFSET($EN$3,0,0,'Données projet'!$E$15+1,1))-AVERAGE(OFFSET($H$3,0,0,'Données projet'!$E$15+1,1))</f>
        <v>#N/A</v>
      </c>
      <c r="EP138" s="57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7" t="e">
        <f t="shared" si="131"/>
        <v>#N/A</v>
      </c>
      <c r="FJ138" s="57" t="e">
        <f ca="1">AVERAGE(OFFSET($FI$3,0,0,'Données projet'!$E$16+1,1))-AVERAGE(OFFSET($H$3,0,0,'Données projet'!$E$16+1,1))</f>
        <v>#N/A</v>
      </c>
      <c r="FK138" s="57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7" t="e">
        <f t="shared" si="134"/>
        <v>#N/A</v>
      </c>
      <c r="GE138" s="57" t="e">
        <f ca="1">AVERAGE(OFFSET($GD$3,0,0,'Données projet'!$E$17+1,1))-AVERAGE(OFFSET($H$3,0,0,'Données projet'!$E$17+1,1))</f>
        <v>#N/A</v>
      </c>
      <c r="GF138" s="57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7" t="e">
        <f t="shared" si="137"/>
        <v>#N/A</v>
      </c>
      <c r="GZ138" s="57" t="e">
        <f ca="1">AVERAGE(OFFSET($GY$3,0,0,'Données projet'!$E$18+1,1))-AVERAGE(OFFSET($H$3,0,0,'Données projet'!$E$18+1,1))</f>
        <v>#N/A</v>
      </c>
      <c r="HA138" s="57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1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5">
        <f t="shared" si="110"/>
        <v>256.66666666666669</v>
      </c>
      <c r="I139" s="6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7" t="e">
        <f t="shared" si="109"/>
        <v>#NUM!</v>
      </c>
      <c r="S139" s="57">
        <f ca="1">AVERAGE(OFFSET($R$3,0,0,'Données projet'!$E$9+1,1))-AVERAGE(OFFSET($H$3,0,0,'Données projet'!$E$9+1,1))</f>
        <v>373.45926089889866</v>
      </c>
      <c r="T139" s="57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101.6112707670666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101.6112707670666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-1.0818439477588981E-13</v>
      </c>
      <c r="AK139" s="13" t="e">
        <f t="shared" si="143"/>
        <v>#NUM!</v>
      </c>
      <c r="AL139" s="20" t="e">
        <f t="shared" si="112"/>
        <v>#NUM!</v>
      </c>
      <c r="AM139" s="57" t="e">
        <f t="shared" si="113"/>
        <v>#NUM!</v>
      </c>
      <c r="AN139" s="57">
        <f ca="1">AVERAGE(OFFSET($AM$3,0,0,'Données projet'!$E$10+1,1))-AVERAGE(OFFSET($H$3,0,0,'Données projet'!$E$10+1,1))</f>
        <v>390.70240761116355</v>
      </c>
      <c r="AO139" s="57">
        <f t="shared" si="144"/>
        <v>241.18285512887638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106.86702615156999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106.86702615156999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-1.0995790944434703E-13</v>
      </c>
      <c r="BF139" s="13" t="e">
        <f t="shared" si="145"/>
        <v>#NUM!</v>
      </c>
      <c r="BG139" s="20" t="e">
        <f t="shared" si="115"/>
        <v>#NUM!</v>
      </c>
      <c r="BH139" s="57" t="e">
        <f t="shared" si="116"/>
        <v>#NUM!</v>
      </c>
      <c r="BI139" s="57">
        <f ca="1">AVERAGE(OFFSET($BH$3,0,0,'Données projet'!$E$11+1,1))-AVERAGE(OFFSET($H$3,0,0,'Données projet'!$E$11+1,1))</f>
        <v>396.44612884768748</v>
      </c>
      <c r="BJ139" s="57">
        <f t="shared" si="146"/>
        <v>244.451492444461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108.61894461307116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108.61894461307116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3.4106051316484809E-13</v>
      </c>
      <c r="BZ139" s="13">
        <f>BY139*VLOOKUP('Données projet'!$B$12,Paramètres!$A$1:$I$89,3,0)*VLOOKUP('Données projet'!$B$12,Paramètres!$A$1:$I$89,5,0)</f>
        <v>2.0395418687257919E-13</v>
      </c>
      <c r="CA139" s="13">
        <f t="shared" si="147"/>
        <v>2.8200388570161721E-12</v>
      </c>
      <c r="CB139" s="20">
        <f t="shared" si="118"/>
        <v>5.2667878847729083E-12</v>
      </c>
      <c r="CC139" s="57">
        <f t="shared" si="119"/>
        <v>293.3333333333386</v>
      </c>
      <c r="CD139" s="57">
        <f ca="1">AVERAGE(OFFSET($CC$3,0,0,'Données projet'!$E$12+1,1))-AVERAGE(OFFSET($H$3,0,0,'Données projet'!$E$12+1,1))</f>
        <v>259.64096626089821</v>
      </c>
      <c r="CE139" s="57">
        <f t="shared" si="148"/>
        <v>258.1415293081597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33.494399755210047</v>
      </c>
      <c r="CL139" s="21">
        <f>EXP(-LN(2)/25)*CL138+(1-EXP(-LN(2)/25))/(LN(2)/25)*Calculateur!CG139*Calculateur!CI139*VLOOKUP('Données projet'!$B$12,Paramètres!$A$1:$I$89,3,0)*0.475*44/12</f>
        <v>4.3089164173418721</v>
      </c>
      <c r="CM139" s="21">
        <f>EXP(-LN(2)/2)*CM138+(1-EXP(-LN(2)/2))/(LN(2)/2)*CG139*CJ139*VLOOKUP('Données projet'!$B$12,Paramètres!$A$1:$I$89,3,0)*0.475*44/12</f>
        <v>9.8787378586117758E-11</v>
      </c>
      <c r="CN139" s="22">
        <f t="shared" si="120"/>
        <v>37.803316172650703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-1.223725121235475E-13</v>
      </c>
      <c r="CV139" s="13" t="e">
        <f t="shared" si="149"/>
        <v>#NUM!</v>
      </c>
      <c r="CW139" s="20" t="e">
        <f t="shared" si="121"/>
        <v>#NUM!</v>
      </c>
      <c r="CX139" s="57" t="e">
        <f t="shared" si="122"/>
        <v>#NUM!</v>
      </c>
      <c r="CY139" s="57">
        <f ca="1">AVERAGE(OFFSET($CX$3,0,0,'Données projet'!$E$13+1,1))-AVERAGE(OFFSET($H$3,0,0,'Données projet'!$E$13+1,1))</f>
        <v>436.59978658837537</v>
      </c>
      <c r="CZ139" s="57">
        <f t="shared" si="150"/>
        <v>267.2998309535638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120.88237384357923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120.88237384357923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-1.0818439477588981E-13</v>
      </c>
      <c r="DQ139" s="13" t="e">
        <f t="shared" si="151"/>
        <v>#NUM!</v>
      </c>
      <c r="DR139" s="20" t="e">
        <f t="shared" si="124"/>
        <v>#NUM!</v>
      </c>
      <c r="DS139" s="57" t="e">
        <f t="shared" si="125"/>
        <v>#NUM!</v>
      </c>
      <c r="DT139" s="57">
        <f ca="1">AVERAGE(OFFSET($DS$3,0,0,'Données projet'!$E$14+1,1))-AVERAGE(OFFSET($H$3,0,0,'Données projet'!$E$14+1,1))</f>
        <v>292.95981568144879</v>
      </c>
      <c r="DU139" s="57">
        <f t="shared" si="152"/>
        <v>152.23954167722536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77.612931637950837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77.612931637950837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7" t="e">
        <f t="shared" si="128"/>
        <v>#N/A</v>
      </c>
      <c r="EO139" s="57" t="e">
        <f ca="1">AVERAGE(OFFSET($EN$3,0,0,'Données projet'!$E$15+1,1))-AVERAGE(OFFSET($H$3,0,0,'Données projet'!$E$15+1,1))</f>
        <v>#N/A</v>
      </c>
      <c r="EP139" s="57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7" t="e">
        <f t="shared" si="131"/>
        <v>#N/A</v>
      </c>
      <c r="FJ139" s="57" t="e">
        <f ca="1">AVERAGE(OFFSET($FI$3,0,0,'Données projet'!$E$16+1,1))-AVERAGE(OFFSET($H$3,0,0,'Données projet'!$E$16+1,1))</f>
        <v>#N/A</v>
      </c>
      <c r="FK139" s="57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7" t="e">
        <f t="shared" si="134"/>
        <v>#N/A</v>
      </c>
      <c r="GE139" s="57" t="e">
        <f ca="1">AVERAGE(OFFSET($GD$3,0,0,'Données projet'!$E$17+1,1))-AVERAGE(OFFSET($H$3,0,0,'Données projet'!$E$17+1,1))</f>
        <v>#N/A</v>
      </c>
      <c r="GF139" s="57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7" t="e">
        <f t="shared" si="137"/>
        <v>#N/A</v>
      </c>
      <c r="GZ139" s="57" t="e">
        <f ca="1">AVERAGE(OFFSET($GY$3,0,0,'Données projet'!$E$18+1,1))-AVERAGE(OFFSET($H$3,0,0,'Données projet'!$E$18+1,1))</f>
        <v>#N/A</v>
      </c>
      <c r="HA139" s="57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1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5">
        <f t="shared" si="110"/>
        <v>256.66666666666669</v>
      </c>
      <c r="I140" s="6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7" t="e">
        <f t="shared" si="109"/>
        <v>#NUM!</v>
      </c>
      <c r="S140" s="57">
        <f ca="1">AVERAGE(OFFSET($R$3,0,0,'Données projet'!$E$9+1,1))-AVERAGE(OFFSET($H$3,0,0,'Données projet'!$E$9+1,1))</f>
        <v>373.45926089889866</v>
      </c>
      <c r="T140" s="57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99.618735724079897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99.618735724079897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-1.0818439477588981E-13</v>
      </c>
      <c r="AK140" s="13" t="e">
        <f t="shared" si="143"/>
        <v>#NUM!</v>
      </c>
      <c r="AL140" s="20" t="e">
        <f t="shared" si="112"/>
        <v>#NUM!</v>
      </c>
      <c r="AM140" s="57" t="e">
        <f t="shared" si="113"/>
        <v>#NUM!</v>
      </c>
      <c r="AN140" s="57">
        <f ca="1">AVERAGE(OFFSET($AM$3,0,0,'Données projet'!$E$10+1,1))-AVERAGE(OFFSET($H$3,0,0,'Données projet'!$E$10+1,1))</f>
        <v>390.70240761116355</v>
      </c>
      <c r="AO140" s="57">
        <f t="shared" si="144"/>
        <v>241.18285512887638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104.77142895118742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104.77142895118742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-1.0995790944434703E-13</v>
      </c>
      <c r="BF140" s="13" t="e">
        <f t="shared" si="145"/>
        <v>#NUM!</v>
      </c>
      <c r="BG140" s="20" t="e">
        <f t="shared" si="115"/>
        <v>#NUM!</v>
      </c>
      <c r="BH140" s="57" t="e">
        <f t="shared" si="116"/>
        <v>#NUM!</v>
      </c>
      <c r="BI140" s="57">
        <f ca="1">AVERAGE(OFFSET($BH$3,0,0,'Données projet'!$E$11+1,1))-AVERAGE(OFFSET($H$3,0,0,'Données projet'!$E$11+1,1))</f>
        <v>396.44612884768748</v>
      </c>
      <c r="BJ140" s="57">
        <f t="shared" si="146"/>
        <v>244.451492444461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106.4889933602233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106.4889933602233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3.4106051316484809E-13</v>
      </c>
      <c r="BZ140" s="13">
        <f>BY140*VLOOKUP('Données projet'!$B$12,Paramètres!$A$1:$I$89,3,0)*VLOOKUP('Données projet'!$B$12,Paramètres!$A$1:$I$89,5,0)</f>
        <v>2.0395418687257919E-13</v>
      </c>
      <c r="CA140" s="13">
        <f t="shared" si="147"/>
        <v>2.8200388570161721E-12</v>
      </c>
      <c r="CB140" s="20">
        <f t="shared" si="118"/>
        <v>5.2667878847729083E-12</v>
      </c>
      <c r="CC140" s="57">
        <f t="shared" si="119"/>
        <v>293.3333333333386</v>
      </c>
      <c r="CD140" s="57">
        <f ca="1">AVERAGE(OFFSET($CC$3,0,0,'Données projet'!$E$12+1,1))-AVERAGE(OFFSET($H$3,0,0,'Données projet'!$E$12+1,1))</f>
        <v>259.64096626089821</v>
      </c>
      <c r="CE140" s="57">
        <f t="shared" si="148"/>
        <v>258.1415293081597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32.837595005576979</v>
      </c>
      <c r="CL140" s="21">
        <f>EXP(-LN(2)/25)*CL139+(1-EXP(-LN(2)/25))/(LN(2)/25)*Calculateur!CG140*Calculateur!CI140*VLOOKUP('Données projet'!$B$12,Paramètres!$A$1:$I$89,3,0)*0.475*44/12</f>
        <v>4.1910888713135925</v>
      </c>
      <c r="CM140" s="21">
        <f>EXP(-LN(2)/2)*CM139+(1-EXP(-LN(2)/2))/(LN(2)/2)*CG140*CJ140*VLOOKUP('Données projet'!$B$12,Paramètres!$A$1:$I$89,3,0)*0.475*44/12</f>
        <v>6.9853225293886599E-11</v>
      </c>
      <c r="CN140" s="22">
        <f t="shared" si="120"/>
        <v>37.028683876960422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-1.223725121235475E-13</v>
      </c>
      <c r="CV140" s="13" t="e">
        <f t="shared" si="149"/>
        <v>#NUM!</v>
      </c>
      <c r="CW140" s="20" t="e">
        <f t="shared" si="121"/>
        <v>#NUM!</v>
      </c>
      <c r="CX140" s="57" t="e">
        <f t="shared" si="122"/>
        <v>#NUM!</v>
      </c>
      <c r="CY140" s="57">
        <f ca="1">AVERAGE(OFFSET($CX$3,0,0,'Données projet'!$E$13+1,1))-AVERAGE(OFFSET($H$3,0,0,'Données projet'!$E$13+1,1))</f>
        <v>436.59978658837537</v>
      </c>
      <c r="CZ140" s="57">
        <f t="shared" si="150"/>
        <v>267.2998309535638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118.51194422347436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118.51194422347436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-1.0818439477588981E-13</v>
      </c>
      <c r="DQ140" s="13" t="e">
        <f t="shared" si="151"/>
        <v>#NUM!</v>
      </c>
      <c r="DR140" s="20" t="e">
        <f t="shared" si="124"/>
        <v>#NUM!</v>
      </c>
      <c r="DS140" s="57" t="e">
        <f t="shared" si="125"/>
        <v>#NUM!</v>
      </c>
      <c r="DT140" s="57">
        <f ca="1">AVERAGE(OFFSET($DS$3,0,0,'Données projet'!$E$14+1,1))-AVERAGE(OFFSET($H$3,0,0,'Données projet'!$E$14+1,1))</f>
        <v>292.95981568144879</v>
      </c>
      <c r="DU140" s="57">
        <f t="shared" si="152"/>
        <v>152.23954167722536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76.090989387744557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76.090989387744557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7" t="e">
        <f t="shared" si="128"/>
        <v>#N/A</v>
      </c>
      <c r="EO140" s="57" t="e">
        <f ca="1">AVERAGE(OFFSET($EN$3,0,0,'Données projet'!$E$15+1,1))-AVERAGE(OFFSET($H$3,0,0,'Données projet'!$E$15+1,1))</f>
        <v>#N/A</v>
      </c>
      <c r="EP140" s="57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7" t="e">
        <f t="shared" si="131"/>
        <v>#N/A</v>
      </c>
      <c r="FJ140" s="57" t="e">
        <f ca="1">AVERAGE(OFFSET($FI$3,0,0,'Données projet'!$E$16+1,1))-AVERAGE(OFFSET($H$3,0,0,'Données projet'!$E$16+1,1))</f>
        <v>#N/A</v>
      </c>
      <c r="FK140" s="57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7" t="e">
        <f t="shared" si="134"/>
        <v>#N/A</v>
      </c>
      <c r="GE140" s="57" t="e">
        <f ca="1">AVERAGE(OFFSET($GD$3,0,0,'Données projet'!$E$17+1,1))-AVERAGE(OFFSET($H$3,0,0,'Données projet'!$E$17+1,1))</f>
        <v>#N/A</v>
      </c>
      <c r="GF140" s="57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7" t="e">
        <f t="shared" si="137"/>
        <v>#N/A</v>
      </c>
      <c r="GZ140" s="57" t="e">
        <f ca="1">AVERAGE(OFFSET($GY$3,0,0,'Données projet'!$E$18+1,1))-AVERAGE(OFFSET($H$3,0,0,'Données projet'!$E$18+1,1))</f>
        <v>#N/A</v>
      </c>
      <c r="HA140" s="57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1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5">
        <f t="shared" si="110"/>
        <v>256.66666666666669</v>
      </c>
      <c r="I141" s="6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7" t="e">
        <f t="shared" si="109"/>
        <v>#NUM!</v>
      </c>
      <c r="S141" s="57">
        <f ca="1">AVERAGE(OFFSET($R$3,0,0,'Données projet'!$E$9+1,1))-AVERAGE(OFFSET($H$3,0,0,'Données projet'!$E$9+1,1))</f>
        <v>373.45926089889866</v>
      </c>
      <c r="T141" s="57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97.665273077959796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97.665273077959796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-1.0818439477588981E-13</v>
      </c>
      <c r="AK141" s="13" t="e">
        <f t="shared" si="143"/>
        <v>#NUM!</v>
      </c>
      <c r="AL141" s="20" t="e">
        <f t="shared" si="112"/>
        <v>#NUM!</v>
      </c>
      <c r="AM141" s="57" t="e">
        <f t="shared" si="113"/>
        <v>#NUM!</v>
      </c>
      <c r="AN141" s="57">
        <f ca="1">AVERAGE(OFFSET($AM$3,0,0,'Données projet'!$E$10+1,1))-AVERAGE(OFFSET($H$3,0,0,'Données projet'!$E$10+1,1))</f>
        <v>390.70240761116355</v>
      </c>
      <c r="AO141" s="57">
        <f t="shared" si="144"/>
        <v>241.18285512887638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102.71692513371627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102.71692513371627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-1.0995790944434703E-13</v>
      </c>
      <c r="BF141" s="13" t="e">
        <f t="shared" si="145"/>
        <v>#NUM!</v>
      </c>
      <c r="BG141" s="20" t="e">
        <f t="shared" si="115"/>
        <v>#NUM!</v>
      </c>
      <c r="BH141" s="57" t="e">
        <f t="shared" si="116"/>
        <v>#NUM!</v>
      </c>
      <c r="BI141" s="57">
        <f ca="1">AVERAGE(OFFSET($BH$3,0,0,'Données projet'!$E$11+1,1))-AVERAGE(OFFSET($H$3,0,0,'Données projet'!$E$11+1,1))</f>
        <v>396.44612884768748</v>
      </c>
      <c r="BJ141" s="57">
        <f t="shared" si="146"/>
        <v>244.451492444461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104.4008091523018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104.4008091523018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3.4106051316484809E-13</v>
      </c>
      <c r="BZ141" s="13">
        <f>BY141*VLOOKUP('Données projet'!$B$12,Paramètres!$A$1:$I$89,3,0)*VLOOKUP('Données projet'!$B$12,Paramètres!$A$1:$I$89,5,0)</f>
        <v>2.0395418687257919E-13</v>
      </c>
      <c r="CA141" s="13">
        <f t="shared" si="147"/>
        <v>2.8200388570161721E-12</v>
      </c>
      <c r="CB141" s="20">
        <f t="shared" si="118"/>
        <v>5.2667878847729083E-12</v>
      </c>
      <c r="CC141" s="57">
        <f t="shared" si="119"/>
        <v>293.3333333333386</v>
      </c>
      <c r="CD141" s="57">
        <f ca="1">AVERAGE(OFFSET($CC$3,0,0,'Données projet'!$E$12+1,1))-AVERAGE(OFFSET($H$3,0,0,'Données projet'!$E$12+1,1))</f>
        <v>259.64096626089821</v>
      </c>
      <c r="CE141" s="57">
        <f t="shared" si="148"/>
        <v>258.1415293081597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32.193669796472875</v>
      </c>
      <c r="CL141" s="21">
        <f>EXP(-LN(2)/25)*CL140+(1-EXP(-LN(2)/25))/(LN(2)/25)*Calculateur!CG141*Calculateur!CI141*VLOOKUP('Données projet'!$B$12,Paramètres!$A$1:$I$89,3,0)*0.475*44/12</f>
        <v>4.0764833257277377</v>
      </c>
      <c r="CM141" s="21">
        <f>EXP(-LN(2)/2)*CM140+(1-EXP(-LN(2)/2))/(LN(2)/2)*CG141*CJ141*VLOOKUP('Données projet'!$B$12,Paramètres!$A$1:$I$89,3,0)*0.475*44/12</f>
        <v>4.9393689293058879E-11</v>
      </c>
      <c r="CN141" s="22">
        <f t="shared" si="120"/>
        <v>36.270153122250008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-1.223725121235475E-13</v>
      </c>
      <c r="CV141" s="13" t="e">
        <f t="shared" si="149"/>
        <v>#NUM!</v>
      </c>
      <c r="CW141" s="20" t="e">
        <f t="shared" si="121"/>
        <v>#NUM!</v>
      </c>
      <c r="CX141" s="57" t="e">
        <f t="shared" si="122"/>
        <v>#NUM!</v>
      </c>
      <c r="CY141" s="57">
        <f ca="1">AVERAGE(OFFSET($CX$3,0,0,'Données projet'!$E$13+1,1))-AVERAGE(OFFSET($H$3,0,0,'Données projet'!$E$13+1,1))</f>
        <v>436.59978658837537</v>
      </c>
      <c r="CZ141" s="57">
        <f t="shared" si="150"/>
        <v>267.2998309535638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116.18799728240043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116.18799728240043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-1.0818439477588981E-13</v>
      </c>
      <c r="DQ141" s="13" t="e">
        <f t="shared" si="151"/>
        <v>#NUM!</v>
      </c>
      <c r="DR141" s="20" t="e">
        <f t="shared" si="124"/>
        <v>#NUM!</v>
      </c>
      <c r="DS141" s="57" t="e">
        <f t="shared" si="125"/>
        <v>#NUM!</v>
      </c>
      <c r="DT141" s="57">
        <f ca="1">AVERAGE(OFFSET($DS$3,0,0,'Données projet'!$E$14+1,1))-AVERAGE(OFFSET($H$3,0,0,'Données projet'!$E$14+1,1))</f>
        <v>292.95981568144879</v>
      </c>
      <c r="DU141" s="57">
        <f t="shared" si="152"/>
        <v>152.23954167722536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74.598891496771714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74.598891496771714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7" t="e">
        <f t="shared" si="128"/>
        <v>#N/A</v>
      </c>
      <c r="EO141" s="57" t="e">
        <f ca="1">AVERAGE(OFFSET($EN$3,0,0,'Données projet'!$E$15+1,1))-AVERAGE(OFFSET($H$3,0,0,'Données projet'!$E$15+1,1))</f>
        <v>#N/A</v>
      </c>
      <c r="EP141" s="57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7" t="e">
        <f t="shared" si="131"/>
        <v>#N/A</v>
      </c>
      <c r="FJ141" s="57" t="e">
        <f ca="1">AVERAGE(OFFSET($FI$3,0,0,'Données projet'!$E$16+1,1))-AVERAGE(OFFSET($H$3,0,0,'Données projet'!$E$16+1,1))</f>
        <v>#N/A</v>
      </c>
      <c r="FK141" s="57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7" t="e">
        <f t="shared" si="134"/>
        <v>#N/A</v>
      </c>
      <c r="GE141" s="57" t="e">
        <f ca="1">AVERAGE(OFFSET($GD$3,0,0,'Données projet'!$E$17+1,1))-AVERAGE(OFFSET($H$3,0,0,'Données projet'!$E$17+1,1))</f>
        <v>#N/A</v>
      </c>
      <c r="GF141" s="57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7" t="e">
        <f t="shared" si="137"/>
        <v>#N/A</v>
      </c>
      <c r="GZ141" s="57" t="e">
        <f ca="1">AVERAGE(OFFSET($GY$3,0,0,'Données projet'!$E$18+1,1))-AVERAGE(OFFSET($H$3,0,0,'Données projet'!$E$18+1,1))</f>
        <v>#N/A</v>
      </c>
      <c r="HA141" s="57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1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5">
        <f t="shared" si="110"/>
        <v>256.66666666666669</v>
      </c>
      <c r="I142" s="6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7" t="e">
        <f t="shared" si="109"/>
        <v>#NUM!</v>
      </c>
      <c r="S142" s="57">
        <f ca="1">AVERAGE(OFFSET($R$3,0,0,'Données projet'!$E$9+1,1))-AVERAGE(OFFSET($H$3,0,0,'Données projet'!$E$9+1,1))</f>
        <v>373.45926089889866</v>
      </c>
      <c r="T142" s="57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95.750116642835536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95.750116642835536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-1.0818439477588981E-13</v>
      </c>
      <c r="AK142" s="13" t="e">
        <f t="shared" si="143"/>
        <v>#NUM!</v>
      </c>
      <c r="AL142" s="20" t="e">
        <f t="shared" si="112"/>
        <v>#NUM!</v>
      </c>
      <c r="AM142" s="57" t="e">
        <f t="shared" si="113"/>
        <v>#NUM!</v>
      </c>
      <c r="AN142" s="57">
        <f ca="1">AVERAGE(OFFSET($AM$3,0,0,'Données projet'!$E$10+1,1))-AVERAGE(OFFSET($H$3,0,0,'Données projet'!$E$10+1,1))</f>
        <v>390.70240761116355</v>
      </c>
      <c r="AO142" s="57">
        <f t="shared" si="144"/>
        <v>241.18285512887638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100.70270888298214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100.70270888298214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-1.0995790944434703E-13</v>
      </c>
      <c r="BF142" s="13" t="e">
        <f t="shared" si="145"/>
        <v>#NUM!</v>
      </c>
      <c r="BG142" s="20" t="e">
        <f t="shared" si="115"/>
        <v>#NUM!</v>
      </c>
      <c r="BH142" s="57" t="e">
        <f t="shared" si="116"/>
        <v>#NUM!</v>
      </c>
      <c r="BI142" s="57">
        <f ca="1">AVERAGE(OFFSET($BH$3,0,0,'Données projet'!$E$11+1,1))-AVERAGE(OFFSET($H$3,0,0,'Données projet'!$E$11+1,1))</f>
        <v>396.44612884768748</v>
      </c>
      <c r="BJ142" s="57">
        <f t="shared" si="146"/>
        <v>244.451492444461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102.35357296303104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102.35357296303104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3.4106051316484809E-13</v>
      </c>
      <c r="BZ142" s="13">
        <f>BY142*VLOOKUP('Données projet'!$B$12,Paramètres!$A$1:$I$89,3,0)*VLOOKUP('Données projet'!$B$12,Paramètres!$A$1:$I$89,5,0)</f>
        <v>2.0395418687257919E-13</v>
      </c>
      <c r="CA142" s="13">
        <f t="shared" si="147"/>
        <v>2.8200388570161721E-12</v>
      </c>
      <c r="CB142" s="20">
        <f t="shared" si="118"/>
        <v>5.2667878847729083E-12</v>
      </c>
      <c r="CC142" s="57">
        <f t="shared" si="119"/>
        <v>293.3333333333386</v>
      </c>
      <c r="CD142" s="57">
        <f ca="1">AVERAGE(OFFSET($CC$3,0,0,'Données projet'!$E$12+1,1))-AVERAGE(OFFSET($H$3,0,0,'Données projet'!$E$12+1,1))</f>
        <v>259.64096626089821</v>
      </c>
      <c r="CE142" s="57">
        <f t="shared" si="148"/>
        <v>258.1415293081597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31.562371567963705</v>
      </c>
      <c r="CL142" s="21">
        <f>EXP(-LN(2)/25)*CL141+(1-EXP(-LN(2)/25))/(LN(2)/25)*Calculateur!CG142*Calculateur!CI142*VLOOKUP('Données projet'!$B$12,Paramètres!$A$1:$I$89,3,0)*0.475*44/12</f>
        <v>3.9650116748127715</v>
      </c>
      <c r="CM142" s="21">
        <f>EXP(-LN(2)/2)*CM141+(1-EXP(-LN(2)/2))/(LN(2)/2)*CG142*CJ142*VLOOKUP('Données projet'!$B$12,Paramètres!$A$1:$I$89,3,0)*0.475*44/12</f>
        <v>3.49266126469433E-11</v>
      </c>
      <c r="CN142" s="22">
        <f t="shared" si="120"/>
        <v>35.527383242811403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-1.223725121235475E-13</v>
      </c>
      <c r="CV142" s="13" t="e">
        <f t="shared" si="149"/>
        <v>#NUM!</v>
      </c>
      <c r="CW142" s="20" t="e">
        <f t="shared" si="121"/>
        <v>#NUM!</v>
      </c>
      <c r="CX142" s="57" t="e">
        <f t="shared" si="122"/>
        <v>#NUM!</v>
      </c>
      <c r="CY142" s="57">
        <f ca="1">AVERAGE(OFFSET($CX$3,0,0,'Données projet'!$E$13+1,1))-AVERAGE(OFFSET($H$3,0,0,'Données projet'!$E$13+1,1))</f>
        <v>436.59978658837537</v>
      </c>
      <c r="CZ142" s="57">
        <f t="shared" si="150"/>
        <v>267.2998309535638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113.9096215233733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113.9096215233733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-1.0818439477588981E-13</v>
      </c>
      <c r="DQ142" s="13" t="e">
        <f t="shared" si="151"/>
        <v>#NUM!</v>
      </c>
      <c r="DR142" s="20" t="e">
        <f t="shared" si="124"/>
        <v>#NUM!</v>
      </c>
      <c r="DS142" s="57" t="e">
        <f t="shared" si="125"/>
        <v>#NUM!</v>
      </c>
      <c r="DT142" s="57">
        <f ca="1">AVERAGE(OFFSET($DS$3,0,0,'Données projet'!$E$14+1,1))-AVERAGE(OFFSET($H$3,0,0,'Données projet'!$E$14+1,1))</f>
        <v>292.95981568144879</v>
      </c>
      <c r="DU142" s="57">
        <f t="shared" si="152"/>
        <v>152.23954167722536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73.136052735351001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73.136052735351001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7" t="e">
        <f t="shared" si="128"/>
        <v>#N/A</v>
      </c>
      <c r="EO142" s="57" t="e">
        <f ca="1">AVERAGE(OFFSET($EN$3,0,0,'Données projet'!$E$15+1,1))-AVERAGE(OFFSET($H$3,0,0,'Données projet'!$E$15+1,1))</f>
        <v>#N/A</v>
      </c>
      <c r="EP142" s="57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7" t="e">
        <f t="shared" si="131"/>
        <v>#N/A</v>
      </c>
      <c r="FJ142" s="57" t="e">
        <f ca="1">AVERAGE(OFFSET($FI$3,0,0,'Données projet'!$E$16+1,1))-AVERAGE(OFFSET($H$3,0,0,'Données projet'!$E$16+1,1))</f>
        <v>#N/A</v>
      </c>
      <c r="FK142" s="57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7" t="e">
        <f t="shared" si="134"/>
        <v>#N/A</v>
      </c>
      <c r="GE142" s="57" t="e">
        <f ca="1">AVERAGE(OFFSET($GD$3,0,0,'Données projet'!$E$17+1,1))-AVERAGE(OFFSET($H$3,0,0,'Données projet'!$E$17+1,1))</f>
        <v>#N/A</v>
      </c>
      <c r="GF142" s="57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7" t="e">
        <f t="shared" si="137"/>
        <v>#N/A</v>
      </c>
      <c r="GZ142" s="57" t="e">
        <f ca="1">AVERAGE(OFFSET($GY$3,0,0,'Données projet'!$E$18+1,1))-AVERAGE(OFFSET($H$3,0,0,'Données projet'!$E$18+1,1))</f>
        <v>#N/A</v>
      </c>
      <c r="HA142" s="57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1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5">
        <f t="shared" si="110"/>
        <v>256.66666666666669</v>
      </c>
      <c r="I143" s="6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7" t="e">
        <f t="shared" si="109"/>
        <v>#NUM!</v>
      </c>
      <c r="S143" s="57">
        <f ca="1">AVERAGE(OFFSET($R$3,0,0,'Données projet'!$E$9+1,1))-AVERAGE(OFFSET($H$3,0,0,'Données projet'!$E$9+1,1))</f>
        <v>373.45926089889866</v>
      </c>
      <c r="T143" s="57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93.872515257273989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93.872515257273989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-1.0818439477588981E-13</v>
      </c>
      <c r="AK143" s="13" t="e">
        <f t="shared" si="143"/>
        <v>#NUM!</v>
      </c>
      <c r="AL143" s="20" t="e">
        <f t="shared" si="112"/>
        <v>#NUM!</v>
      </c>
      <c r="AM143" s="57" t="e">
        <f t="shared" si="113"/>
        <v>#NUM!</v>
      </c>
      <c r="AN143" s="57">
        <f ca="1">AVERAGE(OFFSET($AM$3,0,0,'Données projet'!$E$10+1,1))-AVERAGE(OFFSET($H$3,0,0,'Données projet'!$E$10+1,1))</f>
        <v>390.70240761116355</v>
      </c>
      <c r="AO143" s="57">
        <f t="shared" si="144"/>
        <v>241.18285512887638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98.727990184374292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98.727990184374292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-1.0995790944434703E-13</v>
      </c>
      <c r="BF143" s="13" t="e">
        <f t="shared" si="145"/>
        <v>#NUM!</v>
      </c>
      <c r="BG143" s="20" t="e">
        <f t="shared" si="115"/>
        <v>#NUM!</v>
      </c>
      <c r="BH143" s="57" t="e">
        <f t="shared" si="116"/>
        <v>#NUM!</v>
      </c>
      <c r="BI143" s="57">
        <f ca="1">AVERAGE(OFFSET($BH$3,0,0,'Données projet'!$E$11+1,1))-AVERAGE(OFFSET($H$3,0,0,'Données projet'!$E$11+1,1))</f>
        <v>396.44612884768748</v>
      </c>
      <c r="BJ143" s="57">
        <f t="shared" si="146"/>
        <v>244.451492444461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100.34648182674111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100.34648182674111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3.4106051316484809E-13</v>
      </c>
      <c r="BZ143" s="13">
        <f>BY143*VLOOKUP('Données projet'!$B$12,Paramètres!$A$1:$I$89,3,0)*VLOOKUP('Données projet'!$B$12,Paramètres!$A$1:$I$89,5,0)</f>
        <v>2.0395418687257919E-13</v>
      </c>
      <c r="CA143" s="13">
        <f t="shared" si="147"/>
        <v>2.8200388570161721E-12</v>
      </c>
      <c r="CB143" s="20">
        <f t="shared" si="118"/>
        <v>5.2667878847729083E-12</v>
      </c>
      <c r="CC143" s="57">
        <f t="shared" si="119"/>
        <v>293.3333333333386</v>
      </c>
      <c r="CD143" s="57">
        <f ca="1">AVERAGE(OFFSET($CC$3,0,0,'Données projet'!$E$12+1,1))-AVERAGE(OFFSET($H$3,0,0,'Données projet'!$E$12+1,1))</f>
        <v>259.64096626089821</v>
      </c>
      <c r="CE143" s="57">
        <f t="shared" si="148"/>
        <v>258.1415293081597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30.943452712661699</v>
      </c>
      <c r="CL143" s="21">
        <f>EXP(-LN(2)/25)*CL142+(1-EXP(-LN(2)/25))/(LN(2)/25)*Calculateur!CG143*Calculateur!CI143*VLOOKUP('Données projet'!$B$12,Paramètres!$A$1:$I$89,3,0)*0.475*44/12</f>
        <v>3.8565882220541146</v>
      </c>
      <c r="CM143" s="21">
        <f>EXP(-LN(2)/2)*CM142+(1-EXP(-LN(2)/2))/(LN(2)/2)*CG143*CJ143*VLOOKUP('Données projet'!$B$12,Paramètres!$A$1:$I$89,3,0)*0.475*44/12</f>
        <v>2.469684464652944E-11</v>
      </c>
      <c r="CN143" s="22">
        <f t="shared" si="120"/>
        <v>34.800040934740515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-1.223725121235475E-13</v>
      </c>
      <c r="CV143" s="13" t="e">
        <f t="shared" si="149"/>
        <v>#NUM!</v>
      </c>
      <c r="CW143" s="20" t="e">
        <f t="shared" si="121"/>
        <v>#NUM!</v>
      </c>
      <c r="CX143" s="57" t="e">
        <f t="shared" si="122"/>
        <v>#NUM!</v>
      </c>
      <c r="CY143" s="57">
        <f ca="1">AVERAGE(OFFSET($CX$3,0,0,'Données projet'!$E$13+1,1))-AVERAGE(OFFSET($H$3,0,0,'Données projet'!$E$13+1,1))</f>
        <v>436.59978658837537</v>
      </c>
      <c r="CZ143" s="57">
        <f t="shared" si="150"/>
        <v>267.2998309535638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111.67592332330869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111.67592332330869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-1.0818439477588981E-13</v>
      </c>
      <c r="DQ143" s="13" t="e">
        <f t="shared" si="151"/>
        <v>#NUM!</v>
      </c>
      <c r="DR143" s="20" t="e">
        <f t="shared" si="124"/>
        <v>#NUM!</v>
      </c>
      <c r="DS143" s="57" t="e">
        <f t="shared" si="125"/>
        <v>#NUM!</v>
      </c>
      <c r="DT143" s="57">
        <f ca="1">AVERAGE(OFFSET($DS$3,0,0,'Données projet'!$E$14+1,1))-AVERAGE(OFFSET($H$3,0,0,'Données projet'!$E$14+1,1))</f>
        <v>292.95981568144879</v>
      </c>
      <c r="DU143" s="57">
        <f t="shared" si="152"/>
        <v>152.23954167722536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71.701899349798211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71.701899349798211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7" t="e">
        <f t="shared" si="128"/>
        <v>#N/A</v>
      </c>
      <c r="EO143" s="57" t="e">
        <f ca="1">AVERAGE(OFFSET($EN$3,0,0,'Données projet'!$E$15+1,1))-AVERAGE(OFFSET($H$3,0,0,'Données projet'!$E$15+1,1))</f>
        <v>#N/A</v>
      </c>
      <c r="EP143" s="57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7" t="e">
        <f t="shared" si="131"/>
        <v>#N/A</v>
      </c>
      <c r="FJ143" s="57" t="e">
        <f ca="1">AVERAGE(OFFSET($FI$3,0,0,'Données projet'!$E$16+1,1))-AVERAGE(OFFSET($H$3,0,0,'Données projet'!$E$16+1,1))</f>
        <v>#N/A</v>
      </c>
      <c r="FK143" s="57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7" t="e">
        <f t="shared" si="134"/>
        <v>#N/A</v>
      </c>
      <c r="GE143" s="57" t="e">
        <f ca="1">AVERAGE(OFFSET($GD$3,0,0,'Données projet'!$E$17+1,1))-AVERAGE(OFFSET($H$3,0,0,'Données projet'!$E$17+1,1))</f>
        <v>#N/A</v>
      </c>
      <c r="GF143" s="57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7" t="e">
        <f t="shared" si="137"/>
        <v>#N/A</v>
      </c>
      <c r="GZ143" s="57" t="e">
        <f ca="1">AVERAGE(OFFSET($GY$3,0,0,'Données projet'!$E$18+1,1))-AVERAGE(OFFSET($H$3,0,0,'Données projet'!$E$18+1,1))</f>
        <v>#N/A</v>
      </c>
      <c r="HA143" s="57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1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5">
        <f t="shared" si="110"/>
        <v>256.66666666666669</v>
      </c>
      <c r="I144" s="6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7" t="e">
        <f t="shared" si="109"/>
        <v>#NUM!</v>
      </c>
      <c r="S144" s="57">
        <f ca="1">AVERAGE(OFFSET($R$3,0,0,'Données projet'!$E$9+1,1))-AVERAGE(OFFSET($H$3,0,0,'Données projet'!$E$9+1,1))</f>
        <v>373.45926089889866</v>
      </c>
      <c r="T144" s="57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92.031732489659532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92.031732489659532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-1.0818439477588981E-13</v>
      </c>
      <c r="AK144" s="13" t="e">
        <f t="shared" si="143"/>
        <v>#NUM!</v>
      </c>
      <c r="AL144" s="20" t="e">
        <f t="shared" si="112"/>
        <v>#NUM!</v>
      </c>
      <c r="AM144" s="57" t="e">
        <f t="shared" si="113"/>
        <v>#NUM!</v>
      </c>
      <c r="AN144" s="57">
        <f ca="1">AVERAGE(OFFSET($AM$3,0,0,'Données projet'!$E$10+1,1))-AVERAGE(OFFSET($H$3,0,0,'Données projet'!$E$10+1,1))</f>
        <v>390.70240761116355</v>
      </c>
      <c r="AO144" s="57">
        <f t="shared" si="144"/>
        <v>241.18285512887638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96.791994514986683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96.791994514986683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-1.0995790944434703E-13</v>
      </c>
      <c r="BF144" s="13" t="e">
        <f t="shared" si="145"/>
        <v>#NUM!</v>
      </c>
      <c r="BG144" s="20" t="e">
        <f t="shared" si="115"/>
        <v>#NUM!</v>
      </c>
      <c r="BH144" s="57" t="e">
        <f t="shared" si="116"/>
        <v>#NUM!</v>
      </c>
      <c r="BI144" s="57">
        <f ca="1">AVERAGE(OFFSET($BH$3,0,0,'Données projet'!$E$11+1,1))-AVERAGE(OFFSET($H$3,0,0,'Données projet'!$E$11+1,1))</f>
        <v>396.44612884768748</v>
      </c>
      <c r="BJ144" s="57">
        <f t="shared" si="146"/>
        <v>244.451492444461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98.37874852342911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98.37874852342911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3.4106051316484809E-13</v>
      </c>
      <c r="BZ144" s="13">
        <f>BY144*VLOOKUP('Données projet'!$B$12,Paramètres!$A$1:$I$89,3,0)*VLOOKUP('Données projet'!$B$12,Paramètres!$A$1:$I$89,5,0)</f>
        <v>2.0395418687257919E-13</v>
      </c>
      <c r="CA144" s="13">
        <f t="shared" si="147"/>
        <v>2.8200388570161721E-12</v>
      </c>
      <c r="CB144" s="20">
        <f t="shared" si="118"/>
        <v>5.2667878847729083E-12</v>
      </c>
      <c r="CC144" s="57">
        <f t="shared" si="119"/>
        <v>293.3333333333386</v>
      </c>
      <c r="CD144" s="57">
        <f ca="1">AVERAGE(OFFSET($CC$3,0,0,'Données projet'!$E$12+1,1))-AVERAGE(OFFSET($H$3,0,0,'Données projet'!$E$12+1,1))</f>
        <v>259.64096626089821</v>
      </c>
      <c r="CE144" s="57">
        <f t="shared" si="148"/>
        <v>258.1415293081597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30.336670478608941</v>
      </c>
      <c r="CL144" s="21">
        <f>EXP(-LN(2)/25)*CL143+(1-EXP(-LN(2)/25))/(LN(2)/25)*Calculateur!CG144*Calculateur!CI144*VLOOKUP('Données projet'!$B$12,Paramètres!$A$1:$I$89,3,0)*0.475*44/12</f>
        <v>3.7511296143128847</v>
      </c>
      <c r="CM144" s="21">
        <f>EXP(-LN(2)/2)*CM143+(1-EXP(-LN(2)/2))/(LN(2)/2)*CG144*CJ144*VLOOKUP('Données projet'!$B$12,Paramètres!$A$1:$I$89,3,0)*0.475*44/12</f>
        <v>1.746330632347165E-11</v>
      </c>
      <c r="CN144" s="22">
        <f t="shared" si="120"/>
        <v>34.08780009293929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-1.223725121235475E-13</v>
      </c>
      <c r="CV144" s="13" t="e">
        <f t="shared" si="149"/>
        <v>#NUM!</v>
      </c>
      <c r="CW144" s="20" t="e">
        <f t="shared" si="121"/>
        <v>#NUM!</v>
      </c>
      <c r="CX144" s="57" t="e">
        <f t="shared" si="122"/>
        <v>#NUM!</v>
      </c>
      <c r="CY144" s="57">
        <f ca="1">AVERAGE(OFFSET($CX$3,0,0,'Données projet'!$E$13+1,1))-AVERAGE(OFFSET($H$3,0,0,'Données projet'!$E$13+1,1))</f>
        <v>436.59978658837537</v>
      </c>
      <c r="CZ144" s="57">
        <f t="shared" si="150"/>
        <v>267.2998309535638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109.48602658252598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109.48602658252598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-1.0818439477588981E-13</v>
      </c>
      <c r="DQ144" s="13" t="e">
        <f t="shared" si="151"/>
        <v>#NUM!</v>
      </c>
      <c r="DR144" s="20" t="e">
        <f t="shared" si="124"/>
        <v>#NUM!</v>
      </c>
      <c r="DS144" s="57" t="e">
        <f t="shared" si="125"/>
        <v>#NUM!</v>
      </c>
      <c r="DT144" s="57">
        <f ca="1">AVERAGE(OFFSET($DS$3,0,0,'Données projet'!$E$14+1,1))-AVERAGE(OFFSET($H$3,0,0,'Données projet'!$E$14+1,1))</f>
        <v>292.95981568144879</v>
      </c>
      <c r="DU144" s="57">
        <f t="shared" si="152"/>
        <v>152.23954167722536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70.295868837388909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70.295868837388909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7" t="e">
        <f t="shared" si="128"/>
        <v>#N/A</v>
      </c>
      <c r="EO144" s="57" t="e">
        <f ca="1">AVERAGE(OFFSET($EN$3,0,0,'Données projet'!$E$15+1,1))-AVERAGE(OFFSET($H$3,0,0,'Données projet'!$E$15+1,1))</f>
        <v>#N/A</v>
      </c>
      <c r="EP144" s="57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7" t="e">
        <f t="shared" si="131"/>
        <v>#N/A</v>
      </c>
      <c r="FJ144" s="57" t="e">
        <f ca="1">AVERAGE(OFFSET($FI$3,0,0,'Données projet'!$E$16+1,1))-AVERAGE(OFFSET($H$3,0,0,'Données projet'!$E$16+1,1))</f>
        <v>#N/A</v>
      </c>
      <c r="FK144" s="57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7" t="e">
        <f t="shared" si="134"/>
        <v>#N/A</v>
      </c>
      <c r="GE144" s="57" t="e">
        <f ca="1">AVERAGE(OFFSET($GD$3,0,0,'Données projet'!$E$17+1,1))-AVERAGE(OFFSET($H$3,0,0,'Données projet'!$E$17+1,1))</f>
        <v>#N/A</v>
      </c>
      <c r="GF144" s="57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7" t="e">
        <f t="shared" si="137"/>
        <v>#N/A</v>
      </c>
      <c r="GZ144" s="57" t="e">
        <f ca="1">AVERAGE(OFFSET($GY$3,0,0,'Données projet'!$E$18+1,1))-AVERAGE(OFFSET($H$3,0,0,'Données projet'!$E$18+1,1))</f>
        <v>#N/A</v>
      </c>
      <c r="HA144" s="57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1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5">
        <f t="shared" si="110"/>
        <v>256.66666666666669</v>
      </c>
      <c r="I145" s="6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7" t="e">
        <f t="shared" si="109"/>
        <v>#NUM!</v>
      </c>
      <c r="S145" s="57">
        <f ca="1">AVERAGE(OFFSET($R$3,0,0,'Données projet'!$E$9+1,1))-AVERAGE(OFFSET($H$3,0,0,'Données projet'!$E$9+1,1))</f>
        <v>373.45926089889866</v>
      </c>
      <c r="T145" s="57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90.227046349351369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90.227046349351369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-1.0818439477588981E-13</v>
      </c>
      <c r="AK145" s="13" t="e">
        <f t="shared" si="143"/>
        <v>#NUM!</v>
      </c>
      <c r="AL145" s="20" t="e">
        <f t="shared" si="112"/>
        <v>#NUM!</v>
      </c>
      <c r="AM145" s="57" t="e">
        <f t="shared" si="113"/>
        <v>#NUM!</v>
      </c>
      <c r="AN145" s="57">
        <f ca="1">AVERAGE(OFFSET($AM$3,0,0,'Données projet'!$E$10+1,1))-AVERAGE(OFFSET($H$3,0,0,'Données projet'!$E$10+1,1))</f>
        <v>390.70240761116355</v>
      </c>
      <c r="AO145" s="57">
        <f t="shared" si="144"/>
        <v>241.18285512887638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94.893962539835002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94.893962539835002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-1.0995790944434703E-13</v>
      </c>
      <c r="BF145" s="13" t="e">
        <f t="shared" si="145"/>
        <v>#NUM!</v>
      </c>
      <c r="BG145" s="20" t="e">
        <f t="shared" si="115"/>
        <v>#NUM!</v>
      </c>
      <c r="BH145" s="57" t="e">
        <f t="shared" si="116"/>
        <v>#NUM!</v>
      </c>
      <c r="BI145" s="57">
        <f ca="1">AVERAGE(OFFSET($BH$3,0,0,'Données projet'!$E$11+1,1))-AVERAGE(OFFSET($H$3,0,0,'Données projet'!$E$11+1,1))</f>
        <v>396.44612884768748</v>
      </c>
      <c r="BJ145" s="57">
        <f t="shared" si="146"/>
        <v>244.451492444461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96.449601269996251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96.449601269996251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3.4106051316484809E-13</v>
      </c>
      <c r="BZ145" s="13">
        <f>BY145*VLOOKUP('Données projet'!$B$12,Paramètres!$A$1:$I$89,3,0)*VLOOKUP('Données projet'!$B$12,Paramètres!$A$1:$I$89,5,0)</f>
        <v>2.0395418687257919E-13</v>
      </c>
      <c r="CA145" s="13">
        <f t="shared" si="147"/>
        <v>2.8200388570161721E-12</v>
      </c>
      <c r="CB145" s="20">
        <f t="shared" si="118"/>
        <v>5.2667878847729083E-12</v>
      </c>
      <c r="CC145" s="57">
        <f t="shared" si="119"/>
        <v>293.3333333333386</v>
      </c>
      <c r="CD145" s="57">
        <f ca="1">AVERAGE(OFFSET($CC$3,0,0,'Données projet'!$E$12+1,1))-AVERAGE(OFFSET($H$3,0,0,'Données projet'!$E$12+1,1))</f>
        <v>259.64096626089821</v>
      </c>
      <c r="CE145" s="57">
        <f t="shared" si="148"/>
        <v>258.1415293081597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29.741786874065337</v>
      </c>
      <c r="CL145" s="21">
        <f>EXP(-LN(2)/25)*CL144+(1-EXP(-LN(2)/25))/(LN(2)/25)*Calculateur!CG145*Calculateur!CI145*VLOOKUP('Données projet'!$B$12,Paramètres!$A$1:$I$89,3,0)*0.475*44/12</f>
        <v>3.648554777746166</v>
      </c>
      <c r="CM145" s="21">
        <f>EXP(-LN(2)/2)*CM144+(1-EXP(-LN(2)/2))/(LN(2)/2)*CG145*CJ145*VLOOKUP('Données projet'!$B$12,Paramètres!$A$1:$I$89,3,0)*0.475*44/12</f>
        <v>1.234842232326472E-11</v>
      </c>
      <c r="CN145" s="22">
        <f t="shared" si="120"/>
        <v>33.390341651823853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-1.223725121235475E-13</v>
      </c>
      <c r="CV145" s="13" t="e">
        <f t="shared" si="149"/>
        <v>#NUM!</v>
      </c>
      <c r="CW145" s="20" t="e">
        <f t="shared" si="121"/>
        <v>#NUM!</v>
      </c>
      <c r="CX145" s="57" t="e">
        <f t="shared" si="122"/>
        <v>#NUM!</v>
      </c>
      <c r="CY145" s="57">
        <f ca="1">AVERAGE(OFFSET($CX$3,0,0,'Données projet'!$E$13+1,1))-AVERAGE(OFFSET($H$3,0,0,'Données projet'!$E$13+1,1))</f>
        <v>436.59978658837537</v>
      </c>
      <c r="CZ145" s="57">
        <f t="shared" si="150"/>
        <v>267.2998309535638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107.33907238112489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107.33907238112489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-1.0818439477588981E-13</v>
      </c>
      <c r="DQ145" s="13" t="e">
        <f t="shared" si="151"/>
        <v>#NUM!</v>
      </c>
      <c r="DR145" s="20" t="e">
        <f t="shared" si="124"/>
        <v>#NUM!</v>
      </c>
      <c r="DS145" s="57" t="e">
        <f t="shared" si="125"/>
        <v>#NUM!</v>
      </c>
      <c r="DT145" s="57">
        <f ca="1">AVERAGE(OFFSET($DS$3,0,0,'Données projet'!$E$14+1,1))-AVERAGE(OFFSET($H$3,0,0,'Données projet'!$E$14+1,1))</f>
        <v>292.95981568144879</v>
      </c>
      <c r="DU145" s="57">
        <f t="shared" si="152"/>
        <v>152.23954167722536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68.917409725734032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68.917409725734032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7" t="e">
        <f t="shared" si="128"/>
        <v>#N/A</v>
      </c>
      <c r="EO145" s="57" t="e">
        <f ca="1">AVERAGE(OFFSET($EN$3,0,0,'Données projet'!$E$15+1,1))-AVERAGE(OFFSET($H$3,0,0,'Données projet'!$E$15+1,1))</f>
        <v>#N/A</v>
      </c>
      <c r="EP145" s="57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7" t="e">
        <f t="shared" si="131"/>
        <v>#N/A</v>
      </c>
      <c r="FJ145" s="57" t="e">
        <f ca="1">AVERAGE(OFFSET($FI$3,0,0,'Données projet'!$E$16+1,1))-AVERAGE(OFFSET($H$3,0,0,'Données projet'!$E$16+1,1))</f>
        <v>#N/A</v>
      </c>
      <c r="FK145" s="57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7" t="e">
        <f t="shared" si="134"/>
        <v>#N/A</v>
      </c>
      <c r="GE145" s="57" t="e">
        <f ca="1">AVERAGE(OFFSET($GD$3,0,0,'Données projet'!$E$17+1,1))-AVERAGE(OFFSET($H$3,0,0,'Données projet'!$E$17+1,1))</f>
        <v>#N/A</v>
      </c>
      <c r="GF145" s="57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7" t="e">
        <f t="shared" si="137"/>
        <v>#N/A</v>
      </c>
      <c r="GZ145" s="57" t="e">
        <f ca="1">AVERAGE(OFFSET($GY$3,0,0,'Données projet'!$E$18+1,1))-AVERAGE(OFFSET($H$3,0,0,'Données projet'!$E$18+1,1))</f>
        <v>#N/A</v>
      </c>
      <c r="HA145" s="57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1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5">
        <f t="shared" si="110"/>
        <v>256.66666666666669</v>
      </c>
      <c r="I146" s="6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7" t="e">
        <f t="shared" si="109"/>
        <v>#NUM!</v>
      </c>
      <c r="S146" s="57">
        <f ca="1">AVERAGE(OFFSET($R$3,0,0,'Données projet'!$E$9+1,1))-AVERAGE(OFFSET($H$3,0,0,'Données projet'!$E$9+1,1))</f>
        <v>373.45926089889866</v>
      </c>
      <c r="T146" s="57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88.457749003504802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88.457749003504802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-1.0818439477588981E-13</v>
      </c>
      <c r="AK146" s="13" t="e">
        <f t="shared" si="143"/>
        <v>#NUM!</v>
      </c>
      <c r="AL146" s="20" t="e">
        <f t="shared" si="112"/>
        <v>#NUM!</v>
      </c>
      <c r="AM146" s="57" t="e">
        <f t="shared" si="113"/>
        <v>#NUM!</v>
      </c>
      <c r="AN146" s="57">
        <f ca="1">AVERAGE(OFFSET($AM$3,0,0,'Données projet'!$E$10+1,1))-AVERAGE(OFFSET($H$3,0,0,'Données projet'!$E$10+1,1))</f>
        <v>390.70240761116355</v>
      </c>
      <c r="AO146" s="57">
        <f t="shared" si="144"/>
        <v>241.18285512887638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93.03314981403085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93.03314981403085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-1.0995790944434703E-13</v>
      </c>
      <c r="BF146" s="13" t="e">
        <f t="shared" si="145"/>
        <v>#NUM!</v>
      </c>
      <c r="BG146" s="20" t="e">
        <f t="shared" si="115"/>
        <v>#NUM!</v>
      </c>
      <c r="BH146" s="57" t="e">
        <f t="shared" si="116"/>
        <v>#NUM!</v>
      </c>
      <c r="BI146" s="57">
        <f ca="1">AVERAGE(OFFSET($BH$3,0,0,'Données projet'!$E$11+1,1))-AVERAGE(OFFSET($H$3,0,0,'Données projet'!$E$11+1,1))</f>
        <v>396.44612884768748</v>
      </c>
      <c r="BJ146" s="57">
        <f t="shared" si="146"/>
        <v>244.451492444461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94.55828341753957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94.55828341753957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3.4106051316484809E-13</v>
      </c>
      <c r="BZ146" s="13">
        <f>BY146*VLOOKUP('Données projet'!$B$12,Paramètres!$A$1:$I$89,3,0)*VLOOKUP('Données projet'!$B$12,Paramètres!$A$1:$I$89,5,0)</f>
        <v>2.0395418687257919E-13</v>
      </c>
      <c r="CA146" s="13">
        <f t="shared" si="147"/>
        <v>2.8200388570161721E-12</v>
      </c>
      <c r="CB146" s="20">
        <f t="shared" si="118"/>
        <v>5.2667878847729083E-12</v>
      </c>
      <c r="CC146" s="57">
        <f t="shared" si="119"/>
        <v>293.3333333333386</v>
      </c>
      <c r="CD146" s="57">
        <f ca="1">AVERAGE(OFFSET($CC$3,0,0,'Données projet'!$E$12+1,1))-AVERAGE(OFFSET($H$3,0,0,'Données projet'!$E$12+1,1))</f>
        <v>259.64096626089821</v>
      </c>
      <c r="CE146" s="57">
        <f t="shared" si="148"/>
        <v>258.1415293081597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29.158568574163663</v>
      </c>
      <c r="CL146" s="21">
        <f>EXP(-LN(2)/25)*CL145+(1-EXP(-LN(2)/25))/(LN(2)/25)*Calculateur!CG146*Calculateur!CI146*VLOOKUP('Données projet'!$B$12,Paramètres!$A$1:$I$89,3,0)*0.475*44/12</f>
        <v>3.54878485547954</v>
      </c>
      <c r="CM146" s="21">
        <f>EXP(-LN(2)/2)*CM145+(1-EXP(-LN(2)/2))/(LN(2)/2)*CG146*CJ146*VLOOKUP('Données projet'!$B$12,Paramètres!$A$1:$I$89,3,0)*0.475*44/12</f>
        <v>8.7316531617358249E-12</v>
      </c>
      <c r="CN146" s="22">
        <f t="shared" si="120"/>
        <v>32.707353429651938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-1.223725121235475E-13</v>
      </c>
      <c r="CV146" s="13" t="e">
        <f t="shared" si="149"/>
        <v>#NUM!</v>
      </c>
      <c r="CW146" s="20" t="e">
        <f t="shared" si="121"/>
        <v>#NUM!</v>
      </c>
      <c r="CX146" s="57" t="e">
        <f t="shared" si="122"/>
        <v>#NUM!</v>
      </c>
      <c r="CY146" s="57">
        <f ca="1">AVERAGE(OFFSET($CX$3,0,0,'Données projet'!$E$13+1,1))-AVERAGE(OFFSET($H$3,0,0,'Données projet'!$E$13+1,1))</f>
        <v>436.59978658837537</v>
      </c>
      <c r="CZ146" s="57">
        <f t="shared" si="150"/>
        <v>267.2998309535638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105.23421864210053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105.23421864210053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-1.0818439477588981E-13</v>
      </c>
      <c r="DQ146" s="13" t="e">
        <f t="shared" si="151"/>
        <v>#NUM!</v>
      </c>
      <c r="DR146" s="20" t="e">
        <f t="shared" si="124"/>
        <v>#NUM!</v>
      </c>
      <c r="DS146" s="57" t="e">
        <f t="shared" si="125"/>
        <v>#NUM!</v>
      </c>
      <c r="DT146" s="57">
        <f ca="1">AVERAGE(OFFSET($DS$3,0,0,'Données projet'!$E$14+1,1))-AVERAGE(OFFSET($H$3,0,0,'Données projet'!$E$14+1,1))</f>
        <v>292.95981568144879</v>
      </c>
      <c r="DU146" s="57">
        <f t="shared" si="152"/>
        <v>152.23954167722536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67.565981356481657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67.565981356481657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7" t="e">
        <f t="shared" si="128"/>
        <v>#N/A</v>
      </c>
      <c r="EO146" s="57" t="e">
        <f ca="1">AVERAGE(OFFSET($EN$3,0,0,'Données projet'!$E$15+1,1))-AVERAGE(OFFSET($H$3,0,0,'Données projet'!$E$15+1,1))</f>
        <v>#N/A</v>
      </c>
      <c r="EP146" s="57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7" t="e">
        <f t="shared" si="131"/>
        <v>#N/A</v>
      </c>
      <c r="FJ146" s="57" t="e">
        <f ca="1">AVERAGE(OFFSET($FI$3,0,0,'Données projet'!$E$16+1,1))-AVERAGE(OFFSET($H$3,0,0,'Données projet'!$E$16+1,1))</f>
        <v>#N/A</v>
      </c>
      <c r="FK146" s="57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7" t="e">
        <f t="shared" si="134"/>
        <v>#N/A</v>
      </c>
      <c r="GE146" s="57" t="e">
        <f ca="1">AVERAGE(OFFSET($GD$3,0,0,'Données projet'!$E$17+1,1))-AVERAGE(OFFSET($H$3,0,0,'Données projet'!$E$17+1,1))</f>
        <v>#N/A</v>
      </c>
      <c r="GF146" s="57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7" t="e">
        <f t="shared" si="137"/>
        <v>#N/A</v>
      </c>
      <c r="GZ146" s="57" t="e">
        <f ca="1">AVERAGE(OFFSET($GY$3,0,0,'Données projet'!$E$18+1,1))-AVERAGE(OFFSET($H$3,0,0,'Données projet'!$E$18+1,1))</f>
        <v>#N/A</v>
      </c>
      <c r="HA146" s="57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1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5">
        <f t="shared" si="110"/>
        <v>256.66666666666669</v>
      </c>
      <c r="I147" s="6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7" t="e">
        <f t="shared" si="109"/>
        <v>#NUM!</v>
      </c>
      <c r="S147" s="57">
        <f ca="1">AVERAGE(OFFSET($R$3,0,0,'Données projet'!$E$9+1,1))-AVERAGE(OFFSET($H$3,0,0,'Données projet'!$E$9+1,1))</f>
        <v>373.45926089889866</v>
      </c>
      <c r="T147" s="57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86.723146499445463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86.723146499445463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-1.0818439477588981E-13</v>
      </c>
      <c r="AK147" s="13" t="e">
        <f t="shared" si="143"/>
        <v>#NUM!</v>
      </c>
      <c r="AL147" s="20" t="e">
        <f t="shared" si="112"/>
        <v>#NUM!</v>
      </c>
      <c r="AM147" s="57" t="e">
        <f t="shared" si="113"/>
        <v>#NUM!</v>
      </c>
      <c r="AN147" s="57">
        <f ca="1">AVERAGE(OFFSET($AM$3,0,0,'Données projet'!$E$10+1,1))-AVERAGE(OFFSET($H$3,0,0,'Données projet'!$E$10+1,1))</f>
        <v>390.70240761116355</v>
      </c>
      <c r="AO147" s="57">
        <f t="shared" si="144"/>
        <v>241.18285512887638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91.208826490796028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91.208826490796028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-1.0995790944434703E-13</v>
      </c>
      <c r="BF147" s="13" t="e">
        <f t="shared" si="145"/>
        <v>#NUM!</v>
      </c>
      <c r="BG147" s="20" t="e">
        <f t="shared" si="115"/>
        <v>#NUM!</v>
      </c>
      <c r="BH147" s="57" t="e">
        <f t="shared" si="116"/>
        <v>#NUM!</v>
      </c>
      <c r="BI147" s="57">
        <f ca="1">AVERAGE(OFFSET($BH$3,0,0,'Données projet'!$E$11+1,1))-AVERAGE(OFFSET($H$3,0,0,'Données projet'!$E$11+1,1))</f>
        <v>396.44612884768748</v>
      </c>
      <c r="BJ147" s="57">
        <f t="shared" si="146"/>
        <v>244.451492444461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92.704053154579583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92.704053154579583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3.4106051316484809E-13</v>
      </c>
      <c r="BZ147" s="13">
        <f>BY147*VLOOKUP('Données projet'!$B$12,Paramètres!$A$1:$I$89,3,0)*VLOOKUP('Données projet'!$B$12,Paramètres!$A$1:$I$89,5,0)</f>
        <v>2.0395418687257919E-13</v>
      </c>
      <c r="CA147" s="13">
        <f t="shared" si="147"/>
        <v>2.8200388570161721E-12</v>
      </c>
      <c r="CB147" s="20">
        <f t="shared" si="118"/>
        <v>5.2667878847729083E-12</v>
      </c>
      <c r="CC147" s="57">
        <f t="shared" si="119"/>
        <v>293.3333333333386</v>
      </c>
      <c r="CD147" s="57">
        <f ca="1">AVERAGE(OFFSET($CC$3,0,0,'Données projet'!$E$12+1,1))-AVERAGE(OFFSET($H$3,0,0,'Données projet'!$E$12+1,1))</f>
        <v>259.64096626089821</v>
      </c>
      <c r="CE147" s="57">
        <f t="shared" si="148"/>
        <v>258.1415293081597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28.586786829395024</v>
      </c>
      <c r="CL147" s="21">
        <f>EXP(-LN(2)/25)*CL146+(1-EXP(-LN(2)/25))/(LN(2)/25)*Calculateur!CG147*Calculateur!CI147*VLOOKUP('Données projet'!$B$12,Paramètres!$A$1:$I$89,3,0)*0.475*44/12</f>
        <v>3.4517431469839672</v>
      </c>
      <c r="CM147" s="21">
        <f>EXP(-LN(2)/2)*CM146+(1-EXP(-LN(2)/2))/(LN(2)/2)*CG147*CJ147*VLOOKUP('Données projet'!$B$12,Paramètres!$A$1:$I$89,3,0)*0.475*44/12</f>
        <v>6.1742111616323599E-12</v>
      </c>
      <c r="CN147" s="22">
        <f t="shared" si="120"/>
        <v>32.038529976385163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-1.223725121235475E-13</v>
      </c>
      <c r="CV147" s="13" t="e">
        <f t="shared" si="149"/>
        <v>#NUM!</v>
      </c>
      <c r="CW147" s="20" t="e">
        <f t="shared" si="121"/>
        <v>#NUM!</v>
      </c>
      <c r="CX147" s="57" t="e">
        <f t="shared" si="122"/>
        <v>#NUM!</v>
      </c>
      <c r="CY147" s="57">
        <f ca="1">AVERAGE(OFFSET($CX$3,0,0,'Données projet'!$E$13+1,1))-AVERAGE(OFFSET($H$3,0,0,'Données projet'!$E$13+1,1))</f>
        <v>436.59978658837537</v>
      </c>
      <c r="CZ147" s="57">
        <f t="shared" si="150"/>
        <v>267.2998309535638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103.17063980106441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103.17063980106441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-1.0818439477588981E-13</v>
      </c>
      <c r="DQ147" s="13" t="e">
        <f t="shared" si="151"/>
        <v>#NUM!</v>
      </c>
      <c r="DR147" s="20" t="e">
        <f t="shared" si="124"/>
        <v>#NUM!</v>
      </c>
      <c r="DS147" s="57" t="e">
        <f t="shared" si="125"/>
        <v>#NUM!</v>
      </c>
      <c r="DT147" s="57">
        <f ca="1">AVERAGE(OFFSET($DS$3,0,0,'Données projet'!$E$14+1,1))-AVERAGE(OFFSET($H$3,0,0,'Données projet'!$E$14+1,1))</f>
        <v>292.95981568144879</v>
      </c>
      <c r="DU147" s="57">
        <f t="shared" si="152"/>
        <v>152.23954167722536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66.24105367326041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66.24105367326041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7" t="e">
        <f t="shared" si="128"/>
        <v>#N/A</v>
      </c>
      <c r="EO147" s="57" t="e">
        <f ca="1">AVERAGE(OFFSET($EN$3,0,0,'Données projet'!$E$15+1,1))-AVERAGE(OFFSET($H$3,0,0,'Données projet'!$E$15+1,1))</f>
        <v>#N/A</v>
      </c>
      <c r="EP147" s="57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7" t="e">
        <f t="shared" si="131"/>
        <v>#N/A</v>
      </c>
      <c r="FJ147" s="57" t="e">
        <f ca="1">AVERAGE(OFFSET($FI$3,0,0,'Données projet'!$E$16+1,1))-AVERAGE(OFFSET($H$3,0,0,'Données projet'!$E$16+1,1))</f>
        <v>#N/A</v>
      </c>
      <c r="FK147" s="57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7" t="e">
        <f t="shared" si="134"/>
        <v>#N/A</v>
      </c>
      <c r="GE147" s="57" t="e">
        <f ca="1">AVERAGE(OFFSET($GD$3,0,0,'Données projet'!$E$17+1,1))-AVERAGE(OFFSET($H$3,0,0,'Données projet'!$E$17+1,1))</f>
        <v>#N/A</v>
      </c>
      <c r="GF147" s="57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7" t="e">
        <f t="shared" si="137"/>
        <v>#N/A</v>
      </c>
      <c r="GZ147" s="57" t="e">
        <f ca="1">AVERAGE(OFFSET($GY$3,0,0,'Données projet'!$E$18+1,1))-AVERAGE(OFFSET($H$3,0,0,'Données projet'!$E$18+1,1))</f>
        <v>#N/A</v>
      </c>
      <c r="HA147" s="57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1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5">
        <f t="shared" si="110"/>
        <v>256.66666666666669</v>
      </c>
      <c r="I148" s="6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7" t="e">
        <f t="shared" si="109"/>
        <v>#NUM!</v>
      </c>
      <c r="S148" s="57">
        <f ca="1">AVERAGE(OFFSET($R$3,0,0,'Données projet'!$E$9+1,1))-AVERAGE(OFFSET($H$3,0,0,'Données projet'!$E$9+1,1))</f>
        <v>373.45926089889866</v>
      </c>
      <c r="T148" s="57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85.022558492487661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85.022558492487661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-1.0818439477588981E-13</v>
      </c>
      <c r="AK148" s="13" t="e">
        <f t="shared" si="143"/>
        <v>#NUM!</v>
      </c>
      <c r="AL148" s="20" t="e">
        <f t="shared" si="112"/>
        <v>#NUM!</v>
      </c>
      <c r="AM148" s="57" t="e">
        <f t="shared" si="113"/>
        <v>#NUM!</v>
      </c>
      <c r="AN148" s="57">
        <f ca="1">AVERAGE(OFFSET($AM$3,0,0,'Données projet'!$E$10+1,1))-AVERAGE(OFFSET($H$3,0,0,'Données projet'!$E$10+1,1))</f>
        <v>390.70240761116355</v>
      </c>
      <c r="AO148" s="57">
        <f t="shared" si="144"/>
        <v>241.18285512887638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89.420277035202488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89.420277035202488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-1.0995790944434703E-13</v>
      </c>
      <c r="BF148" s="13" t="e">
        <f t="shared" si="145"/>
        <v>#NUM!</v>
      </c>
      <c r="BG148" s="20" t="e">
        <f t="shared" si="115"/>
        <v>#NUM!</v>
      </c>
      <c r="BH148" s="57" t="e">
        <f t="shared" si="116"/>
        <v>#NUM!</v>
      </c>
      <c r="BI148" s="57">
        <f ca="1">AVERAGE(OFFSET($BH$3,0,0,'Données projet'!$E$11+1,1))-AVERAGE(OFFSET($H$3,0,0,'Données projet'!$E$11+1,1))</f>
        <v>396.44612884768748</v>
      </c>
      <c r="BJ148" s="57">
        <f t="shared" si="146"/>
        <v>244.451492444461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90.886183216107455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90.886183216107455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3.4106051316484809E-13</v>
      </c>
      <c r="BZ148" s="13">
        <f>BY148*VLOOKUP('Données projet'!$B$12,Paramètres!$A$1:$I$89,3,0)*VLOOKUP('Données projet'!$B$12,Paramètres!$A$1:$I$89,5,0)</f>
        <v>2.0395418687257919E-13</v>
      </c>
      <c r="CA148" s="13">
        <f t="shared" si="147"/>
        <v>2.8200388570161721E-12</v>
      </c>
      <c r="CB148" s="20">
        <f t="shared" si="118"/>
        <v>5.2667878847729083E-12</v>
      </c>
      <c r="CC148" s="57">
        <f t="shared" si="119"/>
        <v>293.3333333333386</v>
      </c>
      <c r="CD148" s="57">
        <f ca="1">AVERAGE(OFFSET($CC$3,0,0,'Données projet'!$E$12+1,1))-AVERAGE(OFFSET($H$3,0,0,'Données projet'!$E$12+1,1))</f>
        <v>259.64096626089821</v>
      </c>
      <c r="CE148" s="57">
        <f t="shared" si="148"/>
        <v>258.1415293081597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28.026217375888869</v>
      </c>
      <c r="CL148" s="21">
        <f>EXP(-LN(2)/25)*CL147+(1-EXP(-LN(2)/25))/(LN(2)/25)*Calculateur!CG148*Calculateur!CI148*VLOOKUP('Données projet'!$B$12,Paramètres!$A$1:$I$89,3,0)*0.475*44/12</f>
        <v>3.3573550491104074</v>
      </c>
      <c r="CM148" s="21">
        <f>EXP(-LN(2)/2)*CM147+(1-EXP(-LN(2)/2))/(LN(2)/2)*CG148*CJ148*VLOOKUP('Données projet'!$B$12,Paramètres!$A$1:$I$89,3,0)*0.475*44/12</f>
        <v>4.3658265808679125E-12</v>
      </c>
      <c r="CN148" s="22">
        <f t="shared" si="120"/>
        <v>31.383572425003642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-1.223725121235475E-13</v>
      </c>
      <c r="CV148" s="13" t="e">
        <f t="shared" si="149"/>
        <v>#NUM!</v>
      </c>
      <c r="CW148" s="20" t="e">
        <f t="shared" si="121"/>
        <v>#NUM!</v>
      </c>
      <c r="CX148" s="57" t="e">
        <f t="shared" si="122"/>
        <v>#NUM!</v>
      </c>
      <c r="CY148" s="57">
        <f ca="1">AVERAGE(OFFSET($CX$3,0,0,'Données projet'!$E$13+1,1))-AVERAGE(OFFSET($H$3,0,0,'Données projet'!$E$13+1,1))</f>
        <v>436.59978658837537</v>
      </c>
      <c r="CZ148" s="57">
        <f t="shared" si="150"/>
        <v>267.2998309535638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101.1475264824422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101.1475264824422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-1.0818439477588981E-13</v>
      </c>
      <c r="DQ148" s="13" t="e">
        <f t="shared" si="151"/>
        <v>#NUM!</v>
      </c>
      <c r="DR148" s="20" t="e">
        <f t="shared" si="124"/>
        <v>#NUM!</v>
      </c>
      <c r="DS148" s="57" t="e">
        <f t="shared" si="125"/>
        <v>#NUM!</v>
      </c>
      <c r="DT148" s="57">
        <f ca="1">AVERAGE(OFFSET($DS$3,0,0,'Données projet'!$E$14+1,1))-AVERAGE(OFFSET($H$3,0,0,'Données projet'!$E$14+1,1))</f>
        <v>292.95981568144879</v>
      </c>
      <c r="DU148" s="57">
        <f t="shared" si="152"/>
        <v>152.23954167722536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64.94210701378104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64.94210701378104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7" t="e">
        <f t="shared" si="128"/>
        <v>#N/A</v>
      </c>
      <c r="EO148" s="57" t="e">
        <f ca="1">AVERAGE(OFFSET($EN$3,0,0,'Données projet'!$E$15+1,1))-AVERAGE(OFFSET($H$3,0,0,'Données projet'!$E$15+1,1))</f>
        <v>#N/A</v>
      </c>
      <c r="EP148" s="57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7" t="e">
        <f t="shared" si="131"/>
        <v>#N/A</v>
      </c>
      <c r="FJ148" s="57" t="e">
        <f ca="1">AVERAGE(OFFSET($FI$3,0,0,'Données projet'!$E$16+1,1))-AVERAGE(OFFSET($H$3,0,0,'Données projet'!$E$16+1,1))</f>
        <v>#N/A</v>
      </c>
      <c r="FK148" s="57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7" t="e">
        <f t="shared" si="134"/>
        <v>#N/A</v>
      </c>
      <c r="GE148" s="57" t="e">
        <f ca="1">AVERAGE(OFFSET($GD$3,0,0,'Données projet'!$E$17+1,1))-AVERAGE(OFFSET($H$3,0,0,'Données projet'!$E$17+1,1))</f>
        <v>#N/A</v>
      </c>
      <c r="GF148" s="57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7" t="e">
        <f t="shared" si="137"/>
        <v>#N/A</v>
      </c>
      <c r="GZ148" s="57" t="e">
        <f ca="1">AVERAGE(OFFSET($GY$3,0,0,'Données projet'!$E$18+1,1))-AVERAGE(OFFSET($H$3,0,0,'Données projet'!$E$18+1,1))</f>
        <v>#N/A</v>
      </c>
      <c r="HA148" s="57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1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5">
        <f t="shared" si="110"/>
        <v>256.66666666666669</v>
      </c>
      <c r="I149" s="6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7" t="e">
        <f t="shared" si="109"/>
        <v>#NUM!</v>
      </c>
      <c r="S149" s="57">
        <f ca="1">AVERAGE(OFFSET($R$3,0,0,'Données projet'!$E$9+1,1))-AVERAGE(OFFSET($H$3,0,0,'Données projet'!$E$9+1,1))</f>
        <v>373.45926089889866</v>
      </c>
      <c r="T149" s="57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83.355317979090046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83.355317979090046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-1.0818439477588981E-13</v>
      </c>
      <c r="AK149" s="13" t="e">
        <f t="shared" si="143"/>
        <v>#NUM!</v>
      </c>
      <c r="AL149" s="20" t="e">
        <f t="shared" si="112"/>
        <v>#NUM!</v>
      </c>
      <c r="AM149" s="57" t="e">
        <f t="shared" si="113"/>
        <v>#NUM!</v>
      </c>
      <c r="AN149" s="57">
        <f ca="1">AVERAGE(OFFSET($AM$3,0,0,'Données projet'!$E$10+1,1))-AVERAGE(OFFSET($H$3,0,0,'Données projet'!$E$10+1,1))</f>
        <v>390.70240761116355</v>
      </c>
      <c r="AO149" s="57">
        <f t="shared" si="144"/>
        <v>241.18285512887638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87.666799943525689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87.666799943525689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-1.0995790944434703E-13</v>
      </c>
      <c r="BF149" s="13" t="e">
        <f t="shared" si="145"/>
        <v>#NUM!</v>
      </c>
      <c r="BG149" s="20" t="e">
        <f t="shared" si="115"/>
        <v>#NUM!</v>
      </c>
      <c r="BH149" s="57" t="e">
        <f t="shared" si="116"/>
        <v>#NUM!</v>
      </c>
      <c r="BI149" s="57">
        <f ca="1">AVERAGE(OFFSET($BH$3,0,0,'Données projet'!$E$11+1,1))-AVERAGE(OFFSET($H$3,0,0,'Données projet'!$E$11+1,1))</f>
        <v>396.44612884768748</v>
      </c>
      <c r="BJ149" s="57">
        <f t="shared" si="146"/>
        <v>244.451492444461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89.103960598337594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89.103960598337594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3.4106051316484809E-13</v>
      </c>
      <c r="BZ149" s="13">
        <f>BY149*VLOOKUP('Données projet'!$B$12,Paramètres!$A$1:$I$89,3,0)*VLOOKUP('Données projet'!$B$12,Paramètres!$A$1:$I$89,5,0)</f>
        <v>2.0395418687257919E-13</v>
      </c>
      <c r="CA149" s="13">
        <f t="shared" si="147"/>
        <v>2.8200388570161721E-12</v>
      </c>
      <c r="CB149" s="20">
        <f t="shared" si="118"/>
        <v>5.2667878847729083E-12</v>
      </c>
      <c r="CC149" s="57">
        <f t="shared" si="119"/>
        <v>293.3333333333386</v>
      </c>
      <c r="CD149" s="57">
        <f ca="1">AVERAGE(OFFSET($CC$3,0,0,'Données projet'!$E$12+1,1))-AVERAGE(OFFSET($H$3,0,0,'Données projet'!$E$12+1,1))</f>
        <v>259.64096626089821</v>
      </c>
      <c r="CE149" s="57">
        <f t="shared" si="148"/>
        <v>258.1415293081597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27.476640347452367</v>
      </c>
      <c r="CL149" s="21">
        <f>EXP(-LN(2)/25)*CL148+(1-EXP(-LN(2)/25))/(LN(2)/25)*Calculateur!CG149*Calculateur!CI149*VLOOKUP('Données projet'!$B$12,Paramètres!$A$1:$I$89,3,0)*0.475*44/12</f>
        <v>3.2655479987368548</v>
      </c>
      <c r="CM149" s="21">
        <f>EXP(-LN(2)/2)*CM148+(1-EXP(-LN(2)/2))/(LN(2)/2)*CG149*CJ149*VLOOKUP('Données projet'!$B$12,Paramètres!$A$1:$I$89,3,0)*0.475*44/12</f>
        <v>3.08710558081618E-12</v>
      </c>
      <c r="CN149" s="22">
        <f t="shared" si="120"/>
        <v>30.742188346192311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-1.223725121235475E-13</v>
      </c>
      <c r="CV149" s="13" t="e">
        <f t="shared" si="149"/>
        <v>#NUM!</v>
      </c>
      <c r="CW149" s="20" t="e">
        <f t="shared" si="121"/>
        <v>#NUM!</v>
      </c>
      <c r="CX149" s="57" t="e">
        <f t="shared" si="122"/>
        <v>#NUM!</v>
      </c>
      <c r="CY149" s="57">
        <f ca="1">AVERAGE(OFFSET($CX$3,0,0,'Données projet'!$E$13+1,1))-AVERAGE(OFFSET($H$3,0,0,'Données projet'!$E$13+1,1))</f>
        <v>436.59978658837537</v>
      </c>
      <c r="CZ149" s="57">
        <f t="shared" si="150"/>
        <v>267.2998309535638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99.164085182020898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99.164085182020898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-1.0818439477588981E-13</v>
      </c>
      <c r="DQ149" s="13" t="e">
        <f t="shared" si="151"/>
        <v>#NUM!</v>
      </c>
      <c r="DR149" s="20" t="e">
        <f t="shared" si="124"/>
        <v>#NUM!</v>
      </c>
      <c r="DS149" s="57" t="e">
        <f t="shared" si="125"/>
        <v>#NUM!</v>
      </c>
      <c r="DT149" s="57">
        <f ca="1">AVERAGE(OFFSET($DS$3,0,0,'Données projet'!$E$14+1,1))-AVERAGE(OFFSET($H$3,0,0,'Données projet'!$E$14+1,1))</f>
        <v>292.95981568144879</v>
      </c>
      <c r="DU149" s="57">
        <f t="shared" si="152"/>
        <v>152.23954167722536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63.668631906014831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63.668631906014831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7" t="e">
        <f t="shared" si="128"/>
        <v>#N/A</v>
      </c>
      <c r="EO149" s="57" t="e">
        <f ca="1">AVERAGE(OFFSET($EN$3,0,0,'Données projet'!$E$15+1,1))-AVERAGE(OFFSET($H$3,0,0,'Données projet'!$E$15+1,1))</f>
        <v>#N/A</v>
      </c>
      <c r="EP149" s="57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7" t="e">
        <f t="shared" si="131"/>
        <v>#N/A</v>
      </c>
      <c r="FJ149" s="57" t="e">
        <f ca="1">AVERAGE(OFFSET($FI$3,0,0,'Données projet'!$E$16+1,1))-AVERAGE(OFFSET($H$3,0,0,'Données projet'!$E$16+1,1))</f>
        <v>#N/A</v>
      </c>
      <c r="FK149" s="57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7" t="e">
        <f t="shared" si="134"/>
        <v>#N/A</v>
      </c>
      <c r="GE149" s="57" t="e">
        <f ca="1">AVERAGE(OFFSET($GD$3,0,0,'Données projet'!$E$17+1,1))-AVERAGE(OFFSET($H$3,0,0,'Données projet'!$E$17+1,1))</f>
        <v>#N/A</v>
      </c>
      <c r="GF149" s="57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7" t="e">
        <f t="shared" si="137"/>
        <v>#N/A</v>
      </c>
      <c r="GZ149" s="57" t="e">
        <f ca="1">AVERAGE(OFFSET($GY$3,0,0,'Données projet'!$E$18+1,1))-AVERAGE(OFFSET($H$3,0,0,'Données projet'!$E$18+1,1))</f>
        <v>#N/A</v>
      </c>
      <c r="HA149" s="57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1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5">
        <f t="shared" si="110"/>
        <v>256.66666666666669</v>
      </c>
      <c r="I150" s="6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7" t="e">
        <f t="shared" si="109"/>
        <v>#NUM!</v>
      </c>
      <c r="S150" s="57">
        <f ca="1">AVERAGE(OFFSET($R$3,0,0,'Données projet'!$E$9+1,1))-AVERAGE(OFFSET($H$3,0,0,'Données projet'!$E$9+1,1))</f>
        <v>373.45926089889866</v>
      </c>
      <c r="T150" s="57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81.720771035243857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81.720771035243857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-1.0818439477588981E-13</v>
      </c>
      <c r="AK150" s="13" t="e">
        <f t="shared" si="143"/>
        <v>#NUM!</v>
      </c>
      <c r="AL150" s="20" t="e">
        <f t="shared" si="112"/>
        <v>#NUM!</v>
      </c>
      <c r="AM150" s="57" t="e">
        <f t="shared" si="113"/>
        <v>#NUM!</v>
      </c>
      <c r="AN150" s="57">
        <f ca="1">AVERAGE(OFFSET($AM$3,0,0,'Données projet'!$E$10+1,1))-AVERAGE(OFFSET($H$3,0,0,'Données projet'!$E$10+1,1))</f>
        <v>390.70240761116355</v>
      </c>
      <c r="AO150" s="57">
        <f t="shared" si="144"/>
        <v>241.18285512887638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85.947707468101243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85.947707468101243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-1.0995790944434703E-13</v>
      </c>
      <c r="BF150" s="13" t="e">
        <f t="shared" si="145"/>
        <v>#NUM!</v>
      </c>
      <c r="BG150" s="20" t="e">
        <f t="shared" si="115"/>
        <v>#NUM!</v>
      </c>
      <c r="BH150" s="57" t="e">
        <f t="shared" si="116"/>
        <v>#NUM!</v>
      </c>
      <c r="BI150" s="57">
        <f ca="1">AVERAGE(OFFSET($BH$3,0,0,'Données projet'!$E$11+1,1))-AVERAGE(OFFSET($H$3,0,0,'Données projet'!$E$11+1,1))</f>
        <v>396.44612884768748</v>
      </c>
      <c r="BJ150" s="57">
        <f t="shared" si="146"/>
        <v>244.451492444461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87.356686279053733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87.356686279053733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3.4106051316484809E-13</v>
      </c>
      <c r="BZ150" s="13">
        <f>BY150*VLOOKUP('Données projet'!$B$12,Paramètres!$A$1:$I$89,3,0)*VLOOKUP('Données projet'!$B$12,Paramètres!$A$1:$I$89,5,0)</f>
        <v>2.0395418687257919E-13</v>
      </c>
      <c r="CA150" s="13">
        <f t="shared" si="147"/>
        <v>2.8200388570161721E-12</v>
      </c>
      <c r="CB150" s="20">
        <f t="shared" si="118"/>
        <v>5.2667878847729083E-12</v>
      </c>
      <c r="CC150" s="57">
        <f t="shared" si="119"/>
        <v>293.3333333333386</v>
      </c>
      <c r="CD150" s="57">
        <f ca="1">AVERAGE(OFFSET($CC$3,0,0,'Données projet'!$E$12+1,1))-AVERAGE(OFFSET($H$3,0,0,'Données projet'!$E$12+1,1))</f>
        <v>259.64096626089821</v>
      </c>
      <c r="CE150" s="57">
        <f t="shared" si="148"/>
        <v>258.1415293081597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26.937840189334615</v>
      </c>
      <c r="CL150" s="21">
        <f>EXP(-LN(2)/25)*CL149+(1-EXP(-LN(2)/25))/(LN(2)/25)*Calculateur!CG150*Calculateur!CI150*VLOOKUP('Données projet'!$B$12,Paramètres!$A$1:$I$89,3,0)*0.475*44/12</f>
        <v>3.1762514169836895</v>
      </c>
      <c r="CM150" s="21">
        <f>EXP(-LN(2)/2)*CM149+(1-EXP(-LN(2)/2))/(LN(2)/2)*CG150*CJ150*VLOOKUP('Données projet'!$B$12,Paramètres!$A$1:$I$89,3,0)*0.475*44/12</f>
        <v>2.1829132904339562E-12</v>
      </c>
      <c r="CN150" s="22">
        <f t="shared" si="120"/>
        <v>30.114091606320486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-1.223725121235475E-13</v>
      </c>
      <c r="CV150" s="13" t="e">
        <f t="shared" si="149"/>
        <v>#NUM!</v>
      </c>
      <c r="CW150" s="20" t="e">
        <f t="shared" si="121"/>
        <v>#NUM!</v>
      </c>
      <c r="CX150" s="57" t="e">
        <f t="shared" si="122"/>
        <v>#NUM!</v>
      </c>
      <c r="CY150" s="57">
        <f ca="1">AVERAGE(OFFSET($CX$3,0,0,'Données projet'!$E$13+1,1))-AVERAGE(OFFSET($H$3,0,0,'Données projet'!$E$13+1,1))</f>
        <v>436.59978658837537</v>
      </c>
      <c r="CZ150" s="57">
        <f t="shared" si="150"/>
        <v>267.2998309535638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97.219537955721123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97.219537955721123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-1.0818439477588981E-13</v>
      </c>
      <c r="DQ150" s="13" t="e">
        <f t="shared" si="151"/>
        <v>#NUM!</v>
      </c>
      <c r="DR150" s="20" t="e">
        <f t="shared" si="124"/>
        <v>#NUM!</v>
      </c>
      <c r="DS150" s="57" t="e">
        <f t="shared" si="125"/>
        <v>#NUM!</v>
      </c>
      <c r="DT150" s="57">
        <f ca="1">AVERAGE(OFFSET($DS$3,0,0,'Données projet'!$E$14+1,1))-AVERAGE(OFFSET($H$3,0,0,'Données projet'!$E$14+1,1))</f>
        <v>292.95981568144879</v>
      </c>
      <c r="DU150" s="57">
        <f t="shared" si="152"/>
        <v>152.23954167722536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62.420128868368799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62.420128868368799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7" t="e">
        <f t="shared" si="128"/>
        <v>#N/A</v>
      </c>
      <c r="EO150" s="57" t="e">
        <f ca="1">AVERAGE(OFFSET($EN$3,0,0,'Données projet'!$E$15+1,1))-AVERAGE(OFFSET($H$3,0,0,'Données projet'!$E$15+1,1))</f>
        <v>#N/A</v>
      </c>
      <c r="EP150" s="57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7" t="e">
        <f t="shared" si="131"/>
        <v>#N/A</v>
      </c>
      <c r="FJ150" s="57" t="e">
        <f ca="1">AVERAGE(OFFSET($FI$3,0,0,'Données projet'!$E$16+1,1))-AVERAGE(OFFSET($H$3,0,0,'Données projet'!$E$16+1,1))</f>
        <v>#N/A</v>
      </c>
      <c r="FK150" s="57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7" t="e">
        <f t="shared" si="134"/>
        <v>#N/A</v>
      </c>
      <c r="GE150" s="57" t="e">
        <f ca="1">AVERAGE(OFFSET($GD$3,0,0,'Données projet'!$E$17+1,1))-AVERAGE(OFFSET($H$3,0,0,'Données projet'!$E$17+1,1))</f>
        <v>#N/A</v>
      </c>
      <c r="GF150" s="57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7" t="e">
        <f t="shared" si="137"/>
        <v>#N/A</v>
      </c>
      <c r="GZ150" s="57" t="e">
        <f ca="1">AVERAGE(OFFSET($GY$3,0,0,'Données projet'!$E$18+1,1))-AVERAGE(OFFSET($H$3,0,0,'Données projet'!$E$18+1,1))</f>
        <v>#N/A</v>
      </c>
      <c r="HA150" s="57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1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5">
        <f t="shared" si="110"/>
        <v>256.66666666666669</v>
      </c>
      <c r="I151" s="6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7" t="e">
        <f t="shared" si="109"/>
        <v>#NUM!</v>
      </c>
      <c r="S151" s="57">
        <f ca="1">AVERAGE(OFFSET($R$3,0,0,'Données projet'!$E$9+1,1))-AVERAGE(OFFSET($H$3,0,0,'Données projet'!$E$9+1,1))</f>
        <v>373.45926089889866</v>
      </c>
      <c r="T151" s="57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80.118276559991301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80.118276559991301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-1.0818439477588981E-13</v>
      </c>
      <c r="AK151" s="13" t="e">
        <f t="shared" si="143"/>
        <v>#NUM!</v>
      </c>
      <c r="AL151" s="20" t="e">
        <f t="shared" si="112"/>
        <v>#NUM!</v>
      </c>
      <c r="AM151" s="57" t="e">
        <f t="shared" si="113"/>
        <v>#NUM!</v>
      </c>
      <c r="AN151" s="57">
        <f ca="1">AVERAGE(OFFSET($AM$3,0,0,'Données projet'!$E$10+1,1))-AVERAGE(OFFSET($H$3,0,0,'Données projet'!$E$10+1,1))</f>
        <v>390.70240761116355</v>
      </c>
      <c r="AO151" s="57">
        <f t="shared" si="144"/>
        <v>241.18285512887638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84.262325347577004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84.262325347577004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-1.0995790944434703E-13</v>
      </c>
      <c r="BF151" s="13" t="e">
        <f t="shared" si="145"/>
        <v>#NUM!</v>
      </c>
      <c r="BG151" s="20" t="e">
        <f t="shared" si="115"/>
        <v>#NUM!</v>
      </c>
      <c r="BH151" s="57" t="e">
        <f t="shared" si="116"/>
        <v>#NUM!</v>
      </c>
      <c r="BI151" s="57">
        <f ca="1">AVERAGE(OFFSET($BH$3,0,0,'Données projet'!$E$11+1,1))-AVERAGE(OFFSET($H$3,0,0,'Données projet'!$E$11+1,1))</f>
        <v>396.44612884768748</v>
      </c>
      <c r="BJ151" s="57">
        <f t="shared" si="146"/>
        <v>244.451492444461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85.643674943438924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85.643674943438924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3.4106051316484809E-13</v>
      </c>
      <c r="BZ151" s="13">
        <f>BY151*VLOOKUP('Données projet'!$B$12,Paramètres!$A$1:$I$89,3,0)*VLOOKUP('Données projet'!$B$12,Paramètres!$A$1:$I$89,5,0)</f>
        <v>2.0395418687257919E-13</v>
      </c>
      <c r="CA151" s="13">
        <f t="shared" si="147"/>
        <v>2.8200388570161721E-12</v>
      </c>
      <c r="CB151" s="20">
        <f t="shared" si="118"/>
        <v>5.2667878847729083E-12</v>
      </c>
      <c r="CC151" s="57">
        <f t="shared" si="119"/>
        <v>293.3333333333386</v>
      </c>
      <c r="CD151" s="57">
        <f ca="1">AVERAGE(OFFSET($CC$3,0,0,'Données projet'!$E$12+1,1))-AVERAGE(OFFSET($H$3,0,0,'Données projet'!$E$12+1,1))</f>
        <v>259.64096626089821</v>
      </c>
      <c r="CE151" s="57">
        <f t="shared" si="148"/>
        <v>258.1415293081597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26.409605573681905</v>
      </c>
      <c r="CL151" s="21">
        <f>EXP(-LN(2)/25)*CL150+(1-EXP(-LN(2)/25))/(LN(2)/25)*Calculateur!CG151*Calculateur!CI151*VLOOKUP('Données projet'!$B$12,Paramètres!$A$1:$I$89,3,0)*0.475*44/12</f>
        <v>3.0893966549544678</v>
      </c>
      <c r="CM151" s="21">
        <f>EXP(-LN(2)/2)*CM150+(1-EXP(-LN(2)/2))/(LN(2)/2)*CG151*CJ151*VLOOKUP('Données projet'!$B$12,Paramètres!$A$1:$I$89,3,0)*0.475*44/12</f>
        <v>1.54355279040809E-12</v>
      </c>
      <c r="CN151" s="22">
        <f t="shared" si="120"/>
        <v>29.499002228637913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-1.223725121235475E-13</v>
      </c>
      <c r="CV151" s="13" t="e">
        <f t="shared" si="149"/>
        <v>#NUM!</v>
      </c>
      <c r="CW151" s="20" t="e">
        <f t="shared" si="121"/>
        <v>#NUM!</v>
      </c>
      <c r="CX151" s="57" t="e">
        <f t="shared" si="122"/>
        <v>#NUM!</v>
      </c>
      <c r="CY151" s="57">
        <f ca="1">AVERAGE(OFFSET($CX$3,0,0,'Données projet'!$E$13+1,1))-AVERAGE(OFFSET($H$3,0,0,'Données projet'!$E$13+1,1))</f>
        <v>436.59978658837537</v>
      </c>
      <c r="CZ151" s="57">
        <f t="shared" si="150"/>
        <v>267.2998309535638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95.313122114472392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95.313122114472392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-1.0818439477588981E-13</v>
      </c>
      <c r="DQ151" s="13" t="e">
        <f t="shared" si="151"/>
        <v>#NUM!</v>
      </c>
      <c r="DR151" s="20" t="e">
        <f t="shared" si="124"/>
        <v>#NUM!</v>
      </c>
      <c r="DS151" s="57" t="e">
        <f t="shared" si="125"/>
        <v>#NUM!</v>
      </c>
      <c r="DT151" s="57">
        <f ca="1">AVERAGE(OFFSET($DS$3,0,0,'Données projet'!$E$14+1,1))-AVERAGE(OFFSET($H$3,0,0,'Données projet'!$E$14+1,1))</f>
        <v>292.95981568144879</v>
      </c>
      <c r="DU151" s="57">
        <f t="shared" si="152"/>
        <v>152.23954167722536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61.196108213779347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61.196108213779347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7" t="e">
        <f t="shared" si="128"/>
        <v>#N/A</v>
      </c>
      <c r="EO151" s="57" t="e">
        <f ca="1">AVERAGE(OFFSET($EN$3,0,0,'Données projet'!$E$15+1,1))-AVERAGE(OFFSET($H$3,0,0,'Données projet'!$E$15+1,1))</f>
        <v>#N/A</v>
      </c>
      <c r="EP151" s="57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7" t="e">
        <f t="shared" si="131"/>
        <v>#N/A</v>
      </c>
      <c r="FJ151" s="57" t="e">
        <f ca="1">AVERAGE(OFFSET($FI$3,0,0,'Données projet'!$E$16+1,1))-AVERAGE(OFFSET($H$3,0,0,'Données projet'!$E$16+1,1))</f>
        <v>#N/A</v>
      </c>
      <c r="FK151" s="57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7" t="e">
        <f t="shared" si="134"/>
        <v>#N/A</v>
      </c>
      <c r="GE151" s="57" t="e">
        <f ca="1">AVERAGE(OFFSET($GD$3,0,0,'Données projet'!$E$17+1,1))-AVERAGE(OFFSET($H$3,0,0,'Données projet'!$E$17+1,1))</f>
        <v>#N/A</v>
      </c>
      <c r="GF151" s="57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7" t="e">
        <f t="shared" si="137"/>
        <v>#N/A</v>
      </c>
      <c r="GZ151" s="57" t="e">
        <f ca="1">AVERAGE(OFFSET($GY$3,0,0,'Données projet'!$E$18+1,1))-AVERAGE(OFFSET($H$3,0,0,'Données projet'!$E$18+1,1))</f>
        <v>#N/A</v>
      </c>
      <c r="HA151" s="57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1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5">
        <f t="shared" si="110"/>
        <v>256.66666666666669</v>
      </c>
      <c r="I152" s="6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7" t="e">
        <f t="shared" si="109"/>
        <v>#NUM!</v>
      </c>
      <c r="S152" s="57">
        <f ca="1">AVERAGE(OFFSET($R$3,0,0,'Données projet'!$E$9+1,1))-AVERAGE(OFFSET($H$3,0,0,'Données projet'!$E$9+1,1))</f>
        <v>373.45926089889866</v>
      </c>
      <c r="T152" s="57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78.547206023973331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78.547206023973331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-1.0818439477588981E-13</v>
      </c>
      <c r="AK152" s="13" t="e">
        <f t="shared" si="143"/>
        <v>#NUM!</v>
      </c>
      <c r="AL152" s="20" t="e">
        <f t="shared" si="112"/>
        <v>#NUM!</v>
      </c>
      <c r="AM152" s="57" t="e">
        <f t="shared" si="113"/>
        <v>#NUM!</v>
      </c>
      <c r="AN152" s="57">
        <f ca="1">AVERAGE(OFFSET($AM$3,0,0,'Données projet'!$E$10+1,1))-AVERAGE(OFFSET($H$3,0,0,'Données projet'!$E$10+1,1))</f>
        <v>390.70240761116355</v>
      </c>
      <c r="AO152" s="57">
        <f t="shared" si="144"/>
        <v>241.18285512887638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82.609992542454648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82.609992542454648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-1.0995790944434703E-13</v>
      </c>
      <c r="BF152" s="13" t="e">
        <f t="shared" si="145"/>
        <v>#NUM!</v>
      </c>
      <c r="BG152" s="20" t="e">
        <f t="shared" si="115"/>
        <v>#NUM!</v>
      </c>
      <c r="BH152" s="57" t="e">
        <f t="shared" si="116"/>
        <v>#NUM!</v>
      </c>
      <c r="BI152" s="57">
        <f ca="1">AVERAGE(OFFSET($BH$3,0,0,'Données projet'!$E$11+1,1))-AVERAGE(OFFSET($H$3,0,0,'Données projet'!$E$11+1,1))</f>
        <v>396.44612884768748</v>
      </c>
      <c r="BJ152" s="57">
        <f t="shared" si="146"/>
        <v>244.451492444461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83.964254715281783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83.964254715281783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3.4106051316484809E-13</v>
      </c>
      <c r="BZ152" s="13">
        <f>BY152*VLOOKUP('Données projet'!$B$12,Paramètres!$A$1:$I$89,3,0)*VLOOKUP('Données projet'!$B$12,Paramètres!$A$1:$I$89,5,0)</f>
        <v>2.0395418687257919E-13</v>
      </c>
      <c r="CA152" s="13">
        <f t="shared" si="147"/>
        <v>2.8200388570161721E-12</v>
      </c>
      <c r="CB152" s="20">
        <f t="shared" si="118"/>
        <v>5.2667878847729083E-12</v>
      </c>
      <c r="CC152" s="57">
        <f t="shared" si="119"/>
        <v>293.3333333333386</v>
      </c>
      <c r="CD152" s="57">
        <f ca="1">AVERAGE(OFFSET($CC$3,0,0,'Données projet'!$E$12+1,1))-AVERAGE(OFFSET($H$3,0,0,'Données projet'!$E$12+1,1))</f>
        <v>259.64096626089821</v>
      </c>
      <c r="CE152" s="57">
        <f t="shared" si="148"/>
        <v>258.1415293081597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25.891729316650842</v>
      </c>
      <c r="CL152" s="21">
        <f>EXP(-LN(2)/25)*CL151+(1-EXP(-LN(2)/25))/(LN(2)/25)*Calculateur!CG152*Calculateur!CI152*VLOOKUP('Données projet'!$B$12,Paramètres!$A$1:$I$89,3,0)*0.475*44/12</f>
        <v>3.0049169409604288</v>
      </c>
      <c r="CM152" s="21">
        <f>EXP(-LN(2)/2)*CM151+(1-EXP(-LN(2)/2))/(LN(2)/2)*CG152*CJ152*VLOOKUP('Données projet'!$B$12,Paramètres!$A$1:$I$89,3,0)*0.475*44/12</f>
        <v>1.0914566452169781E-12</v>
      </c>
      <c r="CN152" s="22">
        <f t="shared" si="120"/>
        <v>28.89664625761236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-1.223725121235475E-13</v>
      </c>
      <c r="CV152" s="13" t="e">
        <f t="shared" si="149"/>
        <v>#NUM!</v>
      </c>
      <c r="CW152" s="20" t="e">
        <f t="shared" si="121"/>
        <v>#NUM!</v>
      </c>
      <c r="CX152" s="57" t="e">
        <f t="shared" si="122"/>
        <v>#NUM!</v>
      </c>
      <c r="CY152" s="57">
        <f ca="1">AVERAGE(OFFSET($CX$3,0,0,'Données projet'!$E$13+1,1))-AVERAGE(OFFSET($H$3,0,0,'Données projet'!$E$13+1,1))</f>
        <v>436.59978658837537</v>
      </c>
      <c r="CZ152" s="57">
        <f t="shared" si="150"/>
        <v>267.2998309535638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93.444089925071694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93.444089925071694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-1.0818439477588981E-13</v>
      </c>
      <c r="DQ152" s="13" t="e">
        <f t="shared" si="151"/>
        <v>#NUM!</v>
      </c>
      <c r="DR152" s="20" t="e">
        <f t="shared" si="124"/>
        <v>#NUM!</v>
      </c>
      <c r="DS152" s="57" t="e">
        <f t="shared" si="125"/>
        <v>#NUM!</v>
      </c>
      <c r="DT152" s="57">
        <f ca="1">AVERAGE(OFFSET($DS$3,0,0,'Données projet'!$E$14+1,1))-AVERAGE(OFFSET($H$3,0,0,'Données projet'!$E$14+1,1))</f>
        <v>292.95981568144879</v>
      </c>
      <c r="DU152" s="57">
        <f t="shared" si="152"/>
        <v>152.23954167722536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59.996089857647512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59.996089857647512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7" t="e">
        <f t="shared" si="128"/>
        <v>#N/A</v>
      </c>
      <c r="EO152" s="57" t="e">
        <f ca="1">AVERAGE(OFFSET($EN$3,0,0,'Données projet'!$E$15+1,1))-AVERAGE(OFFSET($H$3,0,0,'Données projet'!$E$15+1,1))</f>
        <v>#N/A</v>
      </c>
      <c r="EP152" s="57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7" t="e">
        <f t="shared" si="131"/>
        <v>#N/A</v>
      </c>
      <c r="FJ152" s="57" t="e">
        <f ca="1">AVERAGE(OFFSET($FI$3,0,0,'Données projet'!$E$16+1,1))-AVERAGE(OFFSET($H$3,0,0,'Données projet'!$E$16+1,1))</f>
        <v>#N/A</v>
      </c>
      <c r="FK152" s="57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7" t="e">
        <f t="shared" si="134"/>
        <v>#N/A</v>
      </c>
      <c r="GE152" s="57" t="e">
        <f ca="1">AVERAGE(OFFSET($GD$3,0,0,'Données projet'!$E$17+1,1))-AVERAGE(OFFSET($H$3,0,0,'Données projet'!$E$17+1,1))</f>
        <v>#N/A</v>
      </c>
      <c r="GF152" s="57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7" t="e">
        <f t="shared" si="137"/>
        <v>#N/A</v>
      </c>
      <c r="GZ152" s="57" t="e">
        <f ca="1">AVERAGE(OFFSET($GY$3,0,0,'Données projet'!$E$18+1,1))-AVERAGE(OFFSET($H$3,0,0,'Données projet'!$E$18+1,1))</f>
        <v>#N/A</v>
      </c>
      <c r="HA152" s="57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1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5">
        <f t="shared" si="110"/>
        <v>256.66666666666669</v>
      </c>
      <c r="I153" s="6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7" t="e">
        <f t="shared" si="109"/>
        <v>#NUM!</v>
      </c>
      <c r="S153" s="57">
        <f ca="1">AVERAGE(OFFSET($R$3,0,0,'Données projet'!$E$9+1,1))-AVERAGE(OFFSET($H$3,0,0,'Données projet'!$E$9+1,1))</f>
        <v>373.45926089889866</v>
      </c>
      <c r="T153" s="57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77.006943222908262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77.006943222908262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-1.0818439477588981E-13</v>
      </c>
      <c r="AK153" s="13" t="e">
        <f t="shared" si="143"/>
        <v>#NUM!</v>
      </c>
      <c r="AL153" s="20" t="e">
        <f t="shared" si="112"/>
        <v>#NUM!</v>
      </c>
      <c r="AM153" s="57" t="e">
        <f t="shared" si="113"/>
        <v>#NUM!</v>
      </c>
      <c r="AN153" s="57">
        <f ca="1">AVERAGE(OFFSET($AM$3,0,0,'Données projet'!$E$10+1,1))-AVERAGE(OFFSET($H$3,0,0,'Données projet'!$E$10+1,1))</f>
        <v>390.70240761116355</v>
      </c>
      <c r="AO153" s="57">
        <f t="shared" si="144"/>
        <v>241.18285512887638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80.990060975817244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80.990060975817244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-1.0995790944434703E-13</v>
      </c>
      <c r="BF153" s="13" t="e">
        <f t="shared" si="145"/>
        <v>#NUM!</v>
      </c>
      <c r="BG153" s="20" t="e">
        <f t="shared" si="115"/>
        <v>#NUM!</v>
      </c>
      <c r="BH153" s="57" t="e">
        <f t="shared" si="116"/>
        <v>#NUM!</v>
      </c>
      <c r="BI153" s="57">
        <f ca="1">AVERAGE(OFFSET($BH$3,0,0,'Données projet'!$E$11+1,1))-AVERAGE(OFFSET($H$3,0,0,'Données projet'!$E$11+1,1))</f>
        <v>396.44612884768748</v>
      </c>
      <c r="BJ153" s="57">
        <f t="shared" si="146"/>
        <v>244.451492444461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82.317766893453609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82.317766893453609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3.4106051316484809E-13</v>
      </c>
      <c r="BZ153" s="13">
        <f>BY153*VLOOKUP('Données projet'!$B$12,Paramètres!$A$1:$I$89,3,0)*VLOOKUP('Données projet'!$B$12,Paramètres!$A$1:$I$89,5,0)</f>
        <v>2.0395418687257919E-13</v>
      </c>
      <c r="CA153" s="13">
        <f t="shared" si="147"/>
        <v>2.8200388570161721E-12</v>
      </c>
      <c r="CB153" s="20">
        <f t="shared" si="118"/>
        <v>5.2667878847729083E-12</v>
      </c>
      <c r="CC153" s="57">
        <f t="shared" si="119"/>
        <v>293.3333333333386</v>
      </c>
      <c r="CD153" s="57">
        <f ca="1">AVERAGE(OFFSET($CC$3,0,0,'Données projet'!$E$12+1,1))-AVERAGE(OFFSET($H$3,0,0,'Données projet'!$E$12+1,1))</f>
        <v>259.64096626089821</v>
      </c>
      <c r="CE153" s="57">
        <f t="shared" si="148"/>
        <v>258.1415293081597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25.384008297146831</v>
      </c>
      <c r="CL153" s="21">
        <f>EXP(-LN(2)/25)*CL152+(1-EXP(-LN(2)/25))/(LN(2)/25)*Calculateur!CG153*Calculateur!CI153*VLOOKUP('Données projet'!$B$12,Paramètres!$A$1:$I$89,3,0)*0.475*44/12</f>
        <v>2.9227473291881516</v>
      </c>
      <c r="CM153" s="21">
        <f>EXP(-LN(2)/2)*CM152+(1-EXP(-LN(2)/2))/(LN(2)/2)*CG153*CJ153*VLOOKUP('Données projet'!$B$12,Paramètres!$A$1:$I$89,3,0)*0.475*44/12</f>
        <v>7.7177639520404499E-13</v>
      </c>
      <c r="CN153" s="22">
        <f t="shared" si="120"/>
        <v>28.306755626335754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-1.223725121235475E-13</v>
      </c>
      <c r="CV153" s="13" t="e">
        <f t="shared" si="149"/>
        <v>#NUM!</v>
      </c>
      <c r="CW153" s="20" t="e">
        <f t="shared" si="121"/>
        <v>#NUM!</v>
      </c>
      <c r="CX153" s="57" t="e">
        <f t="shared" si="122"/>
        <v>#NUM!</v>
      </c>
      <c r="CY153" s="57">
        <f ca="1">AVERAGE(OFFSET($CX$3,0,0,'Données projet'!$E$13+1,1))-AVERAGE(OFFSET($H$3,0,0,'Données projet'!$E$13+1,1))</f>
        <v>436.59978658837537</v>
      </c>
      <c r="CZ153" s="57">
        <f t="shared" si="150"/>
        <v>267.2998309535638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91.611708316908079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91.611708316908079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-1.0818439477588981E-13</v>
      </c>
      <c r="DQ153" s="13" t="e">
        <f t="shared" si="151"/>
        <v>#NUM!</v>
      </c>
      <c r="DR153" s="20" t="e">
        <f t="shared" si="124"/>
        <v>#NUM!</v>
      </c>
      <c r="DS153" s="57" t="e">
        <f t="shared" si="125"/>
        <v>#NUM!</v>
      </c>
      <c r="DT153" s="57">
        <f ca="1">AVERAGE(OFFSET($DS$3,0,0,'Données projet'!$E$14+1,1))-AVERAGE(OFFSET($H$3,0,0,'Données projet'!$E$14+1,1))</f>
        <v>292.95981568144879</v>
      </c>
      <c r="DU153" s="57">
        <f t="shared" si="152"/>
        <v>152.23954167722536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58.819603129540496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58.819603129540496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7" t="e">
        <f t="shared" si="128"/>
        <v>#N/A</v>
      </c>
      <c r="EO153" s="57" t="e">
        <f ca="1">AVERAGE(OFFSET($EN$3,0,0,'Données projet'!$E$15+1,1))-AVERAGE(OFFSET($H$3,0,0,'Données projet'!$E$15+1,1))</f>
        <v>#N/A</v>
      </c>
      <c r="EP153" s="57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7" t="e">
        <f t="shared" si="131"/>
        <v>#N/A</v>
      </c>
      <c r="FJ153" s="57" t="e">
        <f ca="1">AVERAGE(OFFSET($FI$3,0,0,'Données projet'!$E$16+1,1))-AVERAGE(OFFSET($H$3,0,0,'Données projet'!$E$16+1,1))</f>
        <v>#N/A</v>
      </c>
      <c r="FK153" s="57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7" t="e">
        <f t="shared" si="134"/>
        <v>#N/A</v>
      </c>
      <c r="GE153" s="57" t="e">
        <f ca="1">AVERAGE(OFFSET($GD$3,0,0,'Données projet'!$E$17+1,1))-AVERAGE(OFFSET($H$3,0,0,'Données projet'!$E$17+1,1))</f>
        <v>#N/A</v>
      </c>
      <c r="GF153" s="57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7" t="e">
        <f t="shared" si="137"/>
        <v>#N/A</v>
      </c>
      <c r="GZ153" s="57" t="e">
        <f ca="1">AVERAGE(OFFSET($GY$3,0,0,'Données projet'!$E$18+1,1))-AVERAGE(OFFSET($H$3,0,0,'Données projet'!$E$18+1,1))</f>
        <v>#N/A</v>
      </c>
      <c r="HA153" s="57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1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5">
        <f t="shared" si="110"/>
        <v>256.66666666666669</v>
      </c>
      <c r="I154" s="6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7" t="e">
        <f t="shared" si="109"/>
        <v>#NUM!</v>
      </c>
      <c r="S154" s="57">
        <f ca="1">AVERAGE(OFFSET($R$3,0,0,'Données projet'!$E$9+1,1))-AVERAGE(OFFSET($H$3,0,0,'Données projet'!$E$9+1,1))</f>
        <v>373.45926089889866</v>
      </c>
      <c r="T154" s="57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75.496884035904529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75.496884035904529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-1.0818439477588981E-13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7" t="e">
        <f t="shared" si="113"/>
        <v>#NUM!</v>
      </c>
      <c r="AN154" s="57">
        <f ca="1">AVERAGE(OFFSET($AM$3,0,0,'Données projet'!$E$10+1,1))-AVERAGE(OFFSET($H$3,0,0,'Données projet'!$E$10+1,1))</f>
        <v>390.70240761116355</v>
      </c>
      <c r="AO154" s="57">
        <f t="shared" si="144"/>
        <v>241.18285512887638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79.401895279140916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79.401895279140916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-1.0995790944434703E-13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7" t="e">
        <f t="shared" si="116"/>
        <v>#NUM!</v>
      </c>
      <c r="BI154" s="57">
        <f ca="1">AVERAGE(OFFSET($BH$3,0,0,'Données projet'!$E$11+1,1))-AVERAGE(OFFSET($H$3,0,0,'Données projet'!$E$11+1,1))</f>
        <v>396.44612884768748</v>
      </c>
      <c r="BJ154" s="57">
        <f t="shared" si="146"/>
        <v>244.451492444461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80.703565693553074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80.703565693553074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3.4106051316484809E-13</v>
      </c>
      <c r="BZ154" s="13">
        <f>BY154*VLOOKUP('Données projet'!$B$12,Paramètres!$A$1:$I$89,3,0)*VLOOKUP('Données projet'!$B$12,Paramètres!$A$1:$I$89,5,0)</f>
        <v>2.0395418687257919E-13</v>
      </c>
      <c r="CA154" s="13">
        <f t="shared" ref="CA154:CA203" si="170">EXP(-1.0587+0.8836*LN(BZ154)+0.284)</f>
        <v>2.8200388570161721E-12</v>
      </c>
      <c r="CB154" s="20">
        <f t="shared" ref="CB154:CB203" si="171">(BZ154+CA154)*0.475*44/12</f>
        <v>5.2667878847729083E-12</v>
      </c>
      <c r="CC154" s="57">
        <f t="shared" si="119"/>
        <v>293.3333333333386</v>
      </c>
      <c r="CD154" s="57">
        <f ca="1">AVERAGE(OFFSET($CC$3,0,0,'Données projet'!$E$12+1,1))-AVERAGE(OFFSET($H$3,0,0,'Données projet'!$E$12+1,1))</f>
        <v>259.64096626089821</v>
      </c>
      <c r="CE154" s="57">
        <f t="shared" si="148"/>
        <v>258.1415293081597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24.886243377156053</v>
      </c>
      <c r="CL154" s="21">
        <f>EXP(-LN(2)/25)*CL153+(1-EXP(-LN(2)/25))/(LN(2)/25)*Calculateur!CG154*Calculateur!CI154*VLOOKUP('Données projet'!$B$12,Paramètres!$A$1:$I$89,3,0)*0.475*44/12</f>
        <v>2.8428246497708995</v>
      </c>
      <c r="CM154" s="21">
        <f>EXP(-LN(2)/2)*CM153+(1-EXP(-LN(2)/2))/(LN(2)/2)*CG154*CJ154*VLOOKUP('Données projet'!$B$12,Paramètres!$A$1:$I$89,3,0)*0.475*44/12</f>
        <v>5.4572832260848906E-13</v>
      </c>
      <c r="CN154" s="22">
        <f t="shared" ref="CN154:CN203" si="172">SUM(CK154:CM154)</f>
        <v>27.7290680269275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-1.223725121235475E-13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7" t="e">
        <f t="shared" si="122"/>
        <v>#NUM!</v>
      </c>
      <c r="CY154" s="57">
        <f ca="1">AVERAGE(OFFSET($CX$3,0,0,'Données projet'!$E$13+1,1))-AVERAGE(OFFSET($H$3,0,0,'Données projet'!$E$13+1,1))</f>
        <v>436.59978658837537</v>
      </c>
      <c r="CZ154" s="57">
        <f t="shared" si="150"/>
        <v>267.2998309535638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89.815258594438134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89.815258594438134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-1.0818439477588981E-13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7" t="e">
        <f t="shared" si="125"/>
        <v>#NUM!</v>
      </c>
      <c r="DT154" s="57">
        <f ca="1">AVERAGE(OFFSET($DS$3,0,0,'Données projet'!$E$14+1,1))-AVERAGE(OFFSET($H$3,0,0,'Données projet'!$E$14+1,1))</f>
        <v>292.95981568144879</v>
      </c>
      <c r="DU154" s="57">
        <f t="shared" si="152"/>
        <v>152.23954167722536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57.666186588585617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57.666186588585617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7" t="e">
        <f t="shared" si="128"/>
        <v>#N/A</v>
      </c>
      <c r="EO154" s="57" t="e">
        <f ca="1">AVERAGE(OFFSET($EN$3,0,0,'Données projet'!$E$15+1,1))-AVERAGE(OFFSET($H$3,0,0,'Données projet'!$E$15+1,1))</f>
        <v>#N/A</v>
      </c>
      <c r="EP154" s="57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7" t="e">
        <f t="shared" si="131"/>
        <v>#N/A</v>
      </c>
      <c r="FJ154" s="57" t="e">
        <f ca="1">AVERAGE(OFFSET($FI$3,0,0,'Données projet'!$E$16+1,1))-AVERAGE(OFFSET($H$3,0,0,'Données projet'!$E$16+1,1))</f>
        <v>#N/A</v>
      </c>
      <c r="FK154" s="57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7" t="e">
        <f t="shared" si="134"/>
        <v>#N/A</v>
      </c>
      <c r="GE154" s="57" t="e">
        <f ca="1">AVERAGE(OFFSET($GD$3,0,0,'Données projet'!$E$17+1,1))-AVERAGE(OFFSET($H$3,0,0,'Données projet'!$E$17+1,1))</f>
        <v>#N/A</v>
      </c>
      <c r="GF154" s="57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7" t="e">
        <f t="shared" si="137"/>
        <v>#N/A</v>
      </c>
      <c r="GZ154" s="57" t="e">
        <f ca="1">AVERAGE(OFFSET($GY$3,0,0,'Données projet'!$E$18+1,1))-AVERAGE(OFFSET($H$3,0,0,'Données projet'!$E$18+1,1))</f>
        <v>#N/A</v>
      </c>
      <c r="HA154" s="57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1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5">
        <f t="shared" si="110"/>
        <v>256.66666666666669</v>
      </c>
      <c r="I155" s="6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7" t="e">
        <f t="shared" si="109"/>
        <v>#NUM!</v>
      </c>
      <c r="S155" s="57">
        <f ca="1">AVERAGE(OFFSET($R$3,0,0,'Données projet'!$E$9+1,1))-AVERAGE(OFFSET($H$3,0,0,'Données projet'!$E$9+1,1))</f>
        <v>373.45926089889866</v>
      </c>
      <c r="T155" s="57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74.016436188512785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74.016436188512785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-1.0818439477588981E-13</v>
      </c>
      <c r="AK155" s="13" t="e">
        <f t="shared" si="164"/>
        <v>#NUM!</v>
      </c>
      <c r="AL155" s="20" t="e">
        <f t="shared" si="165"/>
        <v>#NUM!</v>
      </c>
      <c r="AM155" s="57" t="e">
        <f t="shared" si="113"/>
        <v>#NUM!</v>
      </c>
      <c r="AN155" s="57">
        <f ca="1">AVERAGE(OFFSET($AM$3,0,0,'Données projet'!$E$10+1,1))-AVERAGE(OFFSET($H$3,0,0,'Données projet'!$E$10+1,1))</f>
        <v>390.70240761116355</v>
      </c>
      <c r="AO155" s="57">
        <f t="shared" si="144"/>
        <v>241.18285512887638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77.844872543090986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77.844872543090986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-1.0995790944434703E-13</v>
      </c>
      <c r="BF155" s="13" t="e">
        <f t="shared" si="167"/>
        <v>#NUM!</v>
      </c>
      <c r="BG155" s="20" t="e">
        <f t="shared" si="168"/>
        <v>#NUM!</v>
      </c>
      <c r="BH155" s="57" t="e">
        <f t="shared" si="116"/>
        <v>#NUM!</v>
      </c>
      <c r="BI155" s="57">
        <f ca="1">AVERAGE(OFFSET($BH$3,0,0,'Données projet'!$E$11+1,1))-AVERAGE(OFFSET($H$3,0,0,'Données projet'!$E$11+1,1))</f>
        <v>396.44612884768748</v>
      </c>
      <c r="BJ155" s="57">
        <f t="shared" si="146"/>
        <v>244.451492444461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79.121017994617077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79.121017994617077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3.4106051316484809E-13</v>
      </c>
      <c r="BZ155" s="13">
        <f>BY155*VLOOKUP('Données projet'!$B$12,Paramètres!$A$1:$I$89,3,0)*VLOOKUP('Données projet'!$B$12,Paramètres!$A$1:$I$89,5,0)</f>
        <v>2.0395418687257919E-13</v>
      </c>
      <c r="CA155" s="13">
        <f t="shared" si="170"/>
        <v>2.8200388570161721E-12</v>
      </c>
      <c r="CB155" s="20">
        <f t="shared" si="171"/>
        <v>5.2667878847729083E-12</v>
      </c>
      <c r="CC155" s="57">
        <f t="shared" si="119"/>
        <v>293.3333333333386</v>
      </c>
      <c r="CD155" s="57">
        <f ca="1">AVERAGE(OFFSET($CC$3,0,0,'Données projet'!$E$12+1,1))-AVERAGE(OFFSET($H$3,0,0,'Données projet'!$E$12+1,1))</f>
        <v>259.64096626089821</v>
      </c>
      <c r="CE155" s="57">
        <f t="shared" si="148"/>
        <v>258.1415293081597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24.398239323639668</v>
      </c>
      <c r="CL155" s="21">
        <f>EXP(-LN(2)/25)*CL154+(1-EXP(-LN(2)/25))/(LN(2)/25)*Calculateur!CG155*Calculateur!CI155*VLOOKUP('Données projet'!$B$12,Paramètres!$A$1:$I$89,3,0)*0.475*44/12</f>
        <v>2.7650874602252635</v>
      </c>
      <c r="CM155" s="21">
        <f>EXP(-LN(2)/2)*CM154+(1-EXP(-LN(2)/2))/(LN(2)/2)*CG155*CJ155*VLOOKUP('Données projet'!$B$12,Paramètres!$A$1:$I$89,3,0)*0.475*44/12</f>
        <v>3.8588819760202249E-13</v>
      </c>
      <c r="CN155" s="22">
        <f t="shared" si="172"/>
        <v>27.163326783865319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-1.223725121235475E-13</v>
      </c>
      <c r="CV155" s="13" t="e">
        <f t="shared" si="173"/>
        <v>#NUM!</v>
      </c>
      <c r="CW155" s="20" t="e">
        <f t="shared" si="174"/>
        <v>#NUM!</v>
      </c>
      <c r="CX155" s="57" t="e">
        <f t="shared" si="122"/>
        <v>#NUM!</v>
      </c>
      <c r="CY155" s="57">
        <f ca="1">AVERAGE(OFFSET($CX$3,0,0,'Données projet'!$E$13+1,1))-AVERAGE(OFFSET($H$3,0,0,'Données projet'!$E$13+1,1))</f>
        <v>436.59978658837537</v>
      </c>
      <c r="CZ155" s="57">
        <f t="shared" si="150"/>
        <v>267.2998309535638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88.054036155299684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88.054036155299684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-1.0818439477588981E-13</v>
      </c>
      <c r="DQ155" s="13" t="e">
        <f t="shared" si="176"/>
        <v>#NUM!</v>
      </c>
      <c r="DR155" s="20" t="e">
        <f t="shared" si="177"/>
        <v>#NUM!</v>
      </c>
      <c r="DS155" s="57" t="e">
        <f t="shared" si="125"/>
        <v>#NUM!</v>
      </c>
      <c r="DT155" s="57">
        <f ca="1">AVERAGE(OFFSET($DS$3,0,0,'Données projet'!$E$14+1,1))-AVERAGE(OFFSET($H$3,0,0,'Données projet'!$E$14+1,1))</f>
        <v>292.95981568144879</v>
      </c>
      <c r="DU155" s="57">
        <f t="shared" si="152"/>
        <v>152.23954167722536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56.535387842484234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56.535387842484234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7" t="e">
        <f t="shared" si="128"/>
        <v>#N/A</v>
      </c>
      <c r="EO155" s="57" t="e">
        <f ca="1">AVERAGE(OFFSET($EN$3,0,0,'Données projet'!$E$15+1,1))-AVERAGE(OFFSET($H$3,0,0,'Données projet'!$E$15+1,1))</f>
        <v>#N/A</v>
      </c>
      <c r="EP155" s="57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7" t="e">
        <f t="shared" si="131"/>
        <v>#N/A</v>
      </c>
      <c r="FJ155" s="57" t="e">
        <f ca="1">AVERAGE(OFFSET($FI$3,0,0,'Données projet'!$E$16+1,1))-AVERAGE(OFFSET($H$3,0,0,'Données projet'!$E$16+1,1))</f>
        <v>#N/A</v>
      </c>
      <c r="FK155" s="57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7" t="e">
        <f t="shared" si="134"/>
        <v>#N/A</v>
      </c>
      <c r="GE155" s="57" t="e">
        <f ca="1">AVERAGE(OFFSET($GD$3,0,0,'Données projet'!$E$17+1,1))-AVERAGE(OFFSET($H$3,0,0,'Données projet'!$E$17+1,1))</f>
        <v>#N/A</v>
      </c>
      <c r="GF155" s="57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7" t="e">
        <f t="shared" si="137"/>
        <v>#N/A</v>
      </c>
      <c r="GZ155" s="57" t="e">
        <f ca="1">AVERAGE(OFFSET($GY$3,0,0,'Données projet'!$E$18+1,1))-AVERAGE(OFFSET($H$3,0,0,'Données projet'!$E$18+1,1))</f>
        <v>#N/A</v>
      </c>
      <c r="HA155" s="57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1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5">
        <f t="shared" si="110"/>
        <v>256.66666666666669</v>
      </c>
      <c r="I156" s="6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7" t="e">
        <f t="shared" si="109"/>
        <v>#NUM!</v>
      </c>
      <c r="S156" s="57">
        <f ca="1">AVERAGE(OFFSET($R$3,0,0,'Données projet'!$E$9+1,1))-AVERAGE(OFFSET($H$3,0,0,'Données projet'!$E$9+1,1))</f>
        <v>373.45926089889866</v>
      </c>
      <c r="T156" s="57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72.565019020424373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72.565019020424373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-1.0818439477588981E-13</v>
      </c>
      <c r="AK156" s="13" t="e">
        <f t="shared" si="164"/>
        <v>#NUM!</v>
      </c>
      <c r="AL156" s="20" t="e">
        <f t="shared" si="165"/>
        <v>#NUM!</v>
      </c>
      <c r="AM156" s="57" t="e">
        <f t="shared" si="113"/>
        <v>#NUM!</v>
      </c>
      <c r="AN156" s="57">
        <f ca="1">AVERAGE(OFFSET($AM$3,0,0,'Données projet'!$E$10+1,1))-AVERAGE(OFFSET($H$3,0,0,'Données projet'!$E$10+1,1))</f>
        <v>390.70240761116355</v>
      </c>
      <c r="AO156" s="57">
        <f t="shared" si="144"/>
        <v>241.18285512887638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76.318382073204901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76.318382073204901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-1.0995790944434703E-13</v>
      </c>
      <c r="BF156" s="13" t="e">
        <f t="shared" si="167"/>
        <v>#NUM!</v>
      </c>
      <c r="BG156" s="20" t="e">
        <f t="shared" si="168"/>
        <v>#NUM!</v>
      </c>
      <c r="BH156" s="57" t="e">
        <f t="shared" si="116"/>
        <v>#NUM!</v>
      </c>
      <c r="BI156" s="57">
        <f ca="1">AVERAGE(OFFSET($BH$3,0,0,'Données projet'!$E$11+1,1))-AVERAGE(OFFSET($H$3,0,0,'Données projet'!$E$11+1,1))</f>
        <v>396.44612884768748</v>
      </c>
      <c r="BJ156" s="57">
        <f t="shared" si="146"/>
        <v>244.451492444461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77.56950309079842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77.56950309079842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3.4106051316484809E-13</v>
      </c>
      <c r="BZ156" s="13">
        <f>BY156*VLOOKUP('Données projet'!$B$12,Paramètres!$A$1:$I$89,3,0)*VLOOKUP('Données projet'!$B$12,Paramètres!$A$1:$I$89,5,0)</f>
        <v>2.0395418687257919E-13</v>
      </c>
      <c r="CA156" s="13">
        <f t="shared" si="170"/>
        <v>2.8200388570161721E-12</v>
      </c>
      <c r="CB156" s="20">
        <f t="shared" si="171"/>
        <v>5.2667878847729083E-12</v>
      </c>
      <c r="CC156" s="57">
        <f t="shared" si="119"/>
        <v>293.3333333333386</v>
      </c>
      <c r="CD156" s="57">
        <f ca="1">AVERAGE(OFFSET($CC$3,0,0,'Données projet'!$E$12+1,1))-AVERAGE(OFFSET($H$3,0,0,'Données projet'!$E$12+1,1))</f>
        <v>259.64096626089821</v>
      </c>
      <c r="CE156" s="57">
        <f t="shared" si="148"/>
        <v>258.1415293081597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23.919804731959658</v>
      </c>
      <c r="CL156" s="21">
        <f>EXP(-LN(2)/25)*CL155+(1-EXP(-LN(2)/25))/(LN(2)/25)*Calculateur!CG156*Calculateur!CI156*VLOOKUP('Données projet'!$B$12,Paramètres!$A$1:$I$89,3,0)*0.475*44/12</f>
        <v>2.6894759982157739</v>
      </c>
      <c r="CM156" s="21">
        <f>EXP(-LN(2)/2)*CM155+(1-EXP(-LN(2)/2))/(LN(2)/2)*CG156*CJ156*VLOOKUP('Données projet'!$B$12,Paramètres!$A$1:$I$89,3,0)*0.475*44/12</f>
        <v>2.7286416130424453E-13</v>
      </c>
      <c r="CN156" s="22">
        <f t="shared" si="172"/>
        <v>26.609280730175705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-1.223725121235475E-13</v>
      </c>
      <c r="CV156" s="13" t="e">
        <f t="shared" si="173"/>
        <v>#NUM!</v>
      </c>
      <c r="CW156" s="20" t="e">
        <f t="shared" si="174"/>
        <v>#NUM!</v>
      </c>
      <c r="CX156" s="57" t="e">
        <f t="shared" si="122"/>
        <v>#NUM!</v>
      </c>
      <c r="CY156" s="57">
        <f ca="1">AVERAGE(OFFSET($CX$3,0,0,'Données projet'!$E$13+1,1))-AVERAGE(OFFSET($H$3,0,0,'Données projet'!$E$13+1,1))</f>
        <v>436.59978658837537</v>
      </c>
      <c r="CZ156" s="57">
        <f t="shared" si="150"/>
        <v>267.2998309535638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86.327350213953125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86.327350213953125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-1.0818439477588981E-13</v>
      </c>
      <c r="DQ156" s="13" t="e">
        <f t="shared" si="176"/>
        <v>#NUM!</v>
      </c>
      <c r="DR156" s="20" t="e">
        <f t="shared" si="177"/>
        <v>#NUM!</v>
      </c>
      <c r="DS156" s="57" t="e">
        <f t="shared" si="125"/>
        <v>#NUM!</v>
      </c>
      <c r="DT156" s="57">
        <f ca="1">AVERAGE(OFFSET($DS$3,0,0,'Données projet'!$E$14+1,1))-AVERAGE(OFFSET($H$3,0,0,'Données projet'!$E$14+1,1))</f>
        <v>292.95981568144879</v>
      </c>
      <c r="DU156" s="57">
        <f t="shared" si="152"/>
        <v>152.23954167722536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55.426763370074774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55.426763370074774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7" t="e">
        <f t="shared" si="128"/>
        <v>#N/A</v>
      </c>
      <c r="EO156" s="57" t="e">
        <f ca="1">AVERAGE(OFFSET($EN$3,0,0,'Données projet'!$E$15+1,1))-AVERAGE(OFFSET($H$3,0,0,'Données projet'!$E$15+1,1))</f>
        <v>#N/A</v>
      </c>
      <c r="EP156" s="57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7" t="e">
        <f t="shared" si="131"/>
        <v>#N/A</v>
      </c>
      <c r="FJ156" s="57" t="e">
        <f ca="1">AVERAGE(OFFSET($FI$3,0,0,'Données projet'!$E$16+1,1))-AVERAGE(OFFSET($H$3,0,0,'Données projet'!$E$16+1,1))</f>
        <v>#N/A</v>
      </c>
      <c r="FK156" s="57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7" t="e">
        <f t="shared" si="134"/>
        <v>#N/A</v>
      </c>
      <c r="GE156" s="57" t="e">
        <f ca="1">AVERAGE(OFFSET($GD$3,0,0,'Données projet'!$E$17+1,1))-AVERAGE(OFFSET($H$3,0,0,'Données projet'!$E$17+1,1))</f>
        <v>#N/A</v>
      </c>
      <c r="GF156" s="57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7" t="e">
        <f t="shared" si="137"/>
        <v>#N/A</v>
      </c>
      <c r="GZ156" s="57" t="e">
        <f ca="1">AVERAGE(OFFSET($GY$3,0,0,'Données projet'!$E$18+1,1))-AVERAGE(OFFSET($H$3,0,0,'Données projet'!$E$18+1,1))</f>
        <v>#N/A</v>
      </c>
      <c r="HA156" s="57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1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5">
        <f t="shared" si="110"/>
        <v>256.66666666666669</v>
      </c>
      <c r="I157" s="6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7" t="e">
        <f t="shared" si="109"/>
        <v>#NUM!</v>
      </c>
      <c r="S157" s="57">
        <f ca="1">AVERAGE(OFFSET($R$3,0,0,'Données projet'!$E$9+1,1))-AVERAGE(OFFSET($H$3,0,0,'Données projet'!$E$9+1,1))</f>
        <v>373.45926089889866</v>
      </c>
      <c r="T157" s="57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71.142063257725113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71.142063257725113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-1.0818439477588981E-13</v>
      </c>
      <c r="AK157" s="13" t="e">
        <f t="shared" si="164"/>
        <v>#NUM!</v>
      </c>
      <c r="AL157" s="20" t="e">
        <f t="shared" si="165"/>
        <v>#NUM!</v>
      </c>
      <c r="AM157" s="57" t="e">
        <f t="shared" si="113"/>
        <v>#NUM!</v>
      </c>
      <c r="AN157" s="57">
        <f ca="1">AVERAGE(OFFSET($AM$3,0,0,'Données projet'!$E$10+1,1))-AVERAGE(OFFSET($H$3,0,0,'Données projet'!$E$10+1,1))</f>
        <v>390.70240761116355</v>
      </c>
      <c r="AO157" s="57">
        <f t="shared" si="144"/>
        <v>241.18285512887638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74.821825150366024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74.821825150366024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-1.0995790944434703E-13</v>
      </c>
      <c r="BF157" s="13" t="e">
        <f t="shared" si="167"/>
        <v>#NUM!</v>
      </c>
      <c r="BG157" s="20" t="e">
        <f t="shared" si="168"/>
        <v>#NUM!</v>
      </c>
      <c r="BH157" s="57" t="e">
        <f t="shared" si="116"/>
        <v>#NUM!</v>
      </c>
      <c r="BI157" s="57">
        <f ca="1">AVERAGE(OFFSET($BH$3,0,0,'Données projet'!$E$11+1,1))-AVERAGE(OFFSET($H$3,0,0,'Données projet'!$E$11+1,1))</f>
        <v>396.44612884768748</v>
      </c>
      <c r="BJ157" s="57">
        <f t="shared" si="146"/>
        <v>244.451492444461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76.048412447913009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76.048412447913009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3.4106051316484809E-13</v>
      </c>
      <c r="BZ157" s="13">
        <f>BY157*VLOOKUP('Données projet'!$B$12,Paramètres!$A$1:$I$89,3,0)*VLOOKUP('Données projet'!$B$12,Paramètres!$A$1:$I$89,5,0)</f>
        <v>2.0395418687257919E-13</v>
      </c>
      <c r="CA157" s="13">
        <f t="shared" si="170"/>
        <v>2.8200388570161721E-12</v>
      </c>
      <c r="CB157" s="20">
        <f t="shared" si="171"/>
        <v>5.2667878847729083E-12</v>
      </c>
      <c r="CC157" s="57">
        <f t="shared" si="119"/>
        <v>293.3333333333386</v>
      </c>
      <c r="CD157" s="57">
        <f ca="1">AVERAGE(OFFSET($CC$3,0,0,'Données projet'!$E$12+1,1))-AVERAGE(OFFSET($H$3,0,0,'Données projet'!$E$12+1,1))</f>
        <v>259.64096626089821</v>
      </c>
      <c r="CE157" s="57">
        <f t="shared" si="148"/>
        <v>258.1415293081597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23.450751950806207</v>
      </c>
      <c r="CL157" s="21">
        <f>EXP(-LN(2)/25)*CL156+(1-EXP(-LN(2)/25))/(LN(2)/25)*Calculateur!CG157*Calculateur!CI157*VLOOKUP('Données projet'!$B$12,Paramètres!$A$1:$I$89,3,0)*0.475*44/12</f>
        <v>2.6159321356111676</v>
      </c>
      <c r="CM157" s="21">
        <f>EXP(-LN(2)/2)*CM156+(1-EXP(-LN(2)/2))/(LN(2)/2)*CG157*CJ157*VLOOKUP('Données projet'!$B$12,Paramètres!$A$1:$I$89,3,0)*0.475*44/12</f>
        <v>1.9294409880101125E-13</v>
      </c>
      <c r="CN157" s="22">
        <f t="shared" si="172"/>
        <v>26.066684086417567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-1.223725121235475E-13</v>
      </c>
      <c r="CV157" s="13" t="e">
        <f t="shared" si="173"/>
        <v>#NUM!</v>
      </c>
      <c r="CW157" s="20" t="e">
        <f t="shared" si="174"/>
        <v>#NUM!</v>
      </c>
      <c r="CX157" s="57" t="e">
        <f t="shared" si="122"/>
        <v>#NUM!</v>
      </c>
      <c r="CY157" s="57">
        <f ca="1">AVERAGE(OFFSET($CX$3,0,0,'Données projet'!$E$13+1,1))-AVERAGE(OFFSET($H$3,0,0,'Données projet'!$E$13+1,1))</f>
        <v>436.59978658837537</v>
      </c>
      <c r="CZ157" s="57">
        <f t="shared" si="150"/>
        <v>267.2998309535638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84.63452353074193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84.63452353074193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-1.0818439477588981E-13</v>
      </c>
      <c r="DQ157" s="13" t="e">
        <f t="shared" si="176"/>
        <v>#NUM!</v>
      </c>
      <c r="DR157" s="20" t="e">
        <f t="shared" si="177"/>
        <v>#NUM!</v>
      </c>
      <c r="DS157" s="57" t="e">
        <f t="shared" si="125"/>
        <v>#NUM!</v>
      </c>
      <c r="DT157" s="57">
        <f ca="1">AVERAGE(OFFSET($DS$3,0,0,'Données projet'!$E$14+1,1))-AVERAGE(OFFSET($H$3,0,0,'Données projet'!$E$14+1,1))</f>
        <v>292.95981568144879</v>
      </c>
      <c r="DU157" s="57">
        <f t="shared" si="152"/>
        <v>152.23954167722536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54.339878347375098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54.339878347375098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7" t="e">
        <f t="shared" si="128"/>
        <v>#N/A</v>
      </c>
      <c r="EO157" s="57" t="e">
        <f ca="1">AVERAGE(OFFSET($EN$3,0,0,'Données projet'!$E$15+1,1))-AVERAGE(OFFSET($H$3,0,0,'Données projet'!$E$15+1,1))</f>
        <v>#N/A</v>
      </c>
      <c r="EP157" s="57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7" t="e">
        <f t="shared" si="131"/>
        <v>#N/A</v>
      </c>
      <c r="FJ157" s="57" t="e">
        <f ca="1">AVERAGE(OFFSET($FI$3,0,0,'Données projet'!$E$16+1,1))-AVERAGE(OFFSET($H$3,0,0,'Données projet'!$E$16+1,1))</f>
        <v>#N/A</v>
      </c>
      <c r="FK157" s="57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7" t="e">
        <f t="shared" si="134"/>
        <v>#N/A</v>
      </c>
      <c r="GE157" s="57" t="e">
        <f ca="1">AVERAGE(OFFSET($GD$3,0,0,'Données projet'!$E$17+1,1))-AVERAGE(OFFSET($H$3,0,0,'Données projet'!$E$17+1,1))</f>
        <v>#N/A</v>
      </c>
      <c r="GF157" s="57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7" t="e">
        <f t="shared" si="137"/>
        <v>#N/A</v>
      </c>
      <c r="GZ157" s="57" t="e">
        <f ca="1">AVERAGE(OFFSET($GY$3,0,0,'Données projet'!$E$18+1,1))-AVERAGE(OFFSET($H$3,0,0,'Données projet'!$E$18+1,1))</f>
        <v>#N/A</v>
      </c>
      <c r="HA157" s="57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1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5">
        <f t="shared" si="110"/>
        <v>256.66666666666669</v>
      </c>
      <c r="I158" s="6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7" t="e">
        <f t="shared" si="109"/>
        <v>#NUM!</v>
      </c>
      <c r="S158" s="57">
        <f ca="1">AVERAGE(OFFSET($R$3,0,0,'Données projet'!$E$9+1,1))-AVERAGE(OFFSET($H$3,0,0,'Données projet'!$E$9+1,1))</f>
        <v>373.45926089889866</v>
      </c>
      <c r="T158" s="57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69.747010789615075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69.747010789615075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-1.0818439477588981E-13</v>
      </c>
      <c r="AK158" s="13" t="e">
        <f t="shared" si="164"/>
        <v>#NUM!</v>
      </c>
      <c r="AL158" s="20" t="e">
        <f t="shared" si="165"/>
        <v>#NUM!</v>
      </c>
      <c r="AM158" s="57" t="e">
        <f t="shared" si="113"/>
        <v>#NUM!</v>
      </c>
      <c r="AN158" s="57">
        <f ca="1">AVERAGE(OFFSET($AM$3,0,0,'Données projet'!$E$10+1,1))-AVERAGE(OFFSET($H$3,0,0,'Données projet'!$E$10+1,1))</f>
        <v>390.70240761116355</v>
      </c>
      <c r="AO158" s="57">
        <f t="shared" si="144"/>
        <v>241.18285512887638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73.354614795974427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73.354614795974427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-1.0995790944434703E-13</v>
      </c>
      <c r="BF158" s="13" t="e">
        <f t="shared" si="167"/>
        <v>#NUM!</v>
      </c>
      <c r="BG158" s="20" t="e">
        <f t="shared" si="168"/>
        <v>#NUM!</v>
      </c>
      <c r="BH158" s="57" t="e">
        <f t="shared" si="116"/>
        <v>#NUM!</v>
      </c>
      <c r="BI158" s="57">
        <f ca="1">AVERAGE(OFFSET($BH$3,0,0,'Données projet'!$E$11+1,1))-AVERAGE(OFFSET($H$3,0,0,'Données projet'!$E$11+1,1))</f>
        <v>396.44612884768748</v>
      </c>
      <c r="BJ158" s="57">
        <f t="shared" si="146"/>
        <v>244.451492444461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74.557149464760897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74.557149464760897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3.4106051316484809E-13</v>
      </c>
      <c r="BZ158" s="13">
        <f>BY158*VLOOKUP('Données projet'!$B$12,Paramètres!$A$1:$I$89,3,0)*VLOOKUP('Données projet'!$B$12,Paramètres!$A$1:$I$89,5,0)</f>
        <v>2.0395418687257919E-13</v>
      </c>
      <c r="CA158" s="13">
        <f t="shared" si="170"/>
        <v>2.8200388570161721E-12</v>
      </c>
      <c r="CB158" s="20">
        <f t="shared" si="171"/>
        <v>5.2667878847729083E-12</v>
      </c>
      <c r="CC158" s="57">
        <f t="shared" si="119"/>
        <v>293.3333333333386</v>
      </c>
      <c r="CD158" s="57">
        <f ca="1">AVERAGE(OFFSET($CC$3,0,0,'Données projet'!$E$12+1,1))-AVERAGE(OFFSET($H$3,0,0,'Données projet'!$E$12+1,1))</f>
        <v>259.64096626089821</v>
      </c>
      <c r="CE158" s="57">
        <f t="shared" si="148"/>
        <v>258.1415293081597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22.99089700859723</v>
      </c>
      <c r="CL158" s="21">
        <f>EXP(-LN(2)/25)*CL157+(1-EXP(-LN(2)/25))/(LN(2)/25)*Calculateur!CG158*Calculateur!CI158*VLOOKUP('Données projet'!$B$12,Paramètres!$A$1:$I$89,3,0)*0.475*44/12</f>
        <v>2.5443993337969881</v>
      </c>
      <c r="CM158" s="21">
        <f>EXP(-LN(2)/2)*CM157+(1-EXP(-LN(2)/2))/(LN(2)/2)*CG158*CJ158*VLOOKUP('Données projet'!$B$12,Paramètres!$A$1:$I$89,3,0)*0.475*44/12</f>
        <v>1.3643208065212226E-13</v>
      </c>
      <c r="CN158" s="22">
        <f t="shared" si="172"/>
        <v>25.535296342394354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-1.223725121235475E-13</v>
      </c>
      <c r="CV158" s="13" t="e">
        <f t="shared" si="173"/>
        <v>#NUM!</v>
      </c>
      <c r="CW158" s="20" t="e">
        <f t="shared" si="174"/>
        <v>#NUM!</v>
      </c>
      <c r="CX158" s="57" t="e">
        <f t="shared" si="122"/>
        <v>#NUM!</v>
      </c>
      <c r="CY158" s="57">
        <f ca="1">AVERAGE(OFFSET($CX$3,0,0,'Données projet'!$E$13+1,1))-AVERAGE(OFFSET($H$3,0,0,'Données projet'!$E$13+1,1))</f>
        <v>436.59978658837537</v>
      </c>
      <c r="CZ158" s="57">
        <f t="shared" si="150"/>
        <v>267.2998309535638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82.974892146266185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82.974892146266185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-1.0818439477588981E-13</v>
      </c>
      <c r="DQ158" s="13" t="e">
        <f t="shared" si="176"/>
        <v>#NUM!</v>
      </c>
      <c r="DR158" s="20" t="e">
        <f t="shared" si="177"/>
        <v>#NUM!</v>
      </c>
      <c r="DS158" s="57" t="e">
        <f t="shared" si="125"/>
        <v>#NUM!</v>
      </c>
      <c r="DT158" s="57">
        <f ca="1">AVERAGE(OFFSET($DS$3,0,0,'Données projet'!$E$14+1,1))-AVERAGE(OFFSET($H$3,0,0,'Données projet'!$E$14+1,1))</f>
        <v>292.95981568144879</v>
      </c>
      <c r="DU158" s="57">
        <f t="shared" si="152"/>
        <v>152.23954167722536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53.274306477036163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53.274306477036163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7" t="e">
        <f t="shared" si="128"/>
        <v>#N/A</v>
      </c>
      <c r="EO158" s="57" t="e">
        <f ca="1">AVERAGE(OFFSET($EN$3,0,0,'Données projet'!$E$15+1,1))-AVERAGE(OFFSET($H$3,0,0,'Données projet'!$E$15+1,1))</f>
        <v>#N/A</v>
      </c>
      <c r="EP158" s="57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7" t="e">
        <f t="shared" si="131"/>
        <v>#N/A</v>
      </c>
      <c r="FJ158" s="57" t="e">
        <f ca="1">AVERAGE(OFFSET($FI$3,0,0,'Données projet'!$E$16+1,1))-AVERAGE(OFFSET($H$3,0,0,'Données projet'!$E$16+1,1))</f>
        <v>#N/A</v>
      </c>
      <c r="FK158" s="57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7" t="e">
        <f t="shared" si="134"/>
        <v>#N/A</v>
      </c>
      <c r="GE158" s="57" t="e">
        <f ca="1">AVERAGE(OFFSET($GD$3,0,0,'Données projet'!$E$17+1,1))-AVERAGE(OFFSET($H$3,0,0,'Données projet'!$E$17+1,1))</f>
        <v>#N/A</v>
      </c>
      <c r="GF158" s="57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7" t="e">
        <f t="shared" si="137"/>
        <v>#N/A</v>
      </c>
      <c r="GZ158" s="57" t="e">
        <f ca="1">AVERAGE(OFFSET($GY$3,0,0,'Données projet'!$E$18+1,1))-AVERAGE(OFFSET($H$3,0,0,'Données projet'!$E$18+1,1))</f>
        <v>#N/A</v>
      </c>
      <c r="HA158" s="57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1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5">
        <f t="shared" si="110"/>
        <v>256.66666666666669</v>
      </c>
      <c r="I159" s="6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7" t="e">
        <f t="shared" si="109"/>
        <v>#NUM!</v>
      </c>
      <c r="S159" s="57">
        <f ca="1">AVERAGE(OFFSET($R$3,0,0,'Données projet'!$E$9+1,1))-AVERAGE(OFFSET($H$3,0,0,'Données projet'!$E$9+1,1))</f>
        <v>373.45926089889866</v>
      </c>
      <c r="T159" s="57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68.37931444950668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68.37931444950668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-1.0818439477588981E-13</v>
      </c>
      <c r="AK159" s="13" t="e">
        <f t="shared" si="164"/>
        <v>#NUM!</v>
      </c>
      <c r="AL159" s="20" t="e">
        <f t="shared" si="165"/>
        <v>#NUM!</v>
      </c>
      <c r="AM159" s="57" t="e">
        <f t="shared" si="113"/>
        <v>#NUM!</v>
      </c>
      <c r="AN159" s="57">
        <f ca="1">AVERAGE(OFFSET($AM$3,0,0,'Données projet'!$E$10+1,1))-AVERAGE(OFFSET($H$3,0,0,'Données projet'!$E$10+1,1))</f>
        <v>390.70240761116355</v>
      </c>
      <c r="AO159" s="57">
        <f t="shared" si="144"/>
        <v>241.18285512887638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71.916175541722495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71.916175541722495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-1.0995790944434703E-13</v>
      </c>
      <c r="BF159" s="13" t="e">
        <f t="shared" si="167"/>
        <v>#NUM!</v>
      </c>
      <c r="BG159" s="20" t="e">
        <f t="shared" si="168"/>
        <v>#NUM!</v>
      </c>
      <c r="BH159" s="57" t="e">
        <f t="shared" si="116"/>
        <v>#NUM!</v>
      </c>
      <c r="BI159" s="57">
        <f ca="1">AVERAGE(OFFSET($BH$3,0,0,'Données projet'!$E$11+1,1))-AVERAGE(OFFSET($H$3,0,0,'Données projet'!$E$11+1,1))</f>
        <v>396.44612884768748</v>
      </c>
      <c r="BJ159" s="57">
        <f t="shared" si="146"/>
        <v>244.451492444461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73.095129239127786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73.095129239127786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3.4106051316484809E-13</v>
      </c>
      <c r="BZ159" s="13">
        <f>BY159*VLOOKUP('Données projet'!$B$12,Paramètres!$A$1:$I$89,3,0)*VLOOKUP('Données projet'!$B$12,Paramètres!$A$1:$I$89,5,0)</f>
        <v>2.0395418687257919E-13</v>
      </c>
      <c r="CA159" s="13">
        <f t="shared" si="170"/>
        <v>2.8200388570161721E-12</v>
      </c>
      <c r="CB159" s="20">
        <f t="shared" si="171"/>
        <v>5.2667878847729083E-12</v>
      </c>
      <c r="CC159" s="57">
        <f t="shared" si="119"/>
        <v>293.3333333333386</v>
      </c>
      <c r="CD159" s="57">
        <f ca="1">AVERAGE(OFFSET($CC$3,0,0,'Données projet'!$E$12+1,1))-AVERAGE(OFFSET($H$3,0,0,'Données projet'!$E$12+1,1))</f>
        <v>259.64096626089821</v>
      </c>
      <c r="CE159" s="57">
        <f t="shared" si="148"/>
        <v>258.1415293081597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22.540059541321153</v>
      </c>
      <c r="CL159" s="21">
        <f>EXP(-LN(2)/25)*CL158+(1-EXP(-LN(2)/25))/(LN(2)/25)*Calculateur!CG159*Calculateur!CI159*VLOOKUP('Données projet'!$B$12,Paramètres!$A$1:$I$89,3,0)*0.475*44/12</f>
        <v>2.4748226002101639</v>
      </c>
      <c r="CM159" s="21">
        <f>EXP(-LN(2)/2)*CM158+(1-EXP(-LN(2)/2))/(LN(2)/2)*CG159*CJ159*VLOOKUP('Données projet'!$B$12,Paramètres!$A$1:$I$89,3,0)*0.475*44/12</f>
        <v>9.6472049400505623E-14</v>
      </c>
      <c r="CN159" s="22">
        <f t="shared" si="172"/>
        <v>25.014882141531412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-1.223725121235475E-13</v>
      </c>
      <c r="CV159" s="13" t="e">
        <f t="shared" si="173"/>
        <v>#NUM!</v>
      </c>
      <c r="CW159" s="20" t="e">
        <f t="shared" si="174"/>
        <v>#NUM!</v>
      </c>
      <c r="CX159" s="57" t="e">
        <f t="shared" si="122"/>
        <v>#NUM!</v>
      </c>
      <c r="CY159" s="57">
        <f ca="1">AVERAGE(OFFSET($CX$3,0,0,'Données projet'!$E$13+1,1))-AVERAGE(OFFSET($H$3,0,0,'Données projet'!$E$13+1,1))</f>
        <v>436.59978658837537</v>
      </c>
      <c r="CZ159" s="57">
        <f t="shared" si="150"/>
        <v>267.2998309535638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81.347805120964821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81.347805120964821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-1.0818439477588981E-13</v>
      </c>
      <c r="DQ159" s="13" t="e">
        <f t="shared" si="176"/>
        <v>#NUM!</v>
      </c>
      <c r="DR159" s="20" t="e">
        <f t="shared" si="177"/>
        <v>#NUM!</v>
      </c>
      <c r="DS159" s="57" t="e">
        <f t="shared" si="125"/>
        <v>#NUM!</v>
      </c>
      <c r="DT159" s="57">
        <f ca="1">AVERAGE(OFFSET($DS$3,0,0,'Données projet'!$E$14+1,1))-AVERAGE(OFFSET($H$3,0,0,'Données projet'!$E$14+1,1))</f>
        <v>292.95981568144879</v>
      </c>
      <c r="DU159" s="57">
        <f t="shared" si="152"/>
        <v>152.23954167722536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52.229629821139909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52.229629821139909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7" t="e">
        <f t="shared" si="128"/>
        <v>#N/A</v>
      </c>
      <c r="EO159" s="57" t="e">
        <f ca="1">AVERAGE(OFFSET($EN$3,0,0,'Données projet'!$E$15+1,1))-AVERAGE(OFFSET($H$3,0,0,'Données projet'!$E$15+1,1))</f>
        <v>#N/A</v>
      </c>
      <c r="EP159" s="57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7" t="e">
        <f t="shared" si="131"/>
        <v>#N/A</v>
      </c>
      <c r="FJ159" s="57" t="e">
        <f ca="1">AVERAGE(OFFSET($FI$3,0,0,'Données projet'!$E$16+1,1))-AVERAGE(OFFSET($H$3,0,0,'Données projet'!$E$16+1,1))</f>
        <v>#N/A</v>
      </c>
      <c r="FK159" s="57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7" t="e">
        <f t="shared" si="134"/>
        <v>#N/A</v>
      </c>
      <c r="GE159" s="57" t="e">
        <f ca="1">AVERAGE(OFFSET($GD$3,0,0,'Données projet'!$E$17+1,1))-AVERAGE(OFFSET($H$3,0,0,'Données projet'!$E$17+1,1))</f>
        <v>#N/A</v>
      </c>
      <c r="GF159" s="57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7" t="e">
        <f t="shared" si="137"/>
        <v>#N/A</v>
      </c>
      <c r="GZ159" s="57" t="e">
        <f ca="1">AVERAGE(OFFSET($GY$3,0,0,'Données projet'!$E$18+1,1))-AVERAGE(OFFSET($H$3,0,0,'Données projet'!$E$18+1,1))</f>
        <v>#N/A</v>
      </c>
      <c r="HA159" s="57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1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5">
        <f t="shared" si="110"/>
        <v>256.66666666666669</v>
      </c>
      <c r="I160" s="6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7" t="e">
        <f t="shared" si="109"/>
        <v>#NUM!</v>
      </c>
      <c r="S160" s="57">
        <f ca="1">AVERAGE(OFFSET($R$3,0,0,'Données projet'!$E$9+1,1))-AVERAGE(OFFSET($H$3,0,0,'Données projet'!$E$9+1,1))</f>
        <v>373.45926089889866</v>
      </c>
      <c r="T160" s="57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67.038437800415423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67.038437800415423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-1.0818439477588981E-13</v>
      </c>
      <c r="AK160" s="13" t="e">
        <f t="shared" si="164"/>
        <v>#NUM!</v>
      </c>
      <c r="AL160" s="20" t="e">
        <f t="shared" si="165"/>
        <v>#NUM!</v>
      </c>
      <c r="AM160" s="57" t="e">
        <f t="shared" si="113"/>
        <v>#NUM!</v>
      </c>
      <c r="AN160" s="57">
        <f ca="1">AVERAGE(OFFSET($AM$3,0,0,'Données projet'!$E$10+1,1))-AVERAGE(OFFSET($H$3,0,0,'Données projet'!$E$10+1,1))</f>
        <v>390.70240761116355</v>
      </c>
      <c r="AO160" s="57">
        <f t="shared" si="144"/>
        <v>241.18285512887638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70.505943203885138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70.505943203885138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-1.0995790944434703E-13</v>
      </c>
      <c r="BF160" s="13" t="e">
        <f t="shared" si="167"/>
        <v>#NUM!</v>
      </c>
      <c r="BG160" s="20" t="e">
        <f t="shared" si="168"/>
        <v>#NUM!</v>
      </c>
      <c r="BH160" s="57" t="e">
        <f t="shared" si="116"/>
        <v>#NUM!</v>
      </c>
      <c r="BI160" s="57">
        <f ca="1">AVERAGE(OFFSET($BH$3,0,0,'Données projet'!$E$11+1,1))-AVERAGE(OFFSET($H$3,0,0,'Données projet'!$E$11+1,1))</f>
        <v>396.44612884768748</v>
      </c>
      <c r="BJ160" s="57">
        <f t="shared" si="146"/>
        <v>244.451492444461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71.661778338375058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71.661778338375058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3.4106051316484809E-13</v>
      </c>
      <c r="BZ160" s="13">
        <f>BY160*VLOOKUP('Données projet'!$B$12,Paramètres!$A$1:$I$89,3,0)*VLOOKUP('Données projet'!$B$12,Paramètres!$A$1:$I$89,5,0)</f>
        <v>2.0395418687257919E-13</v>
      </c>
      <c r="CA160" s="13">
        <f t="shared" si="170"/>
        <v>2.8200388570161721E-12</v>
      </c>
      <c r="CB160" s="20">
        <f t="shared" si="171"/>
        <v>5.2667878847729083E-12</v>
      </c>
      <c r="CC160" s="57">
        <f t="shared" si="119"/>
        <v>293.3333333333386</v>
      </c>
      <c r="CD160" s="57">
        <f ca="1">AVERAGE(OFFSET($CC$3,0,0,'Données projet'!$E$12+1,1))-AVERAGE(OFFSET($H$3,0,0,'Données projet'!$E$12+1,1))</f>
        <v>259.64096626089821</v>
      </c>
      <c r="CE160" s="57">
        <f t="shared" si="148"/>
        <v>258.1415293081597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22.098062721794655</v>
      </c>
      <c r="CL160" s="21">
        <f>EXP(-LN(2)/25)*CL159+(1-EXP(-LN(2)/25))/(LN(2)/25)*Calculateur!CG160*Calculateur!CI160*VLOOKUP('Données projet'!$B$12,Paramètres!$A$1:$I$89,3,0)*0.475*44/12</f>
        <v>2.4071484460621528</v>
      </c>
      <c r="CM160" s="21">
        <f>EXP(-LN(2)/2)*CM159+(1-EXP(-LN(2)/2))/(LN(2)/2)*CG160*CJ160*VLOOKUP('Données projet'!$B$12,Paramètres!$A$1:$I$89,3,0)*0.475*44/12</f>
        <v>6.8216040326061132E-14</v>
      </c>
      <c r="CN160" s="22">
        <f t="shared" si="172"/>
        <v>24.505211167856874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-1.223725121235475E-13</v>
      </c>
      <c r="CV160" s="13" t="e">
        <f t="shared" si="173"/>
        <v>#NUM!</v>
      </c>
      <c r="CW160" s="20" t="e">
        <f t="shared" si="174"/>
        <v>#NUM!</v>
      </c>
      <c r="CX160" s="57" t="e">
        <f t="shared" si="122"/>
        <v>#NUM!</v>
      </c>
      <c r="CY160" s="57">
        <f ca="1">AVERAGE(OFFSET($CX$3,0,0,'Données projet'!$E$13+1,1))-AVERAGE(OFFSET($H$3,0,0,'Données projet'!$E$13+1,1))</f>
        <v>436.59978658837537</v>
      </c>
      <c r="CZ160" s="57">
        <f t="shared" si="150"/>
        <v>267.2998309535638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79.752624279804522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79.752624279804522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-1.0818439477588981E-13</v>
      </c>
      <c r="DQ160" s="13" t="e">
        <f t="shared" si="176"/>
        <v>#NUM!</v>
      </c>
      <c r="DR160" s="20" t="e">
        <f t="shared" si="177"/>
        <v>#NUM!</v>
      </c>
      <c r="DS160" s="57" t="e">
        <f t="shared" si="125"/>
        <v>#NUM!</v>
      </c>
      <c r="DT160" s="57">
        <f ca="1">AVERAGE(OFFSET($DS$3,0,0,'Données projet'!$E$14+1,1))-AVERAGE(OFFSET($H$3,0,0,'Données projet'!$E$14+1,1))</f>
        <v>292.95981568144879</v>
      </c>
      <c r="DU160" s="57">
        <f t="shared" si="152"/>
        <v>152.23954167722536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51.205438637275932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51.205438637275932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7" t="e">
        <f t="shared" si="128"/>
        <v>#N/A</v>
      </c>
      <c r="EO160" s="57" t="e">
        <f ca="1">AVERAGE(OFFSET($EN$3,0,0,'Données projet'!$E$15+1,1))-AVERAGE(OFFSET($H$3,0,0,'Données projet'!$E$15+1,1))</f>
        <v>#N/A</v>
      </c>
      <c r="EP160" s="57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7" t="e">
        <f t="shared" si="131"/>
        <v>#N/A</v>
      </c>
      <c r="FJ160" s="57" t="e">
        <f ca="1">AVERAGE(OFFSET($FI$3,0,0,'Données projet'!$E$16+1,1))-AVERAGE(OFFSET($H$3,0,0,'Données projet'!$E$16+1,1))</f>
        <v>#N/A</v>
      </c>
      <c r="FK160" s="57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7" t="e">
        <f t="shared" si="134"/>
        <v>#N/A</v>
      </c>
      <c r="GE160" s="57" t="e">
        <f ca="1">AVERAGE(OFFSET($GD$3,0,0,'Données projet'!$E$17+1,1))-AVERAGE(OFFSET($H$3,0,0,'Données projet'!$E$17+1,1))</f>
        <v>#N/A</v>
      </c>
      <c r="GF160" s="57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7" t="e">
        <f t="shared" si="137"/>
        <v>#N/A</v>
      </c>
      <c r="GZ160" s="57" t="e">
        <f ca="1">AVERAGE(OFFSET($GY$3,0,0,'Données projet'!$E$18+1,1))-AVERAGE(OFFSET($H$3,0,0,'Données projet'!$E$18+1,1))</f>
        <v>#N/A</v>
      </c>
      <c r="HA160" s="57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1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5">
        <f t="shared" si="110"/>
        <v>256.66666666666669</v>
      </c>
      <c r="I161" s="6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7" t="e">
        <f t="shared" si="109"/>
        <v>#NUM!</v>
      </c>
      <c r="S161" s="57">
        <f ca="1">AVERAGE(OFFSET($R$3,0,0,'Données projet'!$E$9+1,1))-AVERAGE(OFFSET($H$3,0,0,'Données projet'!$E$9+1,1))</f>
        <v>373.45926089889866</v>
      </c>
      <c r="T161" s="57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65.723854924558836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65.723854924558836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-1.0818439477588981E-13</v>
      </c>
      <c r="AK161" s="13" t="e">
        <f t="shared" si="164"/>
        <v>#NUM!</v>
      </c>
      <c r="AL161" s="20" t="e">
        <f t="shared" si="165"/>
        <v>#NUM!</v>
      </c>
      <c r="AM161" s="57" t="e">
        <f t="shared" si="113"/>
        <v>#NUM!</v>
      </c>
      <c r="AN161" s="57">
        <f ca="1">AVERAGE(OFFSET($AM$3,0,0,'Données projet'!$E$10+1,1))-AVERAGE(OFFSET($H$3,0,0,'Données projet'!$E$10+1,1))</f>
        <v>390.70240761116355</v>
      </c>
      <c r="AO161" s="57">
        <f t="shared" si="144"/>
        <v>241.18285512887638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69.123364662035982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69.123364662035982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-1.0995790944434703E-13</v>
      </c>
      <c r="BF161" s="13" t="e">
        <f t="shared" si="167"/>
        <v>#NUM!</v>
      </c>
      <c r="BG161" s="20" t="e">
        <f t="shared" si="168"/>
        <v>#NUM!</v>
      </c>
      <c r="BH161" s="57" t="e">
        <f t="shared" si="116"/>
        <v>#NUM!</v>
      </c>
      <c r="BI161" s="57">
        <f ca="1">AVERAGE(OFFSET($BH$3,0,0,'Données projet'!$E$11+1,1))-AVERAGE(OFFSET($H$3,0,0,'Données projet'!$E$11+1,1))</f>
        <v>396.44612884768748</v>
      </c>
      <c r="BJ161" s="57">
        <f t="shared" si="146"/>
        <v>244.451492444461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70.256534574528374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70.256534574528374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3.4106051316484809E-13</v>
      </c>
      <c r="BZ161" s="13">
        <f>BY161*VLOOKUP('Données projet'!$B$12,Paramètres!$A$1:$I$89,3,0)*VLOOKUP('Données projet'!$B$12,Paramètres!$A$1:$I$89,5,0)</f>
        <v>2.0395418687257919E-13</v>
      </c>
      <c r="CA161" s="13">
        <f t="shared" si="170"/>
        <v>2.8200388570161721E-12</v>
      </c>
      <c r="CB161" s="20">
        <f t="shared" si="171"/>
        <v>5.2667878847729083E-12</v>
      </c>
      <c r="CC161" s="57">
        <f t="shared" si="119"/>
        <v>293.3333333333386</v>
      </c>
      <c r="CD161" s="57">
        <f ca="1">AVERAGE(OFFSET($CC$3,0,0,'Données projet'!$E$12+1,1))-AVERAGE(OFFSET($H$3,0,0,'Données projet'!$E$12+1,1))</f>
        <v>259.64096626089821</v>
      </c>
      <c r="CE161" s="57">
        <f t="shared" si="148"/>
        <v>258.1415293081597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21.664733190307633</v>
      </c>
      <c r="CL161" s="21">
        <f>EXP(-LN(2)/25)*CL160+(1-EXP(-LN(2)/25))/(LN(2)/25)*Calculateur!CG161*Calculateur!CI161*VLOOKUP('Données projet'!$B$12,Paramètres!$A$1:$I$89,3,0)*0.475*44/12</f>
        <v>2.3413248452181481</v>
      </c>
      <c r="CM161" s="21">
        <f>EXP(-LN(2)/2)*CM160+(1-EXP(-LN(2)/2))/(LN(2)/2)*CG161*CJ161*VLOOKUP('Données projet'!$B$12,Paramètres!$A$1:$I$89,3,0)*0.475*44/12</f>
        <v>4.8236024700252812E-14</v>
      </c>
      <c r="CN161" s="22">
        <f t="shared" si="172"/>
        <v>24.006058035525832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-1.223725121235475E-13</v>
      </c>
      <c r="CV161" s="13" t="e">
        <f t="shared" si="173"/>
        <v>#NUM!</v>
      </c>
      <c r="CW161" s="20" t="e">
        <f t="shared" si="174"/>
        <v>#NUM!</v>
      </c>
      <c r="CX161" s="57" t="e">
        <f t="shared" si="122"/>
        <v>#NUM!</v>
      </c>
      <c r="CY161" s="57">
        <f ca="1">AVERAGE(OFFSET($CX$3,0,0,'Données projet'!$E$13+1,1))-AVERAGE(OFFSET($H$3,0,0,'Données projet'!$E$13+1,1))</f>
        <v>436.59978658837537</v>
      </c>
      <c r="CZ161" s="57">
        <f t="shared" si="150"/>
        <v>267.2998309535638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78.188723961975143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78.188723961975143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-1.0818439477588981E-13</v>
      </c>
      <c r="DQ161" s="13" t="e">
        <f t="shared" si="176"/>
        <v>#NUM!</v>
      </c>
      <c r="DR161" s="20" t="e">
        <f t="shared" si="177"/>
        <v>#NUM!</v>
      </c>
      <c r="DS161" s="57" t="e">
        <f t="shared" si="125"/>
        <v>#NUM!</v>
      </c>
      <c r="DT161" s="57">
        <f ca="1">AVERAGE(OFFSET($DS$3,0,0,'Données projet'!$E$14+1,1))-AVERAGE(OFFSET($H$3,0,0,'Données projet'!$E$14+1,1))</f>
        <v>292.95981568144879</v>
      </c>
      <c r="DU161" s="57">
        <f t="shared" si="152"/>
        <v>152.23954167722536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50.201331217832596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50.201331217832596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7" t="e">
        <f t="shared" si="128"/>
        <v>#N/A</v>
      </c>
      <c r="EO161" s="57" t="e">
        <f ca="1">AVERAGE(OFFSET($EN$3,0,0,'Données projet'!$E$15+1,1))-AVERAGE(OFFSET($H$3,0,0,'Données projet'!$E$15+1,1))</f>
        <v>#N/A</v>
      </c>
      <c r="EP161" s="57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7" t="e">
        <f t="shared" si="131"/>
        <v>#N/A</v>
      </c>
      <c r="FJ161" s="57" t="e">
        <f ca="1">AVERAGE(OFFSET($FI$3,0,0,'Données projet'!$E$16+1,1))-AVERAGE(OFFSET($H$3,0,0,'Données projet'!$E$16+1,1))</f>
        <v>#N/A</v>
      </c>
      <c r="FK161" s="57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7" t="e">
        <f t="shared" si="134"/>
        <v>#N/A</v>
      </c>
      <c r="GE161" s="57" t="e">
        <f ca="1">AVERAGE(OFFSET($GD$3,0,0,'Données projet'!$E$17+1,1))-AVERAGE(OFFSET($H$3,0,0,'Données projet'!$E$17+1,1))</f>
        <v>#N/A</v>
      </c>
      <c r="GF161" s="57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7" t="e">
        <f t="shared" si="137"/>
        <v>#N/A</v>
      </c>
      <c r="GZ161" s="57" t="e">
        <f ca="1">AVERAGE(OFFSET($GY$3,0,0,'Données projet'!$E$18+1,1))-AVERAGE(OFFSET($H$3,0,0,'Données projet'!$E$18+1,1))</f>
        <v>#N/A</v>
      </c>
      <c r="HA161" s="57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1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5">
        <f t="shared" si="110"/>
        <v>256.66666666666669</v>
      </c>
      <c r="I162" s="6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7" t="e">
        <f t="shared" si="109"/>
        <v>#NUM!</v>
      </c>
      <c r="S162" s="57">
        <f ca="1">AVERAGE(OFFSET($R$3,0,0,'Données projet'!$E$9+1,1))-AVERAGE(OFFSET($H$3,0,0,'Données projet'!$E$9+1,1))</f>
        <v>373.45926089889866</v>
      </c>
      <c r="T162" s="57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64.435050217081425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64.435050217081425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-1.0818439477588981E-13</v>
      </c>
      <c r="AK162" s="13" t="e">
        <f t="shared" si="164"/>
        <v>#NUM!</v>
      </c>
      <c r="AL162" s="20" t="e">
        <f t="shared" si="165"/>
        <v>#NUM!</v>
      </c>
      <c r="AM162" s="57" t="e">
        <f t="shared" si="113"/>
        <v>#NUM!</v>
      </c>
      <c r="AN162" s="57">
        <f ca="1">AVERAGE(OFFSET($AM$3,0,0,'Données projet'!$E$10+1,1))-AVERAGE(OFFSET($H$3,0,0,'Données projet'!$E$10+1,1))</f>
        <v>390.70240761116355</v>
      </c>
      <c r="AO162" s="57">
        <f t="shared" si="144"/>
        <v>241.18285512887638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67.767897642102838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67.767897642102838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-1.0995790944434703E-13</v>
      </c>
      <c r="BF162" s="13" t="e">
        <f t="shared" si="167"/>
        <v>#NUM!</v>
      </c>
      <c r="BG162" s="20" t="e">
        <f t="shared" si="168"/>
        <v>#NUM!</v>
      </c>
      <c r="BH162" s="57" t="e">
        <f t="shared" si="116"/>
        <v>#NUM!</v>
      </c>
      <c r="BI162" s="57">
        <f ca="1">AVERAGE(OFFSET($BH$3,0,0,'Données projet'!$E$11+1,1))-AVERAGE(OFFSET($H$3,0,0,'Données projet'!$E$11+1,1))</f>
        <v>396.44612884768748</v>
      </c>
      <c r="BJ162" s="57">
        <f t="shared" si="146"/>
        <v>244.451492444461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68.878846783776652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68.878846783776652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3.4106051316484809E-13</v>
      </c>
      <c r="BZ162" s="13">
        <f>BY162*VLOOKUP('Données projet'!$B$12,Paramètres!$A$1:$I$89,3,0)*VLOOKUP('Données projet'!$B$12,Paramètres!$A$1:$I$89,5,0)</f>
        <v>2.0395418687257919E-13</v>
      </c>
      <c r="CA162" s="13">
        <f t="shared" si="170"/>
        <v>2.8200388570161721E-12</v>
      </c>
      <c r="CB162" s="20">
        <f t="shared" si="171"/>
        <v>5.2667878847729083E-12</v>
      </c>
      <c r="CC162" s="57">
        <f t="shared" si="119"/>
        <v>293.3333333333386</v>
      </c>
      <c r="CD162" s="57">
        <f ca="1">AVERAGE(OFFSET($CC$3,0,0,'Données projet'!$E$12+1,1))-AVERAGE(OFFSET($H$3,0,0,'Données projet'!$E$12+1,1))</f>
        <v>259.64096626089821</v>
      </c>
      <c r="CE162" s="57">
        <f t="shared" si="148"/>
        <v>258.1415293081597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21.239900986628154</v>
      </c>
      <c r="CL162" s="21">
        <f>EXP(-LN(2)/25)*CL161+(1-EXP(-LN(2)/25))/(LN(2)/25)*Calculateur!CG162*Calculateur!CI162*VLOOKUP('Données projet'!$B$12,Paramètres!$A$1:$I$89,3,0)*0.475*44/12</f>
        <v>2.2773011942007355</v>
      </c>
      <c r="CM162" s="21">
        <f>EXP(-LN(2)/2)*CM161+(1-EXP(-LN(2)/2))/(LN(2)/2)*CG162*CJ162*VLOOKUP('Données projet'!$B$12,Paramètres!$A$1:$I$89,3,0)*0.475*44/12</f>
        <v>3.4108020163030566E-14</v>
      </c>
      <c r="CN162" s="22">
        <f t="shared" si="172"/>
        <v>23.517202180828924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-1.223725121235475E-13</v>
      </c>
      <c r="CV162" s="13" t="e">
        <f t="shared" si="173"/>
        <v>#NUM!</v>
      </c>
      <c r="CW162" s="20" t="e">
        <f t="shared" si="174"/>
        <v>#NUM!</v>
      </c>
      <c r="CX162" s="57" t="e">
        <f t="shared" si="122"/>
        <v>#NUM!</v>
      </c>
      <c r="CY162" s="57">
        <f ca="1">AVERAGE(OFFSET($CX$3,0,0,'Données projet'!$E$13+1,1))-AVERAGE(OFFSET($H$3,0,0,'Données projet'!$E$13+1,1))</f>
        <v>436.59978658837537</v>
      </c>
      <c r="CZ162" s="57">
        <f t="shared" si="150"/>
        <v>267.2998309535638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76.655490775493391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76.655490775493391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-1.0818439477588981E-13</v>
      </c>
      <c r="DQ162" s="13" t="e">
        <f t="shared" si="176"/>
        <v>#NUM!</v>
      </c>
      <c r="DR162" s="20" t="e">
        <f t="shared" si="177"/>
        <v>#NUM!</v>
      </c>
      <c r="DS162" s="57" t="e">
        <f t="shared" si="125"/>
        <v>#NUM!</v>
      </c>
      <c r="DT162" s="57">
        <f ca="1">AVERAGE(OFFSET($DS$3,0,0,'Données projet'!$E$14+1,1))-AVERAGE(OFFSET($H$3,0,0,'Données projet'!$E$14+1,1))</f>
        <v>292.95981568144879</v>
      </c>
      <c r="DU162" s="57">
        <f t="shared" si="152"/>
        <v>152.23954167722536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49.216913732439487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49.216913732439487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7" t="e">
        <f t="shared" si="128"/>
        <v>#N/A</v>
      </c>
      <c r="EO162" s="57" t="e">
        <f ca="1">AVERAGE(OFFSET($EN$3,0,0,'Données projet'!$E$15+1,1))-AVERAGE(OFFSET($H$3,0,0,'Données projet'!$E$15+1,1))</f>
        <v>#N/A</v>
      </c>
      <c r="EP162" s="57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7" t="e">
        <f t="shared" si="131"/>
        <v>#N/A</v>
      </c>
      <c r="FJ162" s="57" t="e">
        <f ca="1">AVERAGE(OFFSET($FI$3,0,0,'Données projet'!$E$16+1,1))-AVERAGE(OFFSET($H$3,0,0,'Données projet'!$E$16+1,1))</f>
        <v>#N/A</v>
      </c>
      <c r="FK162" s="57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7" t="e">
        <f t="shared" si="134"/>
        <v>#N/A</v>
      </c>
      <c r="GE162" s="57" t="e">
        <f ca="1">AVERAGE(OFFSET($GD$3,0,0,'Données projet'!$E$17+1,1))-AVERAGE(OFFSET($H$3,0,0,'Données projet'!$E$17+1,1))</f>
        <v>#N/A</v>
      </c>
      <c r="GF162" s="57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7" t="e">
        <f t="shared" si="137"/>
        <v>#N/A</v>
      </c>
      <c r="GZ162" s="57" t="e">
        <f ca="1">AVERAGE(OFFSET($GY$3,0,0,'Données projet'!$E$18+1,1))-AVERAGE(OFFSET($H$3,0,0,'Données projet'!$E$18+1,1))</f>
        <v>#N/A</v>
      </c>
      <c r="HA162" s="57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1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5">
        <f t="shared" si="110"/>
        <v>256.66666666666669</v>
      </c>
      <c r="I163" s="6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7" t="e">
        <f t="shared" si="109"/>
        <v>#NUM!</v>
      </c>
      <c r="S163" s="57">
        <f ca="1">AVERAGE(OFFSET($R$3,0,0,'Données projet'!$E$9+1,1))-AVERAGE(OFFSET($H$3,0,0,'Données projet'!$E$9+1,1))</f>
        <v>373.45926089889866</v>
      </c>
      <c r="T163" s="57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63.171518183824389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63.171518183824389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-1.0818439477588981E-13</v>
      </c>
      <c r="AK163" s="13" t="e">
        <f t="shared" si="164"/>
        <v>#NUM!</v>
      </c>
      <c r="AL163" s="20" t="e">
        <f t="shared" si="165"/>
        <v>#NUM!</v>
      </c>
      <c r="AM163" s="57" t="e">
        <f t="shared" si="113"/>
        <v>#NUM!</v>
      </c>
      <c r="AN163" s="57">
        <f ca="1">AVERAGE(OFFSET($AM$3,0,0,'Données projet'!$E$10+1,1))-AVERAGE(OFFSET($H$3,0,0,'Données projet'!$E$10+1,1))</f>
        <v>390.70240761116355</v>
      </c>
      <c r="AO163" s="57">
        <f t="shared" si="144"/>
        <v>241.18285512887638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66.439010503677338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66.439010503677338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-1.0995790944434703E-13</v>
      </c>
      <c r="BF163" s="13" t="e">
        <f t="shared" si="167"/>
        <v>#NUM!</v>
      </c>
      <c r="BG163" s="20" t="e">
        <f t="shared" si="168"/>
        <v>#NUM!</v>
      </c>
      <c r="BH163" s="57" t="e">
        <f t="shared" si="116"/>
        <v>#NUM!</v>
      </c>
      <c r="BI163" s="57">
        <f ca="1">AVERAGE(OFFSET($BH$3,0,0,'Données projet'!$E$11+1,1))-AVERAGE(OFFSET($H$3,0,0,'Données projet'!$E$11+1,1))</f>
        <v>396.44612884768748</v>
      </c>
      <c r="BJ163" s="57">
        <f t="shared" si="146"/>
        <v>244.451492444461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67.528174610294997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67.528174610294997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3.4106051316484809E-13</v>
      </c>
      <c r="BZ163" s="13">
        <f>BY163*VLOOKUP('Données projet'!$B$12,Paramètres!$A$1:$I$89,3,0)*VLOOKUP('Données projet'!$B$12,Paramètres!$A$1:$I$89,5,0)</f>
        <v>2.0395418687257919E-13</v>
      </c>
      <c r="CA163" s="13">
        <f t="shared" si="170"/>
        <v>2.8200388570161721E-12</v>
      </c>
      <c r="CB163" s="20">
        <f t="shared" si="171"/>
        <v>5.2667878847729083E-12</v>
      </c>
      <c r="CC163" s="57">
        <f t="shared" si="119"/>
        <v>293.3333333333386</v>
      </c>
      <c r="CD163" s="57">
        <f ca="1">AVERAGE(OFFSET($CC$3,0,0,'Données projet'!$E$12+1,1))-AVERAGE(OFFSET($H$3,0,0,'Données projet'!$E$12+1,1))</f>
        <v>259.64096626089821</v>
      </c>
      <c r="CE163" s="57">
        <f t="shared" si="148"/>
        <v>258.1415293081597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20.823399483340772</v>
      </c>
      <c r="CL163" s="21">
        <f>EXP(-LN(2)/25)*CL162+(1-EXP(-LN(2)/25))/(LN(2)/25)*Calculateur!CG163*Calculateur!CI163*VLOOKUP('Données projet'!$B$12,Paramètres!$A$1:$I$89,3,0)*0.475*44/12</f>
        <v>2.2150282732872513</v>
      </c>
      <c r="CM163" s="21">
        <f>EXP(-LN(2)/2)*CM162+(1-EXP(-LN(2)/2))/(LN(2)/2)*CG163*CJ163*VLOOKUP('Données projet'!$B$12,Paramètres!$A$1:$I$89,3,0)*0.475*44/12</f>
        <v>2.4118012350126406E-14</v>
      </c>
      <c r="CN163" s="22">
        <f t="shared" si="172"/>
        <v>23.03842775662805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-1.223725121235475E-13</v>
      </c>
      <c r="CV163" s="13" t="e">
        <f t="shared" si="173"/>
        <v>#NUM!</v>
      </c>
      <c r="CW163" s="20" t="e">
        <f t="shared" si="174"/>
        <v>#NUM!</v>
      </c>
      <c r="CX163" s="57" t="e">
        <f t="shared" si="122"/>
        <v>#NUM!</v>
      </c>
      <c r="CY163" s="57">
        <f ca="1">AVERAGE(OFFSET($CX$3,0,0,'Données projet'!$E$13+1,1))-AVERAGE(OFFSET($H$3,0,0,'Données projet'!$E$13+1,1))</f>
        <v>436.59978658837537</v>
      </c>
      <c r="CZ163" s="57">
        <f t="shared" si="150"/>
        <v>267.2998309535638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75.152323356618638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75.152323356618638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-1.0818439477588981E-13</v>
      </c>
      <c r="DQ163" s="13" t="e">
        <f t="shared" si="176"/>
        <v>#NUM!</v>
      </c>
      <c r="DR163" s="20" t="e">
        <f t="shared" si="177"/>
        <v>#NUM!</v>
      </c>
      <c r="DS163" s="57" t="e">
        <f t="shared" si="125"/>
        <v>#NUM!</v>
      </c>
      <c r="DT163" s="57">
        <f ca="1">AVERAGE(OFFSET($DS$3,0,0,'Données projet'!$E$14+1,1))-AVERAGE(OFFSET($H$3,0,0,'Données projet'!$E$14+1,1))</f>
        <v>292.95981568144879</v>
      </c>
      <c r="DU163" s="57">
        <f t="shared" si="152"/>
        <v>152.23954167722536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48.25180007349956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48.25180007349956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7" t="e">
        <f t="shared" si="128"/>
        <v>#N/A</v>
      </c>
      <c r="EO163" s="57" t="e">
        <f ca="1">AVERAGE(OFFSET($EN$3,0,0,'Données projet'!$E$15+1,1))-AVERAGE(OFFSET($H$3,0,0,'Données projet'!$E$15+1,1))</f>
        <v>#N/A</v>
      </c>
      <c r="EP163" s="57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7" t="e">
        <f t="shared" si="131"/>
        <v>#N/A</v>
      </c>
      <c r="FJ163" s="57" t="e">
        <f ca="1">AVERAGE(OFFSET($FI$3,0,0,'Données projet'!$E$16+1,1))-AVERAGE(OFFSET($H$3,0,0,'Données projet'!$E$16+1,1))</f>
        <v>#N/A</v>
      </c>
      <c r="FK163" s="57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7" t="e">
        <f t="shared" si="134"/>
        <v>#N/A</v>
      </c>
      <c r="GE163" s="57" t="e">
        <f ca="1">AVERAGE(OFFSET($GD$3,0,0,'Données projet'!$E$17+1,1))-AVERAGE(OFFSET($H$3,0,0,'Données projet'!$E$17+1,1))</f>
        <v>#N/A</v>
      </c>
      <c r="GF163" s="57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7" t="e">
        <f t="shared" si="137"/>
        <v>#N/A</v>
      </c>
      <c r="GZ163" s="57" t="e">
        <f ca="1">AVERAGE(OFFSET($GY$3,0,0,'Données projet'!$E$18+1,1))-AVERAGE(OFFSET($H$3,0,0,'Données projet'!$E$18+1,1))</f>
        <v>#N/A</v>
      </c>
      <c r="HA163" s="57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1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5">
        <f t="shared" si="110"/>
        <v>256.66666666666669</v>
      </c>
      <c r="I164" s="6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7" t="e">
        <f t="shared" si="109"/>
        <v>#NUM!</v>
      </c>
      <c r="S164" s="57">
        <f ca="1">AVERAGE(OFFSET($R$3,0,0,'Données projet'!$E$9+1,1))-AVERAGE(OFFSET($H$3,0,0,'Données projet'!$E$9+1,1))</f>
        <v>373.45926089889866</v>
      </c>
      <c r="T164" s="57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61.932763243061082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61.932763243061082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-1.0818439477588981E-13</v>
      </c>
      <c r="AK164" s="13" t="e">
        <f t="shared" si="164"/>
        <v>#NUM!</v>
      </c>
      <c r="AL164" s="20" t="e">
        <f t="shared" si="165"/>
        <v>#NUM!</v>
      </c>
      <c r="AM164" s="57" t="e">
        <f t="shared" si="113"/>
        <v>#NUM!</v>
      </c>
      <c r="AN164" s="57">
        <f ca="1">AVERAGE(OFFSET($AM$3,0,0,'Données projet'!$E$10+1,1))-AVERAGE(OFFSET($H$3,0,0,'Données projet'!$E$10+1,1))</f>
        <v>390.70240761116355</v>
      </c>
      <c r="AO164" s="57">
        <f t="shared" si="144"/>
        <v>241.18285512887638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65.136182031495238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65.136182031495238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-1.0995790944434703E-13</v>
      </c>
      <c r="BF164" s="13" t="e">
        <f t="shared" si="167"/>
        <v>#NUM!</v>
      </c>
      <c r="BG164" s="20" t="e">
        <f t="shared" si="168"/>
        <v>#NUM!</v>
      </c>
      <c r="BH164" s="57" t="e">
        <f t="shared" si="116"/>
        <v>#NUM!</v>
      </c>
      <c r="BI164" s="57">
        <f ca="1">AVERAGE(OFFSET($BH$3,0,0,'Données projet'!$E$11+1,1))-AVERAGE(OFFSET($H$3,0,0,'Données projet'!$E$11+1,1))</f>
        <v>396.44612884768748</v>
      </c>
      <c r="BJ164" s="57">
        <f t="shared" si="146"/>
        <v>244.451492444461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66.20398829430664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66.20398829430664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3.4106051316484809E-13</v>
      </c>
      <c r="BZ164" s="13">
        <f>BY164*VLOOKUP('Données projet'!$B$12,Paramètres!$A$1:$I$89,3,0)*VLOOKUP('Données projet'!$B$12,Paramètres!$A$1:$I$89,5,0)</f>
        <v>2.0395418687257919E-13</v>
      </c>
      <c r="CA164" s="13">
        <f t="shared" si="170"/>
        <v>2.8200388570161721E-12</v>
      </c>
      <c r="CB164" s="20">
        <f t="shared" si="171"/>
        <v>5.2667878847729083E-12</v>
      </c>
      <c r="CC164" s="57">
        <f t="shared" si="119"/>
        <v>293.3333333333386</v>
      </c>
      <c r="CD164" s="57">
        <f ca="1">AVERAGE(OFFSET($CC$3,0,0,'Données projet'!$E$12+1,1))-AVERAGE(OFFSET($H$3,0,0,'Données projet'!$E$12+1,1))</f>
        <v>259.64096626089821</v>
      </c>
      <c r="CE164" s="57">
        <f t="shared" si="148"/>
        <v>258.1415293081597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20.415065320492022</v>
      </c>
      <c r="CL164" s="21">
        <f>EXP(-LN(2)/25)*CL163+(1-EXP(-LN(2)/25))/(LN(2)/25)*Calculateur!CG164*Calculateur!CI164*VLOOKUP('Données projet'!$B$12,Paramètres!$A$1:$I$89,3,0)*0.475*44/12</f>
        <v>2.154458208670937</v>
      </c>
      <c r="CM164" s="21">
        <f>EXP(-LN(2)/2)*CM163+(1-EXP(-LN(2)/2))/(LN(2)/2)*CG164*CJ164*VLOOKUP('Données projet'!$B$12,Paramètres!$A$1:$I$89,3,0)*0.475*44/12</f>
        <v>1.7054010081515283E-14</v>
      </c>
      <c r="CN164" s="22">
        <f t="shared" si="172"/>
        <v>22.569523529162979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-1.223725121235475E-13</v>
      </c>
      <c r="CV164" s="13" t="e">
        <f t="shared" si="173"/>
        <v>#NUM!</v>
      </c>
      <c r="CW164" s="20" t="e">
        <f t="shared" si="174"/>
        <v>#NUM!</v>
      </c>
      <c r="CX164" s="57" t="e">
        <f t="shared" si="122"/>
        <v>#NUM!</v>
      </c>
      <c r="CY164" s="57">
        <f ca="1">AVERAGE(OFFSET($CX$3,0,0,'Données projet'!$E$13+1,1))-AVERAGE(OFFSET($H$3,0,0,'Données projet'!$E$13+1,1))</f>
        <v>436.59978658837537</v>
      </c>
      <c r="CZ164" s="57">
        <f t="shared" si="150"/>
        <v>267.2998309535638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73.678632133986426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73.678632133986426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-1.0818439477588981E-13</v>
      </c>
      <c r="DQ164" s="13" t="e">
        <f t="shared" si="176"/>
        <v>#NUM!</v>
      </c>
      <c r="DR164" s="20" t="e">
        <f t="shared" si="177"/>
        <v>#NUM!</v>
      </c>
      <c r="DS164" s="57" t="e">
        <f t="shared" si="125"/>
        <v>#NUM!</v>
      </c>
      <c r="DT164" s="57">
        <f ca="1">AVERAGE(OFFSET($DS$3,0,0,'Données projet'!$E$14+1,1))-AVERAGE(OFFSET($H$3,0,0,'Données projet'!$E$14+1,1))</f>
        <v>292.95981568144879</v>
      </c>
      <c r="DU164" s="57">
        <f t="shared" si="152"/>
        <v>152.23954167722536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47.305611704750241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47.305611704750241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7" t="e">
        <f t="shared" si="128"/>
        <v>#N/A</v>
      </c>
      <c r="EO164" s="57" t="e">
        <f ca="1">AVERAGE(OFFSET($EN$3,0,0,'Données projet'!$E$15+1,1))-AVERAGE(OFFSET($H$3,0,0,'Données projet'!$E$15+1,1))</f>
        <v>#N/A</v>
      </c>
      <c r="EP164" s="57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7" t="e">
        <f t="shared" si="131"/>
        <v>#N/A</v>
      </c>
      <c r="FJ164" s="57" t="e">
        <f ca="1">AVERAGE(OFFSET($FI$3,0,0,'Données projet'!$E$16+1,1))-AVERAGE(OFFSET($H$3,0,0,'Données projet'!$E$16+1,1))</f>
        <v>#N/A</v>
      </c>
      <c r="FK164" s="57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7" t="e">
        <f t="shared" si="134"/>
        <v>#N/A</v>
      </c>
      <c r="GE164" s="57" t="e">
        <f ca="1">AVERAGE(OFFSET($GD$3,0,0,'Données projet'!$E$17+1,1))-AVERAGE(OFFSET($H$3,0,0,'Données projet'!$E$17+1,1))</f>
        <v>#N/A</v>
      </c>
      <c r="GF164" s="57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7" t="e">
        <f t="shared" si="137"/>
        <v>#N/A</v>
      </c>
      <c r="GZ164" s="57" t="e">
        <f ca="1">AVERAGE(OFFSET($GY$3,0,0,'Données projet'!$E$18+1,1))-AVERAGE(OFFSET($H$3,0,0,'Données projet'!$E$18+1,1))</f>
        <v>#N/A</v>
      </c>
      <c r="HA164" s="57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1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5">
        <f t="shared" si="110"/>
        <v>256.66666666666669</v>
      </c>
      <c r="I165" s="6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7" t="e">
        <f t="shared" si="109"/>
        <v>#NUM!</v>
      </c>
      <c r="S165" s="57">
        <f ca="1">AVERAGE(OFFSET($R$3,0,0,'Données projet'!$E$9+1,1))-AVERAGE(OFFSET($H$3,0,0,'Données projet'!$E$9+1,1))</f>
        <v>373.45926089889866</v>
      </c>
      <c r="T165" s="57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60.718299531120238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60.718299531120238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-1.0818439477588981E-13</v>
      </c>
      <c r="AK165" s="13" t="e">
        <f t="shared" si="164"/>
        <v>#NUM!</v>
      </c>
      <c r="AL165" s="20" t="e">
        <f t="shared" si="165"/>
        <v>#NUM!</v>
      </c>
      <c r="AM165" s="57" t="e">
        <f t="shared" si="113"/>
        <v>#NUM!</v>
      </c>
      <c r="AN165" s="57">
        <f ca="1">AVERAGE(OFFSET($AM$3,0,0,'Données projet'!$E$10+1,1))-AVERAGE(OFFSET($H$3,0,0,'Données projet'!$E$10+1,1))</f>
        <v>390.70240761116355</v>
      </c>
      <c r="AO165" s="57">
        <f t="shared" si="144"/>
        <v>241.18285512887638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63.858901231005731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63.858901231005731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-1.0995790944434703E-13</v>
      </c>
      <c r="BF165" s="13" t="e">
        <f t="shared" si="167"/>
        <v>#NUM!</v>
      </c>
      <c r="BG165" s="20" t="e">
        <f t="shared" si="168"/>
        <v>#NUM!</v>
      </c>
      <c r="BH165" s="57" t="e">
        <f t="shared" si="116"/>
        <v>#NUM!</v>
      </c>
      <c r="BI165" s="57">
        <f ca="1">AVERAGE(OFFSET($BH$3,0,0,'Données projet'!$E$11+1,1))-AVERAGE(OFFSET($H$3,0,0,'Données projet'!$E$11+1,1))</f>
        <v>396.44612884768748</v>
      </c>
      <c r="BJ165" s="57">
        <f t="shared" si="146"/>
        <v>244.451492444461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64.905768464300905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64.905768464300905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3.4106051316484809E-13</v>
      </c>
      <c r="BZ165" s="13">
        <f>BY165*VLOOKUP('Données projet'!$B$12,Paramètres!$A$1:$I$89,3,0)*VLOOKUP('Données projet'!$B$12,Paramètres!$A$1:$I$89,5,0)</f>
        <v>2.0395418687257919E-13</v>
      </c>
      <c r="CA165" s="13">
        <f t="shared" si="170"/>
        <v>2.8200388570161721E-12</v>
      </c>
      <c r="CB165" s="20">
        <f t="shared" si="171"/>
        <v>5.2667878847729083E-12</v>
      </c>
      <c r="CC165" s="57">
        <f t="shared" si="119"/>
        <v>293.3333333333386</v>
      </c>
      <c r="CD165" s="57">
        <f ca="1">AVERAGE(OFFSET($CC$3,0,0,'Données projet'!$E$12+1,1))-AVERAGE(OFFSET($H$3,0,0,'Données projet'!$E$12+1,1))</f>
        <v>259.64096626089821</v>
      </c>
      <c r="CE165" s="57">
        <f t="shared" si="148"/>
        <v>258.1415293081597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20.014738341517489</v>
      </c>
      <c r="CL165" s="21">
        <f>EXP(-LN(2)/25)*CL164+(1-EXP(-LN(2)/25))/(LN(2)/25)*Calculateur!CG165*Calculateur!CI165*VLOOKUP('Données projet'!$B$12,Paramètres!$A$1:$I$89,3,0)*0.475*44/12</f>
        <v>2.0955444356567972</v>
      </c>
      <c r="CM165" s="21">
        <f>EXP(-LN(2)/2)*CM164+(1-EXP(-LN(2)/2))/(LN(2)/2)*CG165*CJ165*VLOOKUP('Données projet'!$B$12,Paramètres!$A$1:$I$89,3,0)*0.475*44/12</f>
        <v>1.2059006175063203E-14</v>
      </c>
      <c r="CN165" s="22">
        <f t="shared" si="172"/>
        <v>22.110282777174298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-1.223725121235475E-13</v>
      </c>
      <c r="CV165" s="13" t="e">
        <f t="shared" si="173"/>
        <v>#NUM!</v>
      </c>
      <c r="CW165" s="20" t="e">
        <f t="shared" si="174"/>
        <v>#NUM!</v>
      </c>
      <c r="CX165" s="57" t="e">
        <f t="shared" si="122"/>
        <v>#NUM!</v>
      </c>
      <c r="CY165" s="57">
        <f ca="1">AVERAGE(OFFSET($CX$3,0,0,'Données projet'!$E$13+1,1))-AVERAGE(OFFSET($H$3,0,0,'Données projet'!$E$13+1,1))</f>
        <v>436.59978658837537</v>
      </c>
      <c r="CZ165" s="57">
        <f t="shared" si="150"/>
        <v>267.2998309535638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72.233839097367138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72.233839097367138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-1.0818439477588981E-13</v>
      </c>
      <c r="DQ165" s="13" t="e">
        <f t="shared" si="176"/>
        <v>#NUM!</v>
      </c>
      <c r="DR165" s="20" t="e">
        <f t="shared" si="177"/>
        <v>#NUM!</v>
      </c>
      <c r="DS165" s="57" t="e">
        <f t="shared" si="125"/>
        <v>#NUM!</v>
      </c>
      <c r="DT165" s="57">
        <f ca="1">AVERAGE(OFFSET($DS$3,0,0,'Données projet'!$E$14+1,1))-AVERAGE(OFFSET($H$3,0,0,'Données projet'!$E$14+1,1))</f>
        <v>292.95981568144879</v>
      </c>
      <c r="DU165" s="57">
        <f t="shared" si="152"/>
        <v>152.23954167722536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46.377977512794175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46.377977512794175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7" t="e">
        <f t="shared" si="128"/>
        <v>#N/A</v>
      </c>
      <c r="EO165" s="57" t="e">
        <f ca="1">AVERAGE(OFFSET($EN$3,0,0,'Données projet'!$E$15+1,1))-AVERAGE(OFFSET($H$3,0,0,'Données projet'!$E$15+1,1))</f>
        <v>#N/A</v>
      </c>
      <c r="EP165" s="57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7" t="e">
        <f t="shared" si="131"/>
        <v>#N/A</v>
      </c>
      <c r="FJ165" s="57" t="e">
        <f ca="1">AVERAGE(OFFSET($FI$3,0,0,'Données projet'!$E$16+1,1))-AVERAGE(OFFSET($H$3,0,0,'Données projet'!$E$16+1,1))</f>
        <v>#N/A</v>
      </c>
      <c r="FK165" s="57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7" t="e">
        <f t="shared" si="134"/>
        <v>#N/A</v>
      </c>
      <c r="GE165" s="57" t="e">
        <f ca="1">AVERAGE(OFFSET($GD$3,0,0,'Données projet'!$E$17+1,1))-AVERAGE(OFFSET($H$3,0,0,'Données projet'!$E$17+1,1))</f>
        <v>#N/A</v>
      </c>
      <c r="GF165" s="57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7" t="e">
        <f t="shared" si="137"/>
        <v>#N/A</v>
      </c>
      <c r="GZ165" s="57" t="e">
        <f ca="1">AVERAGE(OFFSET($GY$3,0,0,'Données projet'!$E$18+1,1))-AVERAGE(OFFSET($H$3,0,0,'Données projet'!$E$18+1,1))</f>
        <v>#N/A</v>
      </c>
      <c r="HA165" s="57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1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5">
        <f t="shared" si="110"/>
        <v>256.66666666666669</v>
      </c>
      <c r="I166" s="6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7" t="e">
        <f t="shared" si="109"/>
        <v>#NUM!</v>
      </c>
      <c r="S166" s="57">
        <f ca="1">AVERAGE(OFFSET($R$3,0,0,'Données projet'!$E$9+1,1))-AVERAGE(OFFSET($H$3,0,0,'Données projet'!$E$9+1,1))</f>
        <v>373.45926089889866</v>
      </c>
      <c r="T166" s="57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59.527650711820833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59.527650711820833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-1.0818439477588981E-13</v>
      </c>
      <c r="AK166" s="13" t="e">
        <f t="shared" si="164"/>
        <v>#NUM!</v>
      </c>
      <c r="AL166" s="20" t="e">
        <f t="shared" si="165"/>
        <v>#NUM!</v>
      </c>
      <c r="AM166" s="57" t="e">
        <f t="shared" si="113"/>
        <v>#NUM!</v>
      </c>
      <c r="AN166" s="57">
        <f ca="1">AVERAGE(OFFSET($AM$3,0,0,'Données projet'!$E$10+1,1))-AVERAGE(OFFSET($H$3,0,0,'Données projet'!$E$10+1,1))</f>
        <v>390.70240761116355</v>
      </c>
      <c r="AO166" s="57">
        <f t="shared" si="144"/>
        <v>241.18285512887638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62.606667127949457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62.606667127949457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-1.0995790944434703E-13</v>
      </c>
      <c r="BF166" s="13" t="e">
        <f t="shared" si="167"/>
        <v>#NUM!</v>
      </c>
      <c r="BG166" s="20" t="e">
        <f t="shared" si="168"/>
        <v>#NUM!</v>
      </c>
      <c r="BH166" s="57" t="e">
        <f t="shared" si="116"/>
        <v>#NUM!</v>
      </c>
      <c r="BI166" s="57">
        <f ca="1">AVERAGE(OFFSET($BH$3,0,0,'Données projet'!$E$11+1,1))-AVERAGE(OFFSET($H$3,0,0,'Données projet'!$E$11+1,1))</f>
        <v>396.44612884768748</v>
      </c>
      <c r="BJ166" s="57">
        <f t="shared" si="146"/>
        <v>244.451492444461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63.633005933325677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63.633005933325677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3.4106051316484809E-13</v>
      </c>
      <c r="BZ166" s="13">
        <f>BY166*VLOOKUP('Données projet'!$B$12,Paramètres!$A$1:$I$89,3,0)*VLOOKUP('Données projet'!$B$12,Paramètres!$A$1:$I$89,5,0)</f>
        <v>2.0395418687257919E-13</v>
      </c>
      <c r="CA166" s="13">
        <f t="shared" si="170"/>
        <v>2.8200388570161721E-12</v>
      </c>
      <c r="CB166" s="20">
        <f t="shared" si="171"/>
        <v>5.2667878847729083E-12</v>
      </c>
      <c r="CC166" s="57">
        <f t="shared" si="119"/>
        <v>293.3333333333386</v>
      </c>
      <c r="CD166" s="57">
        <f ca="1">AVERAGE(OFFSET($CC$3,0,0,'Données projet'!$E$12+1,1))-AVERAGE(OFFSET($H$3,0,0,'Données projet'!$E$12+1,1))</f>
        <v>259.64096626089821</v>
      </c>
      <c r="CE166" s="57">
        <f t="shared" si="148"/>
        <v>258.1415293081597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19.622261530425302</v>
      </c>
      <c r="CL166" s="21">
        <f>EXP(-LN(2)/25)*CL165+(1-EXP(-LN(2)/25))/(LN(2)/25)*Calculateur!CG166*Calculateur!CI166*VLOOKUP('Données projet'!$B$12,Paramètres!$A$1:$I$89,3,0)*0.475*44/12</f>
        <v>2.0382416628638698</v>
      </c>
      <c r="CM166" s="21">
        <f>EXP(-LN(2)/2)*CM165+(1-EXP(-LN(2)/2))/(LN(2)/2)*CG166*CJ166*VLOOKUP('Données projet'!$B$12,Paramètres!$A$1:$I$89,3,0)*0.475*44/12</f>
        <v>8.5270050407576415E-15</v>
      </c>
      <c r="CN166" s="22">
        <f t="shared" si="172"/>
        <v>21.660503193289181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-1.223725121235475E-13</v>
      </c>
      <c r="CV166" s="13" t="e">
        <f t="shared" si="173"/>
        <v>#NUM!</v>
      </c>
      <c r="CW166" s="20" t="e">
        <f t="shared" si="174"/>
        <v>#NUM!</v>
      </c>
      <c r="CX166" s="57" t="e">
        <f t="shared" si="122"/>
        <v>#NUM!</v>
      </c>
      <c r="CY166" s="57">
        <f ca="1">AVERAGE(OFFSET($CX$3,0,0,'Données projet'!$E$13+1,1))-AVERAGE(OFFSET($H$3,0,0,'Données projet'!$E$13+1,1))</f>
        <v>436.59978658837537</v>
      </c>
      <c r="CZ166" s="57">
        <f t="shared" si="150"/>
        <v>267.2998309535638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70.817377570959223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70.817377570959223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-1.0818439477588981E-13</v>
      </c>
      <c r="DQ166" s="13" t="e">
        <f t="shared" si="176"/>
        <v>#NUM!</v>
      </c>
      <c r="DR166" s="20" t="e">
        <f t="shared" si="177"/>
        <v>#NUM!</v>
      </c>
      <c r="DS166" s="57" t="e">
        <f t="shared" si="125"/>
        <v>#NUM!</v>
      </c>
      <c r="DT166" s="57">
        <f ca="1">AVERAGE(OFFSET($DS$3,0,0,'Données projet'!$E$14+1,1))-AVERAGE(OFFSET($H$3,0,0,'Données projet'!$E$14+1,1))</f>
        <v>292.95981568144879</v>
      </c>
      <c r="DU166" s="57">
        <f t="shared" si="152"/>
        <v>152.23954167722536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45.468533661541379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45.468533661541379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7" t="e">
        <f t="shared" si="128"/>
        <v>#N/A</v>
      </c>
      <c r="EO166" s="57" t="e">
        <f ca="1">AVERAGE(OFFSET($EN$3,0,0,'Données projet'!$E$15+1,1))-AVERAGE(OFFSET($H$3,0,0,'Données projet'!$E$15+1,1))</f>
        <v>#N/A</v>
      </c>
      <c r="EP166" s="57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7" t="e">
        <f t="shared" si="131"/>
        <v>#N/A</v>
      </c>
      <c r="FJ166" s="57" t="e">
        <f ca="1">AVERAGE(OFFSET($FI$3,0,0,'Données projet'!$E$16+1,1))-AVERAGE(OFFSET($H$3,0,0,'Données projet'!$E$16+1,1))</f>
        <v>#N/A</v>
      </c>
      <c r="FK166" s="57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7" t="e">
        <f t="shared" si="134"/>
        <v>#N/A</v>
      </c>
      <c r="GE166" s="57" t="e">
        <f ca="1">AVERAGE(OFFSET($GD$3,0,0,'Données projet'!$E$17+1,1))-AVERAGE(OFFSET($H$3,0,0,'Données projet'!$E$17+1,1))</f>
        <v>#N/A</v>
      </c>
      <c r="GF166" s="57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7" t="e">
        <f t="shared" si="137"/>
        <v>#N/A</v>
      </c>
      <c r="GZ166" s="57" t="e">
        <f ca="1">AVERAGE(OFFSET($GY$3,0,0,'Données projet'!$E$18+1,1))-AVERAGE(OFFSET($H$3,0,0,'Données projet'!$E$18+1,1))</f>
        <v>#N/A</v>
      </c>
      <c r="HA166" s="57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1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5">
        <f t="shared" si="110"/>
        <v>256.66666666666669</v>
      </c>
      <c r="I167" s="6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7" t="e">
        <f t="shared" si="109"/>
        <v>#NUM!</v>
      </c>
      <c r="S167" s="57">
        <f ca="1">AVERAGE(OFFSET($R$3,0,0,'Données projet'!$E$9+1,1))-AVERAGE(OFFSET($H$3,0,0,'Données projet'!$E$9+1,1))</f>
        <v>373.45926089889866</v>
      </c>
      <c r="T167" s="57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58.360349789643813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58.360349789643813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-1.0818439477588981E-13</v>
      </c>
      <c r="AK167" s="13" t="e">
        <f t="shared" si="164"/>
        <v>#NUM!</v>
      </c>
      <c r="AL167" s="20" t="e">
        <f t="shared" si="165"/>
        <v>#NUM!</v>
      </c>
      <c r="AM167" s="57" t="e">
        <f t="shared" si="113"/>
        <v>#NUM!</v>
      </c>
      <c r="AN167" s="57">
        <f ca="1">AVERAGE(OFFSET($AM$3,0,0,'Données projet'!$E$10+1,1))-AVERAGE(OFFSET($H$3,0,0,'Données projet'!$E$10+1,1))</f>
        <v>390.70240761116355</v>
      </c>
      <c r="AO167" s="57">
        <f t="shared" si="144"/>
        <v>241.18285512887638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61.378988571866735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61.378988571866735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-1.0995790944434703E-13</v>
      </c>
      <c r="BF167" s="13" t="e">
        <f t="shared" si="167"/>
        <v>#NUM!</v>
      </c>
      <c r="BG167" s="20" t="e">
        <f t="shared" si="168"/>
        <v>#NUM!</v>
      </c>
      <c r="BH167" s="57" t="e">
        <f t="shared" si="116"/>
        <v>#NUM!</v>
      </c>
      <c r="BI167" s="57">
        <f ca="1">AVERAGE(OFFSET($BH$3,0,0,'Données projet'!$E$11+1,1))-AVERAGE(OFFSET($H$3,0,0,'Données projet'!$E$11+1,1))</f>
        <v>396.44612884768748</v>
      </c>
      <c r="BJ167" s="57">
        <f t="shared" si="146"/>
        <v>244.451492444461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62.38520149927438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62.38520149927438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3.4106051316484809E-13</v>
      </c>
      <c r="BZ167" s="13">
        <f>BY167*VLOOKUP('Données projet'!$B$12,Paramètres!$A$1:$I$89,3,0)*VLOOKUP('Données projet'!$B$12,Paramètres!$A$1:$I$89,5,0)</f>
        <v>2.0395418687257919E-13</v>
      </c>
      <c r="CA167" s="13">
        <f t="shared" si="170"/>
        <v>2.8200388570161721E-12</v>
      </c>
      <c r="CB167" s="20">
        <f t="shared" si="171"/>
        <v>5.2667878847729083E-12</v>
      </c>
      <c r="CC167" s="57">
        <f t="shared" si="119"/>
        <v>293.3333333333386</v>
      </c>
      <c r="CD167" s="57">
        <f ca="1">AVERAGE(OFFSET($CC$3,0,0,'Données projet'!$E$12+1,1))-AVERAGE(OFFSET($H$3,0,0,'Données projet'!$E$12+1,1))</f>
        <v>259.64096626089821</v>
      </c>
      <c r="CE167" s="57">
        <f t="shared" si="148"/>
        <v>258.1415293081597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19.237480950211413</v>
      </c>
      <c r="CL167" s="21">
        <f>EXP(-LN(2)/25)*CL166+(1-EXP(-LN(2)/25))/(LN(2)/25)*Calculateur!CG167*Calculateur!CI167*VLOOKUP('Données projet'!$B$12,Paramètres!$A$1:$I$89,3,0)*0.475*44/12</f>
        <v>1.9825058374063866</v>
      </c>
      <c r="CM167" s="21">
        <f>EXP(-LN(2)/2)*CM166+(1-EXP(-LN(2)/2))/(LN(2)/2)*CG167*CJ167*VLOOKUP('Données projet'!$B$12,Paramètres!$A$1:$I$89,3,0)*0.475*44/12</f>
        <v>6.0295030875316015E-15</v>
      </c>
      <c r="CN167" s="22">
        <f t="shared" si="172"/>
        <v>21.219986787617806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-1.223725121235475E-13</v>
      </c>
      <c r="CV167" s="13" t="e">
        <f t="shared" si="173"/>
        <v>#NUM!</v>
      </c>
      <c r="CW167" s="20" t="e">
        <f t="shared" si="174"/>
        <v>#NUM!</v>
      </c>
      <c r="CX167" s="57" t="e">
        <f t="shared" si="122"/>
        <v>#NUM!</v>
      </c>
      <c r="CY167" s="57">
        <f ca="1">AVERAGE(OFFSET($CX$3,0,0,'Données projet'!$E$13+1,1))-AVERAGE(OFFSET($H$3,0,0,'Données projet'!$E$13+1,1))</f>
        <v>436.59978658837537</v>
      </c>
      <c r="CZ167" s="57">
        <f t="shared" si="150"/>
        <v>267.2998309535638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69.428691991127948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69.428691991127948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-1.0818439477588981E-13</v>
      </c>
      <c r="DQ167" s="13" t="e">
        <f t="shared" si="176"/>
        <v>#NUM!</v>
      </c>
      <c r="DR167" s="20" t="e">
        <f t="shared" si="177"/>
        <v>#NUM!</v>
      </c>
      <c r="DS167" s="57" t="e">
        <f t="shared" si="125"/>
        <v>#NUM!</v>
      </c>
      <c r="DT167" s="57">
        <f ca="1">AVERAGE(OFFSET($DS$3,0,0,'Données projet'!$E$14+1,1))-AVERAGE(OFFSET($H$3,0,0,'Données projet'!$E$14+1,1))</f>
        <v>292.95981568144879</v>
      </c>
      <c r="DU167" s="57">
        <f t="shared" si="152"/>
        <v>152.23954167722536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44.576923449505671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44.576923449505671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7" t="e">
        <f t="shared" si="128"/>
        <v>#N/A</v>
      </c>
      <c r="EO167" s="57" t="e">
        <f ca="1">AVERAGE(OFFSET($EN$3,0,0,'Données projet'!$E$15+1,1))-AVERAGE(OFFSET($H$3,0,0,'Données projet'!$E$15+1,1))</f>
        <v>#N/A</v>
      </c>
      <c r="EP167" s="57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7" t="e">
        <f t="shared" si="131"/>
        <v>#N/A</v>
      </c>
      <c r="FJ167" s="57" t="e">
        <f ca="1">AVERAGE(OFFSET($FI$3,0,0,'Données projet'!$E$16+1,1))-AVERAGE(OFFSET($H$3,0,0,'Données projet'!$E$16+1,1))</f>
        <v>#N/A</v>
      </c>
      <c r="FK167" s="57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7" t="e">
        <f t="shared" si="134"/>
        <v>#N/A</v>
      </c>
      <c r="GE167" s="57" t="e">
        <f ca="1">AVERAGE(OFFSET($GD$3,0,0,'Données projet'!$E$17+1,1))-AVERAGE(OFFSET($H$3,0,0,'Données projet'!$E$17+1,1))</f>
        <v>#N/A</v>
      </c>
      <c r="GF167" s="57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7" t="e">
        <f t="shared" si="137"/>
        <v>#N/A</v>
      </c>
      <c r="GZ167" s="57" t="e">
        <f ca="1">AVERAGE(OFFSET($GY$3,0,0,'Données projet'!$E$18+1,1))-AVERAGE(OFFSET($H$3,0,0,'Données projet'!$E$18+1,1))</f>
        <v>#N/A</v>
      </c>
      <c r="HA167" s="57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1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5">
        <f t="shared" si="110"/>
        <v>256.66666666666669</v>
      </c>
      <c r="I168" s="6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7" t="e">
        <f t="shared" si="109"/>
        <v>#NUM!</v>
      </c>
      <c r="S168" s="57">
        <f ca="1">AVERAGE(OFFSET($R$3,0,0,'Données projet'!$E$9+1,1))-AVERAGE(OFFSET($H$3,0,0,'Données projet'!$E$9+1,1))</f>
        <v>373.45926089889866</v>
      </c>
      <c r="T168" s="57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57.215938926567425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57.215938926567425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-1.0818439477588981E-13</v>
      </c>
      <c r="AK168" s="13" t="e">
        <f t="shared" si="164"/>
        <v>#NUM!</v>
      </c>
      <c r="AL168" s="20" t="e">
        <f t="shared" si="165"/>
        <v>#NUM!</v>
      </c>
      <c r="AM168" s="57" t="e">
        <f t="shared" si="113"/>
        <v>#NUM!</v>
      </c>
      <c r="AN168" s="57">
        <f ca="1">AVERAGE(OFFSET($AM$3,0,0,'Données projet'!$E$10+1,1))-AVERAGE(OFFSET($H$3,0,0,'Données projet'!$E$10+1,1))</f>
        <v>390.70240761116355</v>
      </c>
      <c r="AO168" s="57">
        <f t="shared" si="144"/>
        <v>241.18285512887638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60.175384043458813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60.175384043458813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-1.0995790944434703E-13</v>
      </c>
      <c r="BF168" s="13" t="e">
        <f t="shared" si="167"/>
        <v>#NUM!</v>
      </c>
      <c r="BG168" s="20" t="e">
        <f t="shared" si="168"/>
        <v>#NUM!</v>
      </c>
      <c r="BH168" s="57" t="e">
        <f t="shared" si="116"/>
        <v>#NUM!</v>
      </c>
      <c r="BI168" s="57">
        <f ca="1">AVERAGE(OFFSET($BH$3,0,0,'Données projet'!$E$11+1,1))-AVERAGE(OFFSET($H$3,0,0,'Données projet'!$E$11+1,1))</f>
        <v>396.44612884768748</v>
      </c>
      <c r="BJ168" s="57">
        <f t="shared" si="146"/>
        <v>244.451492444461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61.16186574908928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61.16186574908928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3.4106051316484809E-13</v>
      </c>
      <c r="BZ168" s="13">
        <f>BY168*VLOOKUP('Données projet'!$B$12,Paramètres!$A$1:$I$89,3,0)*VLOOKUP('Données projet'!$B$12,Paramètres!$A$1:$I$89,5,0)</f>
        <v>2.0395418687257919E-13</v>
      </c>
      <c r="CA168" s="13">
        <f t="shared" si="170"/>
        <v>2.8200388570161721E-12</v>
      </c>
      <c r="CB168" s="20">
        <f t="shared" si="171"/>
        <v>5.2667878847729083E-12</v>
      </c>
      <c r="CC168" s="57">
        <f t="shared" si="119"/>
        <v>293.3333333333386</v>
      </c>
      <c r="CD168" s="57">
        <f ca="1">AVERAGE(OFFSET($CC$3,0,0,'Données projet'!$E$12+1,1))-AVERAGE(OFFSET($H$3,0,0,'Données projet'!$E$12+1,1))</f>
        <v>259.64096626089821</v>
      </c>
      <c r="CE168" s="57">
        <f t="shared" si="148"/>
        <v>258.1415293081597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18.860245682482539</v>
      </c>
      <c r="CL168" s="21">
        <f>EXP(-LN(2)/25)*CL167+(1-EXP(-LN(2)/25))/(LN(2)/25)*Calculateur!CG168*Calculateur!CI168*VLOOKUP('Données projet'!$B$12,Paramètres!$A$1:$I$89,3,0)*0.475*44/12</f>
        <v>1.9282941110270582</v>
      </c>
      <c r="CM168" s="21">
        <f>EXP(-LN(2)/2)*CM167+(1-EXP(-LN(2)/2))/(LN(2)/2)*CG168*CJ168*VLOOKUP('Données projet'!$B$12,Paramètres!$A$1:$I$89,3,0)*0.475*44/12</f>
        <v>4.2635025203788208E-15</v>
      </c>
      <c r="CN168" s="22">
        <f t="shared" si="172"/>
        <v>20.788539793509599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-1.223725121235475E-13</v>
      </c>
      <c r="CV168" s="13" t="e">
        <f t="shared" si="173"/>
        <v>#NUM!</v>
      </c>
      <c r="CW168" s="20" t="e">
        <f t="shared" si="174"/>
        <v>#NUM!</v>
      </c>
      <c r="CX168" s="57" t="e">
        <f t="shared" si="122"/>
        <v>#NUM!</v>
      </c>
      <c r="CY168" s="57">
        <f ca="1">AVERAGE(OFFSET($CX$3,0,0,'Données projet'!$E$13+1,1))-AVERAGE(OFFSET($H$3,0,0,'Données projet'!$E$13+1,1))</f>
        <v>436.59978658837537</v>
      </c>
      <c r="CZ168" s="57">
        <f t="shared" si="150"/>
        <v>267.2998309535638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68.067237688502587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68.067237688502587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-1.0818439477588981E-13</v>
      </c>
      <c r="DQ168" s="13" t="e">
        <f t="shared" si="176"/>
        <v>#NUM!</v>
      </c>
      <c r="DR168" s="20" t="e">
        <f t="shared" si="177"/>
        <v>#NUM!</v>
      </c>
      <c r="DS168" s="57" t="e">
        <f t="shared" si="125"/>
        <v>#NUM!</v>
      </c>
      <c r="DT168" s="57">
        <f ca="1">AVERAGE(OFFSET($DS$3,0,0,'Données projet'!$E$14+1,1))-AVERAGE(OFFSET($H$3,0,0,'Données projet'!$E$14+1,1))</f>
        <v>292.95981568144879</v>
      </c>
      <c r="DU168" s="57">
        <f t="shared" si="152"/>
        <v>152.23954167722536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43.702797169899455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43.702797169899455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7" t="e">
        <f t="shared" si="128"/>
        <v>#N/A</v>
      </c>
      <c r="EO168" s="57" t="e">
        <f ca="1">AVERAGE(OFFSET($EN$3,0,0,'Données projet'!$E$15+1,1))-AVERAGE(OFFSET($H$3,0,0,'Données projet'!$E$15+1,1))</f>
        <v>#N/A</v>
      </c>
      <c r="EP168" s="57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7" t="e">
        <f t="shared" si="131"/>
        <v>#N/A</v>
      </c>
      <c r="FJ168" s="57" t="e">
        <f ca="1">AVERAGE(OFFSET($FI$3,0,0,'Données projet'!$E$16+1,1))-AVERAGE(OFFSET($H$3,0,0,'Données projet'!$E$16+1,1))</f>
        <v>#N/A</v>
      </c>
      <c r="FK168" s="57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7" t="e">
        <f t="shared" si="134"/>
        <v>#N/A</v>
      </c>
      <c r="GE168" s="57" t="e">
        <f ca="1">AVERAGE(OFFSET($GD$3,0,0,'Données projet'!$E$17+1,1))-AVERAGE(OFFSET($H$3,0,0,'Données projet'!$E$17+1,1))</f>
        <v>#N/A</v>
      </c>
      <c r="GF168" s="57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7" t="e">
        <f t="shared" si="137"/>
        <v>#N/A</v>
      </c>
      <c r="GZ168" s="57" t="e">
        <f ca="1">AVERAGE(OFFSET($GY$3,0,0,'Données projet'!$E$18+1,1))-AVERAGE(OFFSET($H$3,0,0,'Données projet'!$E$18+1,1))</f>
        <v>#N/A</v>
      </c>
      <c r="HA168" s="57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1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5">
        <f t="shared" si="110"/>
        <v>256.66666666666669</v>
      </c>
      <c r="I169" s="6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7" t="e">
        <f t="shared" si="109"/>
        <v>#NUM!</v>
      </c>
      <c r="S169" s="57">
        <f ca="1">AVERAGE(OFFSET($R$3,0,0,'Données projet'!$E$9+1,1))-AVERAGE(OFFSET($H$3,0,0,'Données projet'!$E$9+1,1))</f>
        <v>373.45926089889866</v>
      </c>
      <c r="T169" s="57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56.093969262494262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56.093969262494262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-1.0818439477588981E-13</v>
      </c>
      <c r="AK169" s="13" t="e">
        <f t="shared" si="164"/>
        <v>#NUM!</v>
      </c>
      <c r="AL169" s="20" t="e">
        <f t="shared" si="165"/>
        <v>#NUM!</v>
      </c>
      <c r="AM169" s="57" t="e">
        <f t="shared" si="113"/>
        <v>#NUM!</v>
      </c>
      <c r="AN169" s="57">
        <f ca="1">AVERAGE(OFFSET($AM$3,0,0,'Données projet'!$E$10+1,1))-AVERAGE(OFFSET($H$3,0,0,'Données projet'!$E$10+1,1))</f>
        <v>390.70240761116355</v>
      </c>
      <c r="AO169" s="57">
        <f t="shared" si="144"/>
        <v>241.18285512887638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58.995381465726695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58.995381465726695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-1.0995790944434703E-13</v>
      </c>
      <c r="BF169" s="13" t="e">
        <f t="shared" si="167"/>
        <v>#NUM!</v>
      </c>
      <c r="BG169" s="20" t="e">
        <f t="shared" si="168"/>
        <v>#NUM!</v>
      </c>
      <c r="BH169" s="57" t="e">
        <f t="shared" si="116"/>
        <v>#NUM!</v>
      </c>
      <c r="BI169" s="57">
        <f ca="1">AVERAGE(OFFSET($BH$3,0,0,'Données projet'!$E$11+1,1))-AVERAGE(OFFSET($H$3,0,0,'Données projet'!$E$11+1,1))</f>
        <v>396.44612884768748</v>
      </c>
      <c r="BJ169" s="57">
        <f t="shared" si="146"/>
        <v>244.451492444461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59.962518866804182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59.962518866804182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3.4106051316484809E-13</v>
      </c>
      <c r="BZ169" s="13">
        <f>BY169*VLOOKUP('Données projet'!$B$12,Paramètres!$A$1:$I$89,3,0)*VLOOKUP('Données projet'!$B$12,Paramètres!$A$1:$I$89,5,0)</f>
        <v>2.0395418687257919E-13</v>
      </c>
      <c r="CA169" s="13">
        <f t="shared" si="170"/>
        <v>2.8200388570161721E-12</v>
      </c>
      <c r="CB169" s="20">
        <f t="shared" si="171"/>
        <v>5.2667878847729083E-12</v>
      </c>
      <c r="CC169" s="57">
        <f t="shared" si="119"/>
        <v>293.3333333333386</v>
      </c>
      <c r="CD169" s="57">
        <f ca="1">AVERAGE(OFFSET($CC$3,0,0,'Données projet'!$E$12+1,1))-AVERAGE(OFFSET($H$3,0,0,'Données projet'!$E$12+1,1))</f>
        <v>259.64096626089821</v>
      </c>
      <c r="CE169" s="57">
        <f t="shared" si="148"/>
        <v>258.1415293081597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18.490407768263037</v>
      </c>
      <c r="CL169" s="21">
        <f>EXP(-LN(2)/25)*CL168+(1-EXP(-LN(2)/25))/(LN(2)/25)*Calculateur!CG169*Calculateur!CI169*VLOOKUP('Données projet'!$B$12,Paramètres!$A$1:$I$89,3,0)*0.475*44/12</f>
        <v>1.8755648071564432</v>
      </c>
      <c r="CM169" s="21">
        <f>EXP(-LN(2)/2)*CM168+(1-EXP(-LN(2)/2))/(LN(2)/2)*CG169*CJ169*VLOOKUP('Données projet'!$B$12,Paramètres!$A$1:$I$89,3,0)*0.475*44/12</f>
        <v>3.0147515437658007E-15</v>
      </c>
      <c r="CN169" s="22">
        <f t="shared" si="172"/>
        <v>20.365972575419484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-1.223725121235475E-13</v>
      </c>
      <c r="CV169" s="13" t="e">
        <f t="shared" si="173"/>
        <v>#NUM!</v>
      </c>
      <c r="CW169" s="20" t="e">
        <f t="shared" si="174"/>
        <v>#NUM!</v>
      </c>
      <c r="CX169" s="57" t="e">
        <f t="shared" si="122"/>
        <v>#NUM!</v>
      </c>
      <c r="CY169" s="57">
        <f ca="1">AVERAGE(OFFSET($CX$3,0,0,'Données projet'!$E$13+1,1))-AVERAGE(OFFSET($H$3,0,0,'Données projet'!$E$13+1,1))</f>
        <v>436.59978658837537</v>
      </c>
      <c r="CZ169" s="57">
        <f t="shared" si="150"/>
        <v>267.2998309535638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66.73248067434659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66.73248067434659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-1.0818439477588981E-13</v>
      </c>
      <c r="DQ169" s="13" t="e">
        <f t="shared" si="176"/>
        <v>#NUM!</v>
      </c>
      <c r="DR169" s="20" t="e">
        <f t="shared" si="177"/>
        <v>#NUM!</v>
      </c>
      <c r="DS169" s="57" t="e">
        <f t="shared" si="125"/>
        <v>#NUM!</v>
      </c>
      <c r="DT169" s="57">
        <f ca="1">AVERAGE(OFFSET($DS$3,0,0,'Données projet'!$E$14+1,1))-AVERAGE(OFFSET($H$3,0,0,'Données projet'!$E$14+1,1))</f>
        <v>292.95981568144879</v>
      </c>
      <c r="DU169" s="57">
        <f t="shared" si="152"/>
        <v>152.23954167722536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42.845811973471932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42.845811973471932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7" t="e">
        <f t="shared" si="128"/>
        <v>#N/A</v>
      </c>
      <c r="EO169" s="57" t="e">
        <f ca="1">AVERAGE(OFFSET($EN$3,0,0,'Données projet'!$E$15+1,1))-AVERAGE(OFFSET($H$3,0,0,'Données projet'!$E$15+1,1))</f>
        <v>#N/A</v>
      </c>
      <c r="EP169" s="57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7" t="e">
        <f t="shared" si="131"/>
        <v>#N/A</v>
      </c>
      <c r="FJ169" s="57" t="e">
        <f ca="1">AVERAGE(OFFSET($FI$3,0,0,'Données projet'!$E$16+1,1))-AVERAGE(OFFSET($H$3,0,0,'Données projet'!$E$16+1,1))</f>
        <v>#N/A</v>
      </c>
      <c r="FK169" s="57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7" t="e">
        <f t="shared" si="134"/>
        <v>#N/A</v>
      </c>
      <c r="GE169" s="57" t="e">
        <f ca="1">AVERAGE(OFFSET($GD$3,0,0,'Données projet'!$E$17+1,1))-AVERAGE(OFFSET($H$3,0,0,'Données projet'!$E$17+1,1))</f>
        <v>#N/A</v>
      </c>
      <c r="GF169" s="57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7" t="e">
        <f t="shared" si="137"/>
        <v>#N/A</v>
      </c>
      <c r="GZ169" s="57" t="e">
        <f ca="1">AVERAGE(OFFSET($GY$3,0,0,'Données projet'!$E$18+1,1))-AVERAGE(OFFSET($H$3,0,0,'Données projet'!$E$18+1,1))</f>
        <v>#N/A</v>
      </c>
      <c r="HA169" s="57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1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5">
        <f t="shared" si="110"/>
        <v>256.66666666666669</v>
      </c>
      <c r="I170" s="6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7" t="e">
        <f t="shared" si="109"/>
        <v>#NUM!</v>
      </c>
      <c r="S170" s="57">
        <f ca="1">AVERAGE(OFFSET($R$3,0,0,'Données projet'!$E$9+1,1))-AVERAGE(OFFSET($H$3,0,0,'Données projet'!$E$9+1,1))</f>
        <v>373.45926089889866</v>
      </c>
      <c r="T170" s="57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54.994000739199656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54.994000739199656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-1.0818439477588981E-13</v>
      </c>
      <c r="AK170" s="13" t="e">
        <f t="shared" si="164"/>
        <v>#NUM!</v>
      </c>
      <c r="AL170" s="20" t="e">
        <f t="shared" si="165"/>
        <v>#NUM!</v>
      </c>
      <c r="AM170" s="57" t="e">
        <f t="shared" si="113"/>
        <v>#NUM!</v>
      </c>
      <c r="AN170" s="57">
        <f ca="1">AVERAGE(OFFSET($AM$3,0,0,'Données projet'!$E$10+1,1))-AVERAGE(OFFSET($H$3,0,0,'Données projet'!$E$10+1,1))</f>
        <v>390.70240761116355</v>
      </c>
      <c r="AO170" s="57">
        <f t="shared" si="144"/>
        <v>241.18285512887638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57.838518018813403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57.838518018813403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-1.0995790944434703E-13</v>
      </c>
      <c r="BF170" s="13" t="e">
        <f t="shared" si="167"/>
        <v>#NUM!</v>
      </c>
      <c r="BG170" s="20" t="e">
        <f t="shared" si="168"/>
        <v>#NUM!</v>
      </c>
      <c r="BH170" s="57" t="e">
        <f t="shared" si="116"/>
        <v>#NUM!</v>
      </c>
      <c r="BI170" s="57">
        <f ca="1">AVERAGE(OFFSET($BH$3,0,0,'Données projet'!$E$11+1,1))-AVERAGE(OFFSET($H$3,0,0,'Données projet'!$E$11+1,1))</f>
        <v>396.44612884768748</v>
      </c>
      <c r="BJ170" s="57">
        <f t="shared" si="146"/>
        <v>244.451492444461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58.786690445351326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58.786690445351326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3.4106051316484809E-13</v>
      </c>
      <c r="BZ170" s="13">
        <f>BY170*VLOOKUP('Données projet'!$B$12,Paramètres!$A$1:$I$89,3,0)*VLOOKUP('Données projet'!$B$12,Paramètres!$A$1:$I$89,5,0)</f>
        <v>2.0395418687257919E-13</v>
      </c>
      <c r="CA170" s="13">
        <f t="shared" si="170"/>
        <v>2.8200388570161721E-12</v>
      </c>
      <c r="CB170" s="20">
        <f t="shared" si="171"/>
        <v>5.2667878847729083E-12</v>
      </c>
      <c r="CC170" s="57">
        <f t="shared" si="119"/>
        <v>293.3333333333386</v>
      </c>
      <c r="CD170" s="57">
        <f ca="1">AVERAGE(OFFSET($CC$3,0,0,'Données projet'!$E$12+1,1))-AVERAGE(OFFSET($H$3,0,0,'Données projet'!$E$12+1,1))</f>
        <v>259.64096626089821</v>
      </c>
      <c r="CE170" s="57">
        <f t="shared" si="148"/>
        <v>258.1415293081597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18.127822149962523</v>
      </c>
      <c r="CL170" s="21">
        <f>EXP(-LN(2)/25)*CL169+(1-EXP(-LN(2)/25))/(LN(2)/25)*Calculateur!CG170*Calculateur!CI170*VLOOKUP('Données projet'!$B$12,Paramètres!$A$1:$I$89,3,0)*0.475*44/12</f>
        <v>1.8242773888730837</v>
      </c>
      <c r="CM170" s="21">
        <f>EXP(-LN(2)/2)*CM169+(1-EXP(-LN(2)/2))/(LN(2)/2)*CG170*CJ170*VLOOKUP('Données projet'!$B$12,Paramètres!$A$1:$I$89,3,0)*0.475*44/12</f>
        <v>2.1317512601894104E-15</v>
      </c>
      <c r="CN170" s="22">
        <f t="shared" si="172"/>
        <v>19.952099538835611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-1.223725121235475E-13</v>
      </c>
      <c r="CV170" s="13" t="e">
        <f t="shared" si="173"/>
        <v>#NUM!</v>
      </c>
      <c r="CW170" s="20" t="e">
        <f t="shared" si="174"/>
        <v>#NUM!</v>
      </c>
      <c r="CX170" s="57" t="e">
        <f t="shared" si="122"/>
        <v>#NUM!</v>
      </c>
      <c r="CY170" s="57">
        <f ca="1">AVERAGE(OFFSET($CX$3,0,0,'Données projet'!$E$13+1,1))-AVERAGE(OFFSET($H$3,0,0,'Données projet'!$E$13+1,1))</f>
        <v>436.59978658837537</v>
      </c>
      <c r="CZ170" s="57">
        <f t="shared" si="150"/>
        <v>267.2998309535638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65.423897431116799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65.423897431116799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-1.0818439477588981E-13</v>
      </c>
      <c r="DQ170" s="13" t="e">
        <f t="shared" si="176"/>
        <v>#NUM!</v>
      </c>
      <c r="DR170" s="20" t="e">
        <f t="shared" si="177"/>
        <v>#NUM!</v>
      </c>
      <c r="DS170" s="57" t="e">
        <f t="shared" si="125"/>
        <v>#NUM!</v>
      </c>
      <c r="DT170" s="57">
        <f ca="1">AVERAGE(OFFSET($DS$3,0,0,'Données projet'!$E$14+1,1))-AVERAGE(OFFSET($H$3,0,0,'Données projet'!$E$14+1,1))</f>
        <v>292.95981568144879</v>
      </c>
      <c r="DU170" s="57">
        <f t="shared" si="152"/>
        <v>152.23954167722536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42.005631734036996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42.005631734036996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7" t="e">
        <f t="shared" si="128"/>
        <v>#N/A</v>
      </c>
      <c r="EO170" s="57" t="e">
        <f ca="1">AVERAGE(OFFSET($EN$3,0,0,'Données projet'!$E$15+1,1))-AVERAGE(OFFSET($H$3,0,0,'Données projet'!$E$15+1,1))</f>
        <v>#N/A</v>
      </c>
      <c r="EP170" s="57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7" t="e">
        <f t="shared" si="131"/>
        <v>#N/A</v>
      </c>
      <c r="FJ170" s="57" t="e">
        <f ca="1">AVERAGE(OFFSET($FI$3,0,0,'Données projet'!$E$16+1,1))-AVERAGE(OFFSET($H$3,0,0,'Données projet'!$E$16+1,1))</f>
        <v>#N/A</v>
      </c>
      <c r="FK170" s="57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7" t="e">
        <f t="shared" si="134"/>
        <v>#N/A</v>
      </c>
      <c r="GE170" s="57" t="e">
        <f ca="1">AVERAGE(OFFSET($GD$3,0,0,'Données projet'!$E$17+1,1))-AVERAGE(OFFSET($H$3,0,0,'Données projet'!$E$17+1,1))</f>
        <v>#N/A</v>
      </c>
      <c r="GF170" s="57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7" t="e">
        <f t="shared" si="137"/>
        <v>#N/A</v>
      </c>
      <c r="GZ170" s="57" t="e">
        <f ca="1">AVERAGE(OFFSET($GY$3,0,0,'Données projet'!$E$18+1,1))-AVERAGE(OFFSET($H$3,0,0,'Données projet'!$E$18+1,1))</f>
        <v>#N/A</v>
      </c>
      <c r="HA170" s="57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1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5">
        <f t="shared" si="110"/>
        <v>256.66666666666669</v>
      </c>
      <c r="I171" s="6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7" t="e">
        <f t="shared" si="109"/>
        <v>#NUM!</v>
      </c>
      <c r="S171" s="57">
        <f ca="1">AVERAGE(OFFSET($R$3,0,0,'Données projet'!$E$9+1,1))-AVERAGE(OFFSET($H$3,0,0,'Données projet'!$E$9+1,1))</f>
        <v>373.45926089889866</v>
      </c>
      <c r="T171" s="57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53.915601927732304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53.915601927732304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-1.0818439477588981E-13</v>
      </c>
      <c r="AK171" s="13" t="e">
        <f t="shared" si="164"/>
        <v>#NUM!</v>
      </c>
      <c r="AL171" s="20" t="e">
        <f t="shared" si="165"/>
        <v>#NUM!</v>
      </c>
      <c r="AM171" s="57" t="e">
        <f t="shared" si="113"/>
        <v>#NUM!</v>
      </c>
      <c r="AN171" s="57">
        <f ca="1">AVERAGE(OFFSET($AM$3,0,0,'Données projet'!$E$10+1,1))-AVERAGE(OFFSET($H$3,0,0,'Données projet'!$E$10+1,1))</f>
        <v>390.70240761116355</v>
      </c>
      <c r="AO171" s="57">
        <f t="shared" si="144"/>
        <v>241.18285512887638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56.70433995847705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56.70433995847705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-1.0995790944434703E-13</v>
      </c>
      <c r="BF171" s="13" t="e">
        <f t="shared" si="167"/>
        <v>#NUM!</v>
      </c>
      <c r="BG171" s="20" t="e">
        <f t="shared" si="168"/>
        <v>#NUM!</v>
      </c>
      <c r="BH171" s="57" t="e">
        <f t="shared" si="116"/>
        <v>#NUM!</v>
      </c>
      <c r="BI171" s="57">
        <f ca="1">AVERAGE(OFFSET($BH$3,0,0,'Données projet'!$E$11+1,1))-AVERAGE(OFFSET($H$3,0,0,'Données projet'!$E$11+1,1))</f>
        <v>396.44612884768748</v>
      </c>
      <c r="BJ171" s="57">
        <f t="shared" si="146"/>
        <v>244.451492444461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57.633919302058636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57.633919302058636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3.4106051316484809E-13</v>
      </c>
      <c r="BZ171" s="13">
        <f>BY171*VLOOKUP('Données projet'!$B$12,Paramètres!$A$1:$I$89,3,0)*VLOOKUP('Données projet'!$B$12,Paramètres!$A$1:$I$89,5,0)</f>
        <v>2.0395418687257919E-13</v>
      </c>
      <c r="CA171" s="13">
        <f t="shared" si="170"/>
        <v>2.8200388570161721E-12</v>
      </c>
      <c r="CB171" s="20">
        <f t="shared" si="171"/>
        <v>5.2667878847729083E-12</v>
      </c>
      <c r="CC171" s="57">
        <f t="shared" si="119"/>
        <v>293.3333333333386</v>
      </c>
      <c r="CD171" s="57">
        <f ca="1">AVERAGE(OFFSET($CC$3,0,0,'Données projet'!$E$12+1,1))-AVERAGE(OFFSET($H$3,0,0,'Données projet'!$E$12+1,1))</f>
        <v>259.64096626089821</v>
      </c>
      <c r="CE171" s="57">
        <f t="shared" si="148"/>
        <v>258.1415293081597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17.772346614481492</v>
      </c>
      <c r="CL171" s="21">
        <f>EXP(-LN(2)/25)*CL170+(1-EXP(-LN(2)/25))/(LN(2)/25)*Calculateur!CG171*Calculateur!CI171*VLOOKUP('Données projet'!$B$12,Paramètres!$A$1:$I$89,3,0)*0.475*44/12</f>
        <v>1.7743924277397707</v>
      </c>
      <c r="CM171" s="21">
        <f>EXP(-LN(2)/2)*CM170+(1-EXP(-LN(2)/2))/(LN(2)/2)*CG171*CJ171*VLOOKUP('Données projet'!$B$12,Paramètres!$A$1:$I$89,3,0)*0.475*44/12</f>
        <v>1.5073757718829004E-15</v>
      </c>
      <c r="CN171" s="22">
        <f t="shared" si="172"/>
        <v>19.546739042221262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-1.223725121235475E-13</v>
      </c>
      <c r="CV171" s="13" t="e">
        <f t="shared" si="173"/>
        <v>#NUM!</v>
      </c>
      <c r="CW171" s="20" t="e">
        <f t="shared" si="174"/>
        <v>#NUM!</v>
      </c>
      <c r="CX171" s="57" t="e">
        <f t="shared" si="122"/>
        <v>#NUM!</v>
      </c>
      <c r="CY171" s="57">
        <f ca="1">AVERAGE(OFFSET($CX$3,0,0,'Données projet'!$E$13+1,1))-AVERAGE(OFFSET($H$3,0,0,'Données projet'!$E$13+1,1))</f>
        <v>436.59978658837537</v>
      </c>
      <c r="CZ171" s="57">
        <f t="shared" si="150"/>
        <v>267.2998309535638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64.140974707129772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64.140974707129772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-1.0818439477588981E-13</v>
      </c>
      <c r="DQ171" s="13" t="e">
        <f t="shared" si="176"/>
        <v>#NUM!</v>
      </c>
      <c r="DR171" s="20" t="e">
        <f t="shared" si="177"/>
        <v>#NUM!</v>
      </c>
      <c r="DS171" s="57" t="e">
        <f t="shared" si="125"/>
        <v>#NUM!</v>
      </c>
      <c r="DT171" s="57">
        <f ca="1">AVERAGE(OFFSET($DS$3,0,0,'Données projet'!$E$14+1,1))-AVERAGE(OFFSET($H$3,0,0,'Données projet'!$E$14+1,1))</f>
        <v>292.95981568144879</v>
      </c>
      <c r="DU171" s="57">
        <f t="shared" si="152"/>
        <v>152.23954167722536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41.181926916638034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41.181926916638034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7" t="e">
        <f t="shared" si="128"/>
        <v>#N/A</v>
      </c>
      <c r="EO171" s="57" t="e">
        <f ca="1">AVERAGE(OFFSET($EN$3,0,0,'Données projet'!$E$15+1,1))-AVERAGE(OFFSET($H$3,0,0,'Données projet'!$E$15+1,1))</f>
        <v>#N/A</v>
      </c>
      <c r="EP171" s="57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7" t="e">
        <f t="shared" si="131"/>
        <v>#N/A</v>
      </c>
      <c r="FJ171" s="57" t="e">
        <f ca="1">AVERAGE(OFFSET($FI$3,0,0,'Données projet'!$E$16+1,1))-AVERAGE(OFFSET($H$3,0,0,'Données projet'!$E$16+1,1))</f>
        <v>#N/A</v>
      </c>
      <c r="FK171" s="57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7" t="e">
        <f t="shared" si="134"/>
        <v>#N/A</v>
      </c>
      <c r="GE171" s="57" t="e">
        <f ca="1">AVERAGE(OFFSET($GD$3,0,0,'Données projet'!$E$17+1,1))-AVERAGE(OFFSET($H$3,0,0,'Données projet'!$E$17+1,1))</f>
        <v>#N/A</v>
      </c>
      <c r="GF171" s="57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7" t="e">
        <f t="shared" si="137"/>
        <v>#N/A</v>
      </c>
      <c r="GZ171" s="57" t="e">
        <f ca="1">AVERAGE(OFFSET($GY$3,0,0,'Données projet'!$E$18+1,1))-AVERAGE(OFFSET($H$3,0,0,'Données projet'!$E$18+1,1))</f>
        <v>#N/A</v>
      </c>
      <c r="HA171" s="57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1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5">
        <f t="shared" si="110"/>
        <v>256.66666666666669</v>
      </c>
      <c r="I172" s="6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7" t="e">
        <f t="shared" si="109"/>
        <v>#NUM!</v>
      </c>
      <c r="S172" s="57">
        <f ca="1">AVERAGE(OFFSET($R$3,0,0,'Données projet'!$E$9+1,1))-AVERAGE(OFFSET($H$3,0,0,'Données projet'!$E$9+1,1))</f>
        <v>373.45926089889866</v>
      </c>
      <c r="T172" s="57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52.8583498591995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52.8583498591995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-1.0818439477588981E-13</v>
      </c>
      <c r="AK172" s="13" t="e">
        <f t="shared" si="164"/>
        <v>#NUM!</v>
      </c>
      <c r="AL172" s="20" t="e">
        <f t="shared" si="165"/>
        <v>#NUM!</v>
      </c>
      <c r="AM172" s="57" t="e">
        <f t="shared" si="113"/>
        <v>#NUM!</v>
      </c>
      <c r="AN172" s="57">
        <f ca="1">AVERAGE(OFFSET($AM$3,0,0,'Données projet'!$E$10+1,1))-AVERAGE(OFFSET($H$3,0,0,'Données projet'!$E$10+1,1))</f>
        <v>390.70240761116355</v>
      </c>
      <c r="AO172" s="57">
        <f t="shared" si="144"/>
        <v>241.18285512887638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55.592402438123585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55.592402438123585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-1.0995790944434703E-13</v>
      </c>
      <c r="BF172" s="13" t="e">
        <f t="shared" si="167"/>
        <v>#NUM!</v>
      </c>
      <c r="BG172" s="20" t="e">
        <f t="shared" si="168"/>
        <v>#NUM!</v>
      </c>
      <c r="BH172" s="57" t="e">
        <f t="shared" si="116"/>
        <v>#NUM!</v>
      </c>
      <c r="BI172" s="57">
        <f ca="1">AVERAGE(OFFSET($BH$3,0,0,'Données projet'!$E$11+1,1))-AVERAGE(OFFSET($H$3,0,0,'Données projet'!$E$11+1,1))</f>
        <v>396.44612884768748</v>
      </c>
      <c r="BJ172" s="57">
        <f t="shared" si="146"/>
        <v>244.451492444461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56.503753297764952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56.503753297764952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3.4106051316484809E-13</v>
      </c>
      <c r="BZ172" s="13">
        <f>BY172*VLOOKUP('Données projet'!$B$12,Paramètres!$A$1:$I$89,3,0)*VLOOKUP('Données projet'!$B$12,Paramètres!$A$1:$I$89,5,0)</f>
        <v>2.0395418687257919E-13</v>
      </c>
      <c r="CA172" s="13">
        <f t="shared" si="170"/>
        <v>2.8200388570161721E-12</v>
      </c>
      <c r="CB172" s="20">
        <f t="shared" si="171"/>
        <v>5.2667878847729083E-12</v>
      </c>
      <c r="CC172" s="57">
        <f t="shared" si="119"/>
        <v>293.3333333333386</v>
      </c>
      <c r="CD172" s="57">
        <f ca="1">AVERAGE(OFFSET($CC$3,0,0,'Données projet'!$E$12+1,1))-AVERAGE(OFFSET($H$3,0,0,'Données projet'!$E$12+1,1))</f>
        <v>259.64096626089821</v>
      </c>
      <c r="CE172" s="57">
        <f t="shared" si="148"/>
        <v>258.1415293081597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17.423841737432578</v>
      </c>
      <c r="CL172" s="21">
        <f>EXP(-LN(2)/25)*CL171+(1-EXP(-LN(2)/25))/(LN(2)/25)*Calculateur!CG172*Calculateur!CI172*VLOOKUP('Données projet'!$B$12,Paramètres!$A$1:$I$89,3,0)*0.475*44/12</f>
        <v>1.7258715734919843</v>
      </c>
      <c r="CM172" s="21">
        <f>EXP(-LN(2)/2)*CM171+(1-EXP(-LN(2)/2))/(LN(2)/2)*CG172*CJ172*VLOOKUP('Données projet'!$B$12,Paramètres!$A$1:$I$89,3,0)*0.475*44/12</f>
        <v>1.0658756300947052E-15</v>
      </c>
      <c r="CN172" s="22">
        <f t="shared" si="172"/>
        <v>19.149713310924561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-1.223725121235475E-13</v>
      </c>
      <c r="CV172" s="13" t="e">
        <f t="shared" si="173"/>
        <v>#NUM!</v>
      </c>
      <c r="CW172" s="20" t="e">
        <f t="shared" si="174"/>
        <v>#NUM!</v>
      </c>
      <c r="CX172" s="57" t="e">
        <f t="shared" si="122"/>
        <v>#NUM!</v>
      </c>
      <c r="CY172" s="57">
        <f ca="1">AVERAGE(OFFSET($CX$3,0,0,'Données projet'!$E$13+1,1))-AVERAGE(OFFSET($H$3,0,0,'Données projet'!$E$13+1,1))</f>
        <v>436.59978658837537</v>
      </c>
      <c r="CZ172" s="57">
        <f t="shared" si="150"/>
        <v>267.2998309535638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62.88320931525454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62.88320931525454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-1.0818439477588981E-13</v>
      </c>
      <c r="DQ172" s="13" t="e">
        <f t="shared" si="176"/>
        <v>#NUM!</v>
      </c>
      <c r="DR172" s="20" t="e">
        <f t="shared" si="177"/>
        <v>#NUM!</v>
      </c>
      <c r="DS172" s="57" t="e">
        <f t="shared" si="125"/>
        <v>#NUM!</v>
      </c>
      <c r="DT172" s="57">
        <f ca="1">AVERAGE(OFFSET($DS$3,0,0,'Données projet'!$E$14+1,1))-AVERAGE(OFFSET($H$3,0,0,'Données projet'!$E$14+1,1))</f>
        <v>292.95981568144879</v>
      </c>
      <c r="DU172" s="57">
        <f t="shared" si="152"/>
        <v>152.23954167722536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40.374374448297935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40.374374448297935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7" t="e">
        <f t="shared" si="128"/>
        <v>#N/A</v>
      </c>
      <c r="EO172" s="57" t="e">
        <f ca="1">AVERAGE(OFFSET($EN$3,0,0,'Données projet'!$E$15+1,1))-AVERAGE(OFFSET($H$3,0,0,'Données projet'!$E$15+1,1))</f>
        <v>#N/A</v>
      </c>
      <c r="EP172" s="57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7" t="e">
        <f t="shared" si="131"/>
        <v>#N/A</v>
      </c>
      <c r="FJ172" s="57" t="e">
        <f ca="1">AVERAGE(OFFSET($FI$3,0,0,'Données projet'!$E$16+1,1))-AVERAGE(OFFSET($H$3,0,0,'Données projet'!$E$16+1,1))</f>
        <v>#N/A</v>
      </c>
      <c r="FK172" s="57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7" t="e">
        <f t="shared" si="134"/>
        <v>#N/A</v>
      </c>
      <c r="GE172" s="57" t="e">
        <f ca="1">AVERAGE(OFFSET($GD$3,0,0,'Données projet'!$E$17+1,1))-AVERAGE(OFFSET($H$3,0,0,'Données projet'!$E$17+1,1))</f>
        <v>#N/A</v>
      </c>
      <c r="GF172" s="57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7" t="e">
        <f t="shared" si="137"/>
        <v>#N/A</v>
      </c>
      <c r="GZ172" s="57" t="e">
        <f ca="1">AVERAGE(OFFSET($GY$3,0,0,'Données projet'!$E$18+1,1))-AVERAGE(OFFSET($H$3,0,0,'Données projet'!$E$18+1,1))</f>
        <v>#N/A</v>
      </c>
      <c r="HA172" s="57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1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5">
        <f t="shared" si="110"/>
        <v>256.66666666666669</v>
      </c>
      <c r="I173" s="6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7" t="e">
        <f t="shared" si="109"/>
        <v>#NUM!</v>
      </c>
      <c r="S173" s="57">
        <f ca="1">AVERAGE(OFFSET($R$3,0,0,'Données projet'!$E$9+1,1))-AVERAGE(OFFSET($H$3,0,0,'Données projet'!$E$9+1,1))</f>
        <v>373.45926089889866</v>
      </c>
      <c r="T173" s="57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51.821829858870537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51.821829858870537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-1.0818439477588981E-13</v>
      </c>
      <c r="AK173" s="13" t="e">
        <f t="shared" si="164"/>
        <v>#NUM!</v>
      </c>
      <c r="AL173" s="20" t="e">
        <f t="shared" si="165"/>
        <v>#NUM!</v>
      </c>
      <c r="AM173" s="57" t="e">
        <f t="shared" si="113"/>
        <v>#NUM!</v>
      </c>
      <c r="AN173" s="57">
        <f ca="1">AVERAGE(OFFSET($AM$3,0,0,'Données projet'!$E$10+1,1))-AVERAGE(OFFSET($H$3,0,0,'Données projet'!$E$10+1,1))</f>
        <v>390.70240761116355</v>
      </c>
      <c r="AO173" s="57">
        <f t="shared" si="144"/>
        <v>241.18285512887638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54.502269334329327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54.502269334329327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-1.0995790944434703E-13</v>
      </c>
      <c r="BF173" s="13" t="e">
        <f t="shared" si="167"/>
        <v>#NUM!</v>
      </c>
      <c r="BG173" s="20" t="e">
        <f t="shared" si="168"/>
        <v>#NUM!</v>
      </c>
      <c r="BH173" s="57" t="e">
        <f t="shared" si="116"/>
        <v>#NUM!</v>
      </c>
      <c r="BI173" s="57">
        <f ca="1">AVERAGE(OFFSET($BH$3,0,0,'Données projet'!$E$11+1,1))-AVERAGE(OFFSET($H$3,0,0,'Données projet'!$E$11+1,1))</f>
        <v>396.44612884768748</v>
      </c>
      <c r="BJ173" s="57">
        <f t="shared" si="146"/>
        <v>244.451492444461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55.395749159482264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55.395749159482264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3.4106051316484809E-13</v>
      </c>
      <c r="BZ173" s="13">
        <f>BY173*VLOOKUP('Données projet'!$B$12,Paramètres!$A$1:$I$89,3,0)*VLOOKUP('Données projet'!$B$12,Paramètres!$A$1:$I$89,5,0)</f>
        <v>2.0395418687257919E-13</v>
      </c>
      <c r="CA173" s="13">
        <f t="shared" si="170"/>
        <v>2.8200388570161721E-12</v>
      </c>
      <c r="CB173" s="20">
        <f t="shared" si="171"/>
        <v>5.2667878847729083E-12</v>
      </c>
      <c r="CC173" s="57">
        <f t="shared" si="119"/>
        <v>293.3333333333386</v>
      </c>
      <c r="CD173" s="57">
        <f ca="1">AVERAGE(OFFSET($CC$3,0,0,'Données projet'!$E$12+1,1))-AVERAGE(OFFSET($H$3,0,0,'Données projet'!$E$12+1,1))</f>
        <v>259.64096626089821</v>
      </c>
      <c r="CE173" s="57">
        <f t="shared" si="148"/>
        <v>258.1415293081597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17.082170828455606</v>
      </c>
      <c r="CL173" s="21">
        <f>EXP(-LN(2)/25)*CL172+(1-EXP(-LN(2)/25))/(LN(2)/25)*Calculateur!CG173*Calculateur!CI173*VLOOKUP('Données projet'!$B$12,Paramètres!$A$1:$I$89,3,0)*0.475*44/12</f>
        <v>1.6786775245552044</v>
      </c>
      <c r="CM173" s="21">
        <f>EXP(-LN(2)/2)*CM172+(1-EXP(-LN(2)/2))/(LN(2)/2)*CG173*CJ173*VLOOKUP('Données projet'!$B$12,Paramètres!$A$1:$I$89,3,0)*0.475*44/12</f>
        <v>7.5368788594145018E-16</v>
      </c>
      <c r="CN173" s="22">
        <f t="shared" si="172"/>
        <v>18.760848353010811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-1.223725121235475E-13</v>
      </c>
      <c r="CV173" s="13" t="e">
        <f t="shared" si="173"/>
        <v>#NUM!</v>
      </c>
      <c r="CW173" s="20" t="e">
        <f t="shared" si="174"/>
        <v>#NUM!</v>
      </c>
      <c r="CX173" s="57" t="e">
        <f t="shared" si="122"/>
        <v>#NUM!</v>
      </c>
      <c r="CY173" s="57">
        <f ca="1">AVERAGE(OFFSET($CX$3,0,0,'Données projet'!$E$13+1,1))-AVERAGE(OFFSET($H$3,0,0,'Données projet'!$E$13+1,1))</f>
        <v>436.59978658837537</v>
      </c>
      <c r="CZ173" s="57">
        <f t="shared" si="150"/>
        <v>267.2998309535638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61.650107935552839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61.650107935552839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-1.0818439477588981E-13</v>
      </c>
      <c r="DQ173" s="13" t="e">
        <f t="shared" si="176"/>
        <v>#NUM!</v>
      </c>
      <c r="DR173" s="20" t="e">
        <f t="shared" si="177"/>
        <v>#NUM!</v>
      </c>
      <c r="DS173" s="57" t="e">
        <f t="shared" si="125"/>
        <v>#NUM!</v>
      </c>
      <c r="DT173" s="57">
        <f ca="1">AVERAGE(OFFSET($DS$3,0,0,'Données projet'!$E$14+1,1))-AVERAGE(OFFSET($H$3,0,0,'Données projet'!$E$14+1,1))</f>
        <v>292.95981568144879</v>
      </c>
      <c r="DU173" s="57">
        <f t="shared" si="152"/>
        <v>152.23954167722536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39.582657591303615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39.582657591303615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7" t="e">
        <f t="shared" si="128"/>
        <v>#N/A</v>
      </c>
      <c r="EO173" s="57" t="e">
        <f ca="1">AVERAGE(OFFSET($EN$3,0,0,'Données projet'!$E$15+1,1))-AVERAGE(OFFSET($H$3,0,0,'Données projet'!$E$15+1,1))</f>
        <v>#N/A</v>
      </c>
      <c r="EP173" s="57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7" t="e">
        <f t="shared" si="131"/>
        <v>#N/A</v>
      </c>
      <c r="FJ173" s="57" t="e">
        <f ca="1">AVERAGE(OFFSET($FI$3,0,0,'Données projet'!$E$16+1,1))-AVERAGE(OFFSET($H$3,0,0,'Données projet'!$E$16+1,1))</f>
        <v>#N/A</v>
      </c>
      <c r="FK173" s="57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7" t="e">
        <f t="shared" si="134"/>
        <v>#N/A</v>
      </c>
      <c r="GE173" s="57" t="e">
        <f ca="1">AVERAGE(OFFSET($GD$3,0,0,'Données projet'!$E$17+1,1))-AVERAGE(OFFSET($H$3,0,0,'Données projet'!$E$17+1,1))</f>
        <v>#N/A</v>
      </c>
      <c r="GF173" s="57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7" t="e">
        <f t="shared" si="137"/>
        <v>#N/A</v>
      </c>
      <c r="GZ173" s="57" t="e">
        <f ca="1">AVERAGE(OFFSET($GY$3,0,0,'Données projet'!$E$18+1,1))-AVERAGE(OFFSET($H$3,0,0,'Données projet'!$E$18+1,1))</f>
        <v>#N/A</v>
      </c>
      <c r="HA173" s="57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1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5">
        <f t="shared" si="110"/>
        <v>256.66666666666669</v>
      </c>
      <c r="I174" s="6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7" t="e">
        <f t="shared" si="109"/>
        <v>#NUM!</v>
      </c>
      <c r="S174" s="57">
        <f ca="1">AVERAGE(OFFSET($R$3,0,0,'Données projet'!$E$9+1,1))-AVERAGE(OFFSET($H$3,0,0,'Données projet'!$E$9+1,1))</f>
        <v>373.45926089889866</v>
      </c>
      <c r="T174" s="57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50.80563538353325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50.80563538353325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-1.0818439477588981E-13</v>
      </c>
      <c r="AK174" s="13" t="e">
        <f t="shared" si="164"/>
        <v>#NUM!</v>
      </c>
      <c r="AL174" s="20" t="e">
        <f t="shared" si="165"/>
        <v>#NUM!</v>
      </c>
      <c r="AM174" s="57" t="e">
        <f t="shared" si="113"/>
        <v>#NUM!</v>
      </c>
      <c r="AN174" s="57">
        <f ca="1">AVERAGE(OFFSET($AM$3,0,0,'Données projet'!$E$10+1,1))-AVERAGE(OFFSET($H$3,0,0,'Données projet'!$E$10+1,1))</f>
        <v>390.70240761116355</v>
      </c>
      <c r="AO174" s="57">
        <f t="shared" si="144"/>
        <v>241.18285512887638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53.433513075784937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53.433513075784937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-1.0995790944434703E-13</v>
      </c>
      <c r="BF174" s="13" t="e">
        <f t="shared" si="167"/>
        <v>#NUM!</v>
      </c>
      <c r="BG174" s="20" t="e">
        <f t="shared" si="168"/>
        <v>#NUM!</v>
      </c>
      <c r="BH174" s="57" t="e">
        <f t="shared" si="116"/>
        <v>#NUM!</v>
      </c>
      <c r="BI174" s="57">
        <f ca="1">AVERAGE(OFFSET($BH$3,0,0,'Données projet'!$E$11+1,1))-AVERAGE(OFFSET($H$3,0,0,'Données projet'!$E$11+1,1))</f>
        <v>396.44612884768748</v>
      </c>
      <c r="BJ174" s="57">
        <f t="shared" si="146"/>
        <v>244.451492444461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54.309472306535511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54.309472306535511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3.4106051316484809E-13</v>
      </c>
      <c r="BZ174" s="13">
        <f>BY174*VLOOKUP('Données projet'!$B$12,Paramètres!$A$1:$I$89,3,0)*VLOOKUP('Données projet'!$B$12,Paramètres!$A$1:$I$89,5,0)</f>
        <v>2.0395418687257919E-13</v>
      </c>
      <c r="CA174" s="13">
        <f t="shared" si="170"/>
        <v>2.8200388570161721E-12</v>
      </c>
      <c r="CB174" s="20">
        <f t="shared" si="171"/>
        <v>5.2667878847729083E-12</v>
      </c>
      <c r="CC174" s="57">
        <f t="shared" si="119"/>
        <v>293.3333333333386</v>
      </c>
      <c r="CD174" s="57">
        <f ca="1">AVERAGE(OFFSET($CC$3,0,0,'Données projet'!$E$12+1,1))-AVERAGE(OFFSET($H$3,0,0,'Données projet'!$E$12+1,1))</f>
        <v>259.64096626089821</v>
      </c>
      <c r="CE174" s="57">
        <f t="shared" si="148"/>
        <v>258.1415293081597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16.747199877604995</v>
      </c>
      <c r="CL174" s="21">
        <f>EXP(-LN(2)/25)*CL173+(1-EXP(-LN(2)/25))/(LN(2)/25)*Calculateur!CG174*Calculateur!CI174*VLOOKUP('Données projet'!$B$12,Paramètres!$A$1:$I$89,3,0)*0.475*44/12</f>
        <v>1.632773999368428</v>
      </c>
      <c r="CM174" s="21">
        <f>EXP(-LN(2)/2)*CM173+(1-EXP(-LN(2)/2))/(LN(2)/2)*CG174*CJ174*VLOOKUP('Données projet'!$B$12,Paramètres!$A$1:$I$89,3,0)*0.475*44/12</f>
        <v>5.329378150473526E-16</v>
      </c>
      <c r="CN174" s="22">
        <f t="shared" si="172"/>
        <v>18.379973876973423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-1.223725121235475E-13</v>
      </c>
      <c r="CV174" s="13" t="e">
        <f t="shared" si="173"/>
        <v>#NUM!</v>
      </c>
      <c r="CW174" s="20" t="e">
        <f t="shared" si="174"/>
        <v>#NUM!</v>
      </c>
      <c r="CX174" s="57" t="e">
        <f t="shared" si="122"/>
        <v>#NUM!</v>
      </c>
      <c r="CY174" s="57">
        <f ca="1">AVERAGE(OFFSET($CX$3,0,0,'Données projet'!$E$13+1,1))-AVERAGE(OFFSET($H$3,0,0,'Données projet'!$E$13+1,1))</f>
        <v>436.59978658837537</v>
      </c>
      <c r="CZ174" s="57">
        <f t="shared" si="150"/>
        <v>267.2998309535638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60.441186921789516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60.441186921789516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-1.0818439477588981E-13</v>
      </c>
      <c r="DQ174" s="13" t="e">
        <f t="shared" si="176"/>
        <v>#NUM!</v>
      </c>
      <c r="DR174" s="20" t="e">
        <f t="shared" si="177"/>
        <v>#NUM!</v>
      </c>
      <c r="DS174" s="57" t="e">
        <f t="shared" si="125"/>
        <v>#NUM!</v>
      </c>
      <c r="DT174" s="57">
        <f ca="1">AVERAGE(OFFSET($DS$3,0,0,'Données projet'!$E$14+1,1))-AVERAGE(OFFSET($H$3,0,0,'Données projet'!$E$14+1,1))</f>
        <v>292.95981568144879</v>
      </c>
      <c r="DU174" s="57">
        <f t="shared" si="152"/>
        <v>152.23954167722536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38.806465818975354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38.806465818975354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7" t="e">
        <f t="shared" si="128"/>
        <v>#N/A</v>
      </c>
      <c r="EO174" s="57" t="e">
        <f ca="1">AVERAGE(OFFSET($EN$3,0,0,'Données projet'!$E$15+1,1))-AVERAGE(OFFSET($H$3,0,0,'Données projet'!$E$15+1,1))</f>
        <v>#N/A</v>
      </c>
      <c r="EP174" s="57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7" t="e">
        <f t="shared" si="131"/>
        <v>#N/A</v>
      </c>
      <c r="FJ174" s="57" t="e">
        <f ca="1">AVERAGE(OFFSET($FI$3,0,0,'Données projet'!$E$16+1,1))-AVERAGE(OFFSET($H$3,0,0,'Données projet'!$E$16+1,1))</f>
        <v>#N/A</v>
      </c>
      <c r="FK174" s="57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7" t="e">
        <f t="shared" si="134"/>
        <v>#N/A</v>
      </c>
      <c r="GE174" s="57" t="e">
        <f ca="1">AVERAGE(OFFSET($GD$3,0,0,'Données projet'!$E$17+1,1))-AVERAGE(OFFSET($H$3,0,0,'Données projet'!$E$17+1,1))</f>
        <v>#N/A</v>
      </c>
      <c r="GF174" s="57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7" t="e">
        <f t="shared" si="137"/>
        <v>#N/A</v>
      </c>
      <c r="GZ174" s="57" t="e">
        <f ca="1">AVERAGE(OFFSET($GY$3,0,0,'Données projet'!$E$18+1,1))-AVERAGE(OFFSET($H$3,0,0,'Données projet'!$E$18+1,1))</f>
        <v>#N/A</v>
      </c>
      <c r="HA174" s="57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1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5">
        <f t="shared" si="110"/>
        <v>256.66666666666669</v>
      </c>
      <c r="I175" s="6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7" t="e">
        <f t="shared" si="109"/>
        <v>#NUM!</v>
      </c>
      <c r="S175" s="57">
        <f ca="1">AVERAGE(OFFSET($R$3,0,0,'Données projet'!$E$9+1,1))-AVERAGE(OFFSET($H$3,0,0,'Données projet'!$E$9+1,1))</f>
        <v>373.45926089889866</v>
      </c>
      <c r="T175" s="57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49.809367862039899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49.809367862039899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-1.0818439477588981E-13</v>
      </c>
      <c r="AK175" s="13" t="e">
        <f t="shared" si="164"/>
        <v>#NUM!</v>
      </c>
      <c r="AL175" s="20" t="e">
        <f t="shared" si="165"/>
        <v>#NUM!</v>
      </c>
      <c r="AM175" s="57" t="e">
        <f t="shared" si="113"/>
        <v>#NUM!</v>
      </c>
      <c r="AN175" s="57">
        <f ca="1">AVERAGE(OFFSET($AM$3,0,0,'Données projet'!$E$10+1,1))-AVERAGE(OFFSET($H$3,0,0,'Données projet'!$E$10+1,1))</f>
        <v>390.70240761116355</v>
      </c>
      <c r="AO175" s="57">
        <f t="shared" si="144"/>
        <v>241.18285512887638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52.385714475593652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52.385714475593652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-1.0995790944434703E-13</v>
      </c>
      <c r="BF175" s="13" t="e">
        <f t="shared" si="167"/>
        <v>#NUM!</v>
      </c>
      <c r="BG175" s="20" t="e">
        <f t="shared" si="168"/>
        <v>#NUM!</v>
      </c>
      <c r="BH175" s="57" t="e">
        <f t="shared" si="116"/>
        <v>#NUM!</v>
      </c>
      <c r="BI175" s="57">
        <f ca="1">AVERAGE(OFFSET($BH$3,0,0,'Données projet'!$E$11+1,1))-AVERAGE(OFFSET($H$3,0,0,'Données projet'!$E$11+1,1))</f>
        <v>396.44612884768748</v>
      </c>
      <c r="BJ175" s="57">
        <f t="shared" si="146"/>
        <v>244.451492444461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53.244496680111581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53.244496680111581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3.4106051316484809E-13</v>
      </c>
      <c r="BZ175" s="13">
        <f>BY175*VLOOKUP('Données projet'!$B$12,Paramètres!$A$1:$I$89,3,0)*VLOOKUP('Données projet'!$B$12,Paramètres!$A$1:$I$89,5,0)</f>
        <v>2.0395418687257919E-13</v>
      </c>
      <c r="CA175" s="13">
        <f t="shared" si="170"/>
        <v>2.8200388570161721E-12</v>
      </c>
      <c r="CB175" s="20">
        <f t="shared" si="171"/>
        <v>5.2667878847729083E-12</v>
      </c>
      <c r="CC175" s="57">
        <f t="shared" si="119"/>
        <v>293.3333333333386</v>
      </c>
      <c r="CD175" s="57">
        <f ca="1">AVERAGE(OFFSET($CC$3,0,0,'Données projet'!$E$12+1,1))-AVERAGE(OFFSET($H$3,0,0,'Données projet'!$E$12+1,1))</f>
        <v>259.64096626089821</v>
      </c>
      <c r="CE175" s="57">
        <f t="shared" si="148"/>
        <v>258.1415293081597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16.418797502788461</v>
      </c>
      <c r="CL175" s="21">
        <f>EXP(-LN(2)/25)*CL174+(1-EXP(-LN(2)/25))/(LN(2)/25)*Calculateur!CG175*Calculateur!CI175*VLOOKUP('Données projet'!$B$12,Paramètres!$A$1:$I$89,3,0)*0.475*44/12</f>
        <v>1.5881257084918454</v>
      </c>
      <c r="CM175" s="21">
        <f>EXP(-LN(2)/2)*CM174+(1-EXP(-LN(2)/2))/(LN(2)/2)*CG175*CJ175*VLOOKUP('Données projet'!$B$12,Paramètres!$A$1:$I$89,3,0)*0.475*44/12</f>
        <v>3.7684394297072509E-16</v>
      </c>
      <c r="CN175" s="22">
        <f t="shared" si="172"/>
        <v>18.006923211280306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-1.223725121235475E-13</v>
      </c>
      <c r="CV175" s="13" t="e">
        <f t="shared" si="173"/>
        <v>#NUM!</v>
      </c>
      <c r="CW175" s="20" t="e">
        <f t="shared" si="174"/>
        <v>#NUM!</v>
      </c>
      <c r="CX175" s="57" t="e">
        <f t="shared" si="122"/>
        <v>#NUM!</v>
      </c>
      <c r="CY175" s="57">
        <f ca="1">AVERAGE(OFFSET($CX$3,0,0,'Données projet'!$E$13+1,1))-AVERAGE(OFFSET($H$3,0,0,'Données projet'!$E$13+1,1))</f>
        <v>436.59978658837537</v>
      </c>
      <c r="CZ175" s="57">
        <f t="shared" si="150"/>
        <v>267.2998309535638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59.25597211173708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59.25597211173708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-1.0818439477588981E-13</v>
      </c>
      <c r="DQ175" s="13" t="e">
        <f t="shared" si="176"/>
        <v>#NUM!</v>
      </c>
      <c r="DR175" s="20" t="e">
        <f t="shared" si="177"/>
        <v>#NUM!</v>
      </c>
      <c r="DS175" s="57" t="e">
        <f t="shared" si="125"/>
        <v>#NUM!</v>
      </c>
      <c r="DT175" s="57">
        <f ca="1">AVERAGE(OFFSET($DS$3,0,0,'Données projet'!$E$14+1,1))-AVERAGE(OFFSET($H$3,0,0,'Données projet'!$E$14+1,1))</f>
        <v>292.95981568144879</v>
      </c>
      <c r="DU175" s="57">
        <f t="shared" si="152"/>
        <v>152.23954167722536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38.045494693872214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38.045494693872214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7" t="e">
        <f t="shared" si="128"/>
        <v>#N/A</v>
      </c>
      <c r="EO175" s="57" t="e">
        <f ca="1">AVERAGE(OFFSET($EN$3,0,0,'Données projet'!$E$15+1,1))-AVERAGE(OFFSET($H$3,0,0,'Données projet'!$E$15+1,1))</f>
        <v>#N/A</v>
      </c>
      <c r="EP175" s="57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7" t="e">
        <f t="shared" si="131"/>
        <v>#N/A</v>
      </c>
      <c r="FJ175" s="57" t="e">
        <f ca="1">AVERAGE(OFFSET($FI$3,0,0,'Données projet'!$E$16+1,1))-AVERAGE(OFFSET($H$3,0,0,'Données projet'!$E$16+1,1))</f>
        <v>#N/A</v>
      </c>
      <c r="FK175" s="57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7" t="e">
        <f t="shared" si="134"/>
        <v>#N/A</v>
      </c>
      <c r="GE175" s="57" t="e">
        <f ca="1">AVERAGE(OFFSET($GD$3,0,0,'Données projet'!$E$17+1,1))-AVERAGE(OFFSET($H$3,0,0,'Données projet'!$E$17+1,1))</f>
        <v>#N/A</v>
      </c>
      <c r="GF175" s="57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7" t="e">
        <f t="shared" si="137"/>
        <v>#N/A</v>
      </c>
      <c r="GZ175" s="57" t="e">
        <f ca="1">AVERAGE(OFFSET($GY$3,0,0,'Données projet'!$E$18+1,1))-AVERAGE(OFFSET($H$3,0,0,'Données projet'!$E$18+1,1))</f>
        <v>#N/A</v>
      </c>
      <c r="HA175" s="57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1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5">
        <f t="shared" si="110"/>
        <v>256.66666666666669</v>
      </c>
      <c r="I176" s="6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7" t="e">
        <f t="shared" si="109"/>
        <v>#NUM!</v>
      </c>
      <c r="S176" s="57">
        <f ca="1">AVERAGE(OFFSET($R$3,0,0,'Données projet'!$E$9+1,1))-AVERAGE(OFFSET($H$3,0,0,'Données projet'!$E$9+1,1))</f>
        <v>373.45926089889866</v>
      </c>
      <c r="T176" s="57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48.832636538979848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48.832636538979848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-1.0818439477588981E-13</v>
      </c>
      <c r="AK176" s="13" t="e">
        <f t="shared" si="164"/>
        <v>#NUM!</v>
      </c>
      <c r="AL176" s="20" t="e">
        <f t="shared" si="165"/>
        <v>#NUM!</v>
      </c>
      <c r="AM176" s="57" t="e">
        <f t="shared" si="113"/>
        <v>#NUM!</v>
      </c>
      <c r="AN176" s="57">
        <f ca="1">AVERAGE(OFFSET($AM$3,0,0,'Données projet'!$E$10+1,1))-AVERAGE(OFFSET($H$3,0,0,'Données projet'!$E$10+1,1))</f>
        <v>390.70240761116355</v>
      </c>
      <c r="AO176" s="57">
        <f t="shared" si="144"/>
        <v>241.18285512887638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51.35846256685808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51.35846256685808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-1.0995790944434703E-13</v>
      </c>
      <c r="BF176" s="13" t="e">
        <f t="shared" si="167"/>
        <v>#NUM!</v>
      </c>
      <c r="BG176" s="20" t="e">
        <f t="shared" si="168"/>
        <v>#NUM!</v>
      </c>
      <c r="BH176" s="57" t="e">
        <f t="shared" si="116"/>
        <v>#NUM!</v>
      </c>
      <c r="BI176" s="57">
        <f ca="1">AVERAGE(OFFSET($BH$3,0,0,'Données projet'!$E$11+1,1))-AVERAGE(OFFSET($H$3,0,0,'Données projet'!$E$11+1,1))</f>
        <v>396.44612884768748</v>
      </c>
      <c r="BJ176" s="57">
        <f t="shared" si="146"/>
        <v>244.451492444461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52.200404576150838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52.200404576150838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3.4106051316484809E-13</v>
      </c>
      <c r="BZ176" s="13">
        <f>BY176*VLOOKUP('Données projet'!$B$12,Paramètres!$A$1:$I$89,3,0)*VLOOKUP('Données projet'!$B$12,Paramètres!$A$1:$I$89,5,0)</f>
        <v>2.0395418687257919E-13</v>
      </c>
      <c r="CA176" s="13">
        <f t="shared" si="170"/>
        <v>2.8200388570161721E-12</v>
      </c>
      <c r="CB176" s="20">
        <f t="shared" si="171"/>
        <v>5.2667878847729083E-12</v>
      </c>
      <c r="CC176" s="57">
        <f t="shared" si="119"/>
        <v>293.3333333333386</v>
      </c>
      <c r="CD176" s="57">
        <f ca="1">AVERAGE(OFFSET($CC$3,0,0,'Données projet'!$E$12+1,1))-AVERAGE(OFFSET($H$3,0,0,'Données projet'!$E$12+1,1))</f>
        <v>259.64096626089821</v>
      </c>
      <c r="CE176" s="57">
        <f t="shared" si="148"/>
        <v>258.1415293081597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16.096834898236409</v>
      </c>
      <c r="CL176" s="21">
        <f>EXP(-LN(2)/25)*CL175+(1-EXP(-LN(2)/25))/(LN(2)/25)*Calculateur!CG176*Calculateur!CI176*VLOOKUP('Données projet'!$B$12,Paramètres!$A$1:$I$89,3,0)*0.475*44/12</f>
        <v>1.5446983274772346</v>
      </c>
      <c r="CM176" s="21">
        <f>EXP(-LN(2)/2)*CM175+(1-EXP(-LN(2)/2))/(LN(2)/2)*CG176*CJ176*VLOOKUP('Données projet'!$B$12,Paramètres!$A$1:$I$89,3,0)*0.475*44/12</f>
        <v>2.664689075236763E-16</v>
      </c>
      <c r="CN176" s="22">
        <f t="shared" si="172"/>
        <v>17.641533225713644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-1.223725121235475E-13</v>
      </c>
      <c r="CV176" s="13" t="e">
        <f t="shared" si="173"/>
        <v>#NUM!</v>
      </c>
      <c r="CW176" s="20" t="e">
        <f t="shared" si="174"/>
        <v>#NUM!</v>
      </c>
      <c r="CX176" s="57" t="e">
        <f t="shared" si="122"/>
        <v>#NUM!</v>
      </c>
      <c r="CY176" s="57">
        <f ca="1">AVERAGE(OFFSET($CX$3,0,0,'Données projet'!$E$13+1,1))-AVERAGE(OFFSET($H$3,0,0,'Données projet'!$E$13+1,1))</f>
        <v>436.59978658837537</v>
      </c>
      <c r="CZ176" s="57">
        <f t="shared" si="150"/>
        <v>267.2998309535638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58.093998641200123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58.093998641200123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-1.0818439477588981E-13</v>
      </c>
      <c r="DQ176" s="13" t="e">
        <f t="shared" si="176"/>
        <v>#NUM!</v>
      </c>
      <c r="DR176" s="20" t="e">
        <f t="shared" si="177"/>
        <v>#NUM!</v>
      </c>
      <c r="DS176" s="57" t="e">
        <f t="shared" si="125"/>
        <v>#NUM!</v>
      </c>
      <c r="DT176" s="57">
        <f ca="1">AVERAGE(OFFSET($DS$3,0,0,'Données projet'!$E$14+1,1))-AVERAGE(OFFSET($H$3,0,0,'Données projet'!$E$14+1,1))</f>
        <v>292.95981568144879</v>
      </c>
      <c r="DU176" s="57">
        <f t="shared" si="152"/>
        <v>152.23954167722536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37.299445748385793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37.299445748385793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7" t="e">
        <f t="shared" si="128"/>
        <v>#N/A</v>
      </c>
      <c r="EO176" s="57" t="e">
        <f ca="1">AVERAGE(OFFSET($EN$3,0,0,'Données projet'!$E$15+1,1))-AVERAGE(OFFSET($H$3,0,0,'Données projet'!$E$15+1,1))</f>
        <v>#N/A</v>
      </c>
      <c r="EP176" s="57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7" t="e">
        <f t="shared" si="131"/>
        <v>#N/A</v>
      </c>
      <c r="FJ176" s="57" t="e">
        <f ca="1">AVERAGE(OFFSET($FI$3,0,0,'Données projet'!$E$16+1,1))-AVERAGE(OFFSET($H$3,0,0,'Données projet'!$E$16+1,1))</f>
        <v>#N/A</v>
      </c>
      <c r="FK176" s="57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7" t="e">
        <f t="shared" si="134"/>
        <v>#N/A</v>
      </c>
      <c r="GE176" s="57" t="e">
        <f ca="1">AVERAGE(OFFSET($GD$3,0,0,'Données projet'!$E$17+1,1))-AVERAGE(OFFSET($H$3,0,0,'Données projet'!$E$17+1,1))</f>
        <v>#N/A</v>
      </c>
      <c r="GF176" s="57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7" t="e">
        <f t="shared" si="137"/>
        <v>#N/A</v>
      </c>
      <c r="GZ176" s="57" t="e">
        <f ca="1">AVERAGE(OFFSET($GY$3,0,0,'Données projet'!$E$18+1,1))-AVERAGE(OFFSET($H$3,0,0,'Données projet'!$E$18+1,1))</f>
        <v>#N/A</v>
      </c>
      <c r="HA176" s="57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1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5">
        <f t="shared" si="110"/>
        <v>256.66666666666669</v>
      </c>
      <c r="I177" s="6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7" t="e">
        <f t="shared" si="109"/>
        <v>#NUM!</v>
      </c>
      <c r="S177" s="57">
        <f ca="1">AVERAGE(OFFSET($R$3,0,0,'Données projet'!$E$9+1,1))-AVERAGE(OFFSET($H$3,0,0,'Données projet'!$E$9+1,1))</f>
        <v>373.45926089889866</v>
      </c>
      <c r="T177" s="57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47.875058321417718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47.875058321417718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-1.0818439477588981E-13</v>
      </c>
      <c r="AK177" s="13" t="e">
        <f t="shared" si="164"/>
        <v>#NUM!</v>
      </c>
      <c r="AL177" s="20" t="e">
        <f t="shared" si="165"/>
        <v>#NUM!</v>
      </c>
      <c r="AM177" s="57" t="e">
        <f t="shared" si="113"/>
        <v>#NUM!</v>
      </c>
      <c r="AN177" s="57">
        <f ca="1">AVERAGE(OFFSET($AM$3,0,0,'Données projet'!$E$10+1,1))-AVERAGE(OFFSET($H$3,0,0,'Données projet'!$E$10+1,1))</f>
        <v>390.70240761116355</v>
      </c>
      <c r="AO177" s="57">
        <f t="shared" si="144"/>
        <v>241.18285512887638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50.351354441491019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50.351354441491019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-1.0995790944434703E-13</v>
      </c>
      <c r="BF177" s="13" t="e">
        <f t="shared" si="167"/>
        <v>#NUM!</v>
      </c>
      <c r="BG177" s="20" t="e">
        <f t="shared" si="168"/>
        <v>#NUM!</v>
      </c>
      <c r="BH177" s="57" t="e">
        <f t="shared" si="116"/>
        <v>#NUM!</v>
      </c>
      <c r="BI177" s="57">
        <f ca="1">AVERAGE(OFFSET($BH$3,0,0,'Données projet'!$E$11+1,1))-AVERAGE(OFFSET($H$3,0,0,'Données projet'!$E$11+1,1))</f>
        <v>396.44612884768748</v>
      </c>
      <c r="BJ177" s="57">
        <f t="shared" si="146"/>
        <v>244.451492444461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51.176786481515464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51.176786481515464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3.4106051316484809E-13</v>
      </c>
      <c r="BZ177" s="13">
        <f>BY177*VLOOKUP('Données projet'!$B$12,Paramètres!$A$1:$I$89,3,0)*VLOOKUP('Données projet'!$B$12,Paramètres!$A$1:$I$89,5,0)</f>
        <v>2.0395418687257919E-13</v>
      </c>
      <c r="CA177" s="13">
        <f t="shared" si="170"/>
        <v>2.8200388570161721E-12</v>
      </c>
      <c r="CB177" s="20">
        <f t="shared" si="171"/>
        <v>5.2667878847729083E-12</v>
      </c>
      <c r="CC177" s="57">
        <f t="shared" si="119"/>
        <v>293.3333333333386</v>
      </c>
      <c r="CD177" s="57">
        <f ca="1">AVERAGE(OFFSET($CC$3,0,0,'Données projet'!$E$12+1,1))-AVERAGE(OFFSET($H$3,0,0,'Données projet'!$E$12+1,1))</f>
        <v>259.64096626089821</v>
      </c>
      <c r="CE177" s="57">
        <f t="shared" si="148"/>
        <v>258.1415293081597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15.781185783981824</v>
      </c>
      <c r="CL177" s="21">
        <f>EXP(-LN(2)/25)*CL176+(1-EXP(-LN(2)/25))/(LN(2)/25)*Calculateur!CG177*Calculateur!CI177*VLOOKUP('Données projet'!$B$12,Paramètres!$A$1:$I$89,3,0)*0.475*44/12</f>
        <v>1.5024584704802151</v>
      </c>
      <c r="CM177" s="21">
        <f>EXP(-LN(2)/2)*CM176+(1-EXP(-LN(2)/2))/(LN(2)/2)*CG177*CJ177*VLOOKUP('Données projet'!$B$12,Paramètres!$A$1:$I$89,3,0)*0.475*44/12</f>
        <v>1.8842197148536255E-16</v>
      </c>
      <c r="CN177" s="22">
        <f t="shared" si="172"/>
        <v>17.28364425446204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-1.223725121235475E-13</v>
      </c>
      <c r="CV177" s="13" t="e">
        <f t="shared" si="173"/>
        <v>#NUM!</v>
      </c>
      <c r="CW177" s="20" t="e">
        <f t="shared" si="174"/>
        <v>#NUM!</v>
      </c>
      <c r="CX177" s="57" t="e">
        <f t="shared" si="122"/>
        <v>#NUM!</v>
      </c>
      <c r="CY177" s="57">
        <f ca="1">AVERAGE(OFFSET($CX$3,0,0,'Données projet'!$E$13+1,1))-AVERAGE(OFFSET($H$3,0,0,'Données projet'!$E$13+1,1))</f>
        <v>436.59978658837537</v>
      </c>
      <c r="CZ177" s="57">
        <f t="shared" si="150"/>
        <v>267.2998309535638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56.954810761686559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56.954810761686559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-1.0818439477588981E-13</v>
      </c>
      <c r="DQ177" s="13" t="e">
        <f t="shared" si="176"/>
        <v>#NUM!</v>
      </c>
      <c r="DR177" s="20" t="e">
        <f t="shared" si="177"/>
        <v>#NUM!</v>
      </c>
      <c r="DS177" s="57" t="e">
        <f t="shared" si="125"/>
        <v>#NUM!</v>
      </c>
      <c r="DT177" s="57">
        <f ca="1">AVERAGE(OFFSET($DS$3,0,0,'Données projet'!$E$14+1,1))-AVERAGE(OFFSET($H$3,0,0,'Données projet'!$E$14+1,1))</f>
        <v>292.95981568144879</v>
      </c>
      <c r="DU177" s="57">
        <f t="shared" si="152"/>
        <v>152.23954167722536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36.568026367675436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36.568026367675436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7" t="e">
        <f t="shared" si="128"/>
        <v>#N/A</v>
      </c>
      <c r="EO177" s="57" t="e">
        <f ca="1">AVERAGE(OFFSET($EN$3,0,0,'Données projet'!$E$15+1,1))-AVERAGE(OFFSET($H$3,0,0,'Données projet'!$E$15+1,1))</f>
        <v>#N/A</v>
      </c>
      <c r="EP177" s="57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7" t="e">
        <f t="shared" si="131"/>
        <v>#N/A</v>
      </c>
      <c r="FJ177" s="57" t="e">
        <f ca="1">AVERAGE(OFFSET($FI$3,0,0,'Données projet'!$E$16+1,1))-AVERAGE(OFFSET($H$3,0,0,'Données projet'!$E$16+1,1))</f>
        <v>#N/A</v>
      </c>
      <c r="FK177" s="57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7" t="e">
        <f t="shared" si="134"/>
        <v>#N/A</v>
      </c>
      <c r="GE177" s="57" t="e">
        <f ca="1">AVERAGE(OFFSET($GD$3,0,0,'Données projet'!$E$17+1,1))-AVERAGE(OFFSET($H$3,0,0,'Données projet'!$E$17+1,1))</f>
        <v>#N/A</v>
      </c>
      <c r="GF177" s="57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7" t="e">
        <f t="shared" si="137"/>
        <v>#N/A</v>
      </c>
      <c r="GZ177" s="57" t="e">
        <f ca="1">AVERAGE(OFFSET($GY$3,0,0,'Données projet'!$E$18+1,1))-AVERAGE(OFFSET($H$3,0,0,'Données projet'!$E$18+1,1))</f>
        <v>#N/A</v>
      </c>
      <c r="HA177" s="57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1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5">
        <f t="shared" si="110"/>
        <v>256.66666666666669</v>
      </c>
      <c r="I178" s="6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7" t="e">
        <f t="shared" si="109"/>
        <v>#NUM!</v>
      </c>
      <c r="S178" s="57">
        <f ca="1">AVERAGE(OFFSET($R$3,0,0,'Données projet'!$E$9+1,1))-AVERAGE(OFFSET($H$3,0,0,'Données projet'!$E$9+1,1))</f>
        <v>373.45926089889866</v>
      </c>
      <c r="T178" s="57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46.936257628636945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46.936257628636945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-1.0818439477588981E-13</v>
      </c>
      <c r="AK178" s="13" t="e">
        <f t="shared" si="164"/>
        <v>#NUM!</v>
      </c>
      <c r="AL178" s="20" t="e">
        <f t="shared" si="165"/>
        <v>#NUM!</v>
      </c>
      <c r="AM178" s="57" t="e">
        <f t="shared" si="113"/>
        <v>#NUM!</v>
      </c>
      <c r="AN178" s="57">
        <f ca="1">AVERAGE(OFFSET($AM$3,0,0,'Données projet'!$E$10+1,1))-AVERAGE(OFFSET($H$3,0,0,'Données projet'!$E$10+1,1))</f>
        <v>390.70240761116355</v>
      </c>
      <c r="AO178" s="57">
        <f t="shared" si="144"/>
        <v>241.18285512887638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49.363995092187103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49.363995092187103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-1.0995790944434703E-13</v>
      </c>
      <c r="BF178" s="13" t="e">
        <f t="shared" si="167"/>
        <v>#NUM!</v>
      </c>
      <c r="BG178" s="20" t="e">
        <f t="shared" si="168"/>
        <v>#NUM!</v>
      </c>
      <c r="BH178" s="57" t="e">
        <f t="shared" si="116"/>
        <v>#NUM!</v>
      </c>
      <c r="BI178" s="57">
        <f ca="1">AVERAGE(OFFSET($BH$3,0,0,'Données projet'!$E$11+1,1))-AVERAGE(OFFSET($H$3,0,0,'Données projet'!$E$11+1,1))</f>
        <v>396.44612884768748</v>
      </c>
      <c r="BJ178" s="57">
        <f t="shared" si="146"/>
        <v>244.451492444461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50.173240913370499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50.173240913370499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3.4106051316484809E-13</v>
      </c>
      <c r="BZ178" s="13">
        <f>BY178*VLOOKUP('Données projet'!$B$12,Paramètres!$A$1:$I$89,3,0)*VLOOKUP('Données projet'!$B$12,Paramètres!$A$1:$I$89,5,0)</f>
        <v>2.0395418687257919E-13</v>
      </c>
      <c r="CA178" s="13">
        <f t="shared" si="170"/>
        <v>2.8200388570161721E-12</v>
      </c>
      <c r="CB178" s="20">
        <f t="shared" si="171"/>
        <v>5.2667878847729083E-12</v>
      </c>
      <c r="CC178" s="57">
        <f t="shared" si="119"/>
        <v>293.3333333333386</v>
      </c>
      <c r="CD178" s="57">
        <f ca="1">AVERAGE(OFFSET($CC$3,0,0,'Données projet'!$E$12+1,1))-AVERAGE(OFFSET($H$3,0,0,'Données projet'!$E$12+1,1))</f>
        <v>259.64096626089821</v>
      </c>
      <c r="CE178" s="57">
        <f t="shared" si="148"/>
        <v>258.1415293081597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15.471726356330823</v>
      </c>
      <c r="CL178" s="21">
        <f>EXP(-LN(2)/25)*CL177+(1-EXP(-LN(2)/25))/(LN(2)/25)*Calculateur!CG178*Calculateur!CI178*VLOOKUP('Données projet'!$B$12,Paramètres!$A$1:$I$89,3,0)*0.475*44/12</f>
        <v>1.4613736645940765</v>
      </c>
      <c r="CM178" s="21">
        <f>EXP(-LN(2)/2)*CM177+(1-EXP(-LN(2)/2))/(LN(2)/2)*CG178*CJ178*VLOOKUP('Données projet'!$B$12,Paramètres!$A$1:$I$89,3,0)*0.475*44/12</f>
        <v>1.3323445376183815E-16</v>
      </c>
      <c r="CN178" s="22">
        <f t="shared" si="172"/>
        <v>16.933100020924901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-1.223725121235475E-13</v>
      </c>
      <c r="CV178" s="13" t="e">
        <f t="shared" si="173"/>
        <v>#NUM!</v>
      </c>
      <c r="CW178" s="20" t="e">
        <f t="shared" si="174"/>
        <v>#NUM!</v>
      </c>
      <c r="CX178" s="57" t="e">
        <f t="shared" si="122"/>
        <v>#NUM!</v>
      </c>
      <c r="CY178" s="57">
        <f ca="1">AVERAGE(OFFSET($CX$3,0,0,'Données projet'!$E$13+1,1))-AVERAGE(OFFSET($H$3,0,0,'Données projet'!$E$13+1,1))</f>
        <v>436.59978658837537</v>
      </c>
      <c r="CZ178" s="57">
        <f t="shared" si="150"/>
        <v>267.2998309535638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55.837961661654262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55.837961661654262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-1.0818439477588981E-13</v>
      </c>
      <c r="DQ178" s="13" t="e">
        <f t="shared" si="176"/>
        <v>#NUM!</v>
      </c>
      <c r="DR178" s="20" t="e">
        <f t="shared" si="177"/>
        <v>#NUM!</v>
      </c>
      <c r="DS178" s="57" t="e">
        <f t="shared" si="125"/>
        <v>#NUM!</v>
      </c>
      <c r="DT178" s="57">
        <f ca="1">AVERAGE(OFFSET($DS$3,0,0,'Données projet'!$E$14+1,1))-AVERAGE(OFFSET($H$3,0,0,'Données projet'!$E$14+1,1))</f>
        <v>292.95981568144879</v>
      </c>
      <c r="DU178" s="57">
        <f t="shared" si="152"/>
        <v>152.23954167722536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35.850949674899041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35.850949674899041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7" t="e">
        <f t="shared" si="128"/>
        <v>#N/A</v>
      </c>
      <c r="EO178" s="57" t="e">
        <f ca="1">AVERAGE(OFFSET($EN$3,0,0,'Données projet'!$E$15+1,1))-AVERAGE(OFFSET($H$3,0,0,'Données projet'!$E$15+1,1))</f>
        <v>#N/A</v>
      </c>
      <c r="EP178" s="57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7" t="e">
        <f t="shared" si="131"/>
        <v>#N/A</v>
      </c>
      <c r="FJ178" s="57" t="e">
        <f ca="1">AVERAGE(OFFSET($FI$3,0,0,'Données projet'!$E$16+1,1))-AVERAGE(OFFSET($H$3,0,0,'Données projet'!$E$16+1,1))</f>
        <v>#N/A</v>
      </c>
      <c r="FK178" s="57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7" t="e">
        <f t="shared" si="134"/>
        <v>#N/A</v>
      </c>
      <c r="GE178" s="57" t="e">
        <f ca="1">AVERAGE(OFFSET($GD$3,0,0,'Données projet'!$E$17+1,1))-AVERAGE(OFFSET($H$3,0,0,'Données projet'!$E$17+1,1))</f>
        <v>#N/A</v>
      </c>
      <c r="GF178" s="57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7" t="e">
        <f t="shared" si="137"/>
        <v>#N/A</v>
      </c>
      <c r="GZ178" s="57" t="e">
        <f ca="1">AVERAGE(OFFSET($GY$3,0,0,'Données projet'!$E$18+1,1))-AVERAGE(OFFSET($H$3,0,0,'Données projet'!$E$18+1,1))</f>
        <v>#N/A</v>
      </c>
      <c r="HA178" s="57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1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5">
        <f t="shared" si="110"/>
        <v>256.66666666666669</v>
      </c>
      <c r="I179" s="6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7" t="e">
        <f t="shared" si="109"/>
        <v>#NUM!</v>
      </c>
      <c r="S179" s="57">
        <f ca="1">AVERAGE(OFFSET($R$3,0,0,'Données projet'!$E$9+1,1))-AVERAGE(OFFSET($H$3,0,0,'Données projet'!$E$9+1,1))</f>
        <v>373.45926089889866</v>
      </c>
      <c r="T179" s="57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46.015866244829716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46.015866244829716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-1.0818439477588981E-13</v>
      </c>
      <c r="AK179" s="13" t="e">
        <f t="shared" si="164"/>
        <v>#NUM!</v>
      </c>
      <c r="AL179" s="20" t="e">
        <f t="shared" si="165"/>
        <v>#NUM!</v>
      </c>
      <c r="AM179" s="57" t="e">
        <f t="shared" si="113"/>
        <v>#NUM!</v>
      </c>
      <c r="AN179" s="57">
        <f ca="1">AVERAGE(OFFSET($AM$3,0,0,'Données projet'!$E$10+1,1))-AVERAGE(OFFSET($H$3,0,0,'Données projet'!$E$10+1,1))</f>
        <v>390.70240761116355</v>
      </c>
      <c r="AO179" s="57">
        <f t="shared" si="144"/>
        <v>241.18285512887638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48.395997257493299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48.395997257493299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-1.0995790944434703E-13</v>
      </c>
      <c r="BF179" s="13" t="e">
        <f t="shared" si="167"/>
        <v>#NUM!</v>
      </c>
      <c r="BG179" s="20" t="e">
        <f t="shared" si="168"/>
        <v>#NUM!</v>
      </c>
      <c r="BH179" s="57" t="e">
        <f t="shared" si="116"/>
        <v>#NUM!</v>
      </c>
      <c r="BI179" s="57">
        <f ca="1">AVERAGE(OFFSET($BH$3,0,0,'Données projet'!$E$11+1,1))-AVERAGE(OFFSET($H$3,0,0,'Données projet'!$E$11+1,1))</f>
        <v>396.44612884768748</v>
      </c>
      <c r="BJ179" s="57">
        <f t="shared" si="146"/>
        <v>244.451492444461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49.189374261714498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49.189374261714498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3.4106051316484809E-13</v>
      </c>
      <c r="BZ179" s="13">
        <f>BY179*VLOOKUP('Données projet'!$B$12,Paramètres!$A$1:$I$89,3,0)*VLOOKUP('Données projet'!$B$12,Paramètres!$A$1:$I$89,5,0)</f>
        <v>2.0395418687257919E-13</v>
      </c>
      <c r="CA179" s="13">
        <f t="shared" si="170"/>
        <v>2.8200388570161721E-12</v>
      </c>
      <c r="CB179" s="20">
        <f t="shared" si="171"/>
        <v>5.2667878847729083E-12</v>
      </c>
      <c r="CC179" s="57">
        <f t="shared" si="119"/>
        <v>293.3333333333386</v>
      </c>
      <c r="CD179" s="57">
        <f ca="1">AVERAGE(OFFSET($CC$3,0,0,'Données projet'!$E$12+1,1))-AVERAGE(OFFSET($H$3,0,0,'Données projet'!$E$12+1,1))</f>
        <v>259.64096626089821</v>
      </c>
      <c r="CE179" s="57">
        <f t="shared" si="148"/>
        <v>258.1415293081597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15.168335239304444</v>
      </c>
      <c r="CL179" s="21">
        <f>EXP(-LN(2)/25)*CL178+(1-EXP(-LN(2)/25))/(LN(2)/25)*Calculateur!CG179*Calculateur!CI179*VLOOKUP('Données projet'!$B$12,Paramètres!$A$1:$I$89,3,0)*0.475*44/12</f>
        <v>1.4214123248854504</v>
      </c>
      <c r="CM179" s="21">
        <f>EXP(-LN(2)/2)*CM178+(1-EXP(-LN(2)/2))/(LN(2)/2)*CG179*CJ179*VLOOKUP('Données projet'!$B$12,Paramètres!$A$1:$I$89,3,0)*0.475*44/12</f>
        <v>9.4210985742681273E-17</v>
      </c>
      <c r="CN179" s="22">
        <f t="shared" si="172"/>
        <v>16.589747564189896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-1.223725121235475E-13</v>
      </c>
      <c r="CV179" s="13" t="e">
        <f t="shared" si="173"/>
        <v>#NUM!</v>
      </c>
      <c r="CW179" s="20" t="e">
        <f t="shared" si="174"/>
        <v>#NUM!</v>
      </c>
      <c r="CX179" s="57" t="e">
        <f t="shared" si="122"/>
        <v>#NUM!</v>
      </c>
      <c r="CY179" s="57">
        <f ca="1">AVERAGE(OFFSET($CX$3,0,0,'Données projet'!$E$13+1,1))-AVERAGE(OFFSET($H$3,0,0,'Données projet'!$E$13+1,1))</f>
        <v>436.59978658837537</v>
      </c>
      <c r="CZ179" s="57">
        <f t="shared" si="150"/>
        <v>267.2998309535638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54.743013291262905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54.743013291262905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-1.0818439477588981E-13</v>
      </c>
      <c r="DQ179" s="13" t="e">
        <f t="shared" si="176"/>
        <v>#NUM!</v>
      </c>
      <c r="DR179" s="20" t="e">
        <f t="shared" si="177"/>
        <v>#NUM!</v>
      </c>
      <c r="DS179" s="57" t="e">
        <f t="shared" si="125"/>
        <v>#NUM!</v>
      </c>
      <c r="DT179" s="57">
        <f ca="1">AVERAGE(OFFSET($DS$3,0,0,'Données projet'!$E$14+1,1))-AVERAGE(OFFSET($H$3,0,0,'Données projet'!$E$14+1,1))</f>
        <v>292.95981568144879</v>
      </c>
      <c r="DU179" s="57">
        <f t="shared" si="152"/>
        <v>152.23954167722536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35.147934418694391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35.147934418694391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7" t="e">
        <f t="shared" si="128"/>
        <v>#N/A</v>
      </c>
      <c r="EO179" s="57" t="e">
        <f ca="1">AVERAGE(OFFSET($EN$3,0,0,'Données projet'!$E$15+1,1))-AVERAGE(OFFSET($H$3,0,0,'Données projet'!$E$15+1,1))</f>
        <v>#N/A</v>
      </c>
      <c r="EP179" s="57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7" t="e">
        <f t="shared" si="131"/>
        <v>#N/A</v>
      </c>
      <c r="FJ179" s="57" t="e">
        <f ca="1">AVERAGE(OFFSET($FI$3,0,0,'Données projet'!$E$16+1,1))-AVERAGE(OFFSET($H$3,0,0,'Données projet'!$E$16+1,1))</f>
        <v>#N/A</v>
      </c>
      <c r="FK179" s="57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7" t="e">
        <f t="shared" si="134"/>
        <v>#N/A</v>
      </c>
      <c r="GE179" s="57" t="e">
        <f ca="1">AVERAGE(OFFSET($GD$3,0,0,'Données projet'!$E$17+1,1))-AVERAGE(OFFSET($H$3,0,0,'Données projet'!$E$17+1,1))</f>
        <v>#N/A</v>
      </c>
      <c r="GF179" s="57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7" t="e">
        <f t="shared" si="137"/>
        <v>#N/A</v>
      </c>
      <c r="GZ179" s="57" t="e">
        <f ca="1">AVERAGE(OFFSET($GY$3,0,0,'Données projet'!$E$18+1,1))-AVERAGE(OFFSET($H$3,0,0,'Données projet'!$E$18+1,1))</f>
        <v>#N/A</v>
      </c>
      <c r="HA179" s="57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1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5">
        <f t="shared" si="110"/>
        <v>256.66666666666669</v>
      </c>
      <c r="I180" s="6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7" t="e">
        <f t="shared" si="109"/>
        <v>#NUM!</v>
      </c>
      <c r="S180" s="57">
        <f ca="1">AVERAGE(OFFSET($R$3,0,0,'Données projet'!$E$9+1,1))-AVERAGE(OFFSET($H$3,0,0,'Données projet'!$E$9+1,1))</f>
        <v>373.45926089889866</v>
      </c>
      <c r="T180" s="57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45.113523174675635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45.113523174675635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-1.0818439477588981E-13</v>
      </c>
      <c r="AK180" s="13" t="e">
        <f t="shared" si="164"/>
        <v>#NUM!</v>
      </c>
      <c r="AL180" s="20" t="e">
        <f t="shared" si="165"/>
        <v>#NUM!</v>
      </c>
      <c r="AM180" s="57" t="e">
        <f t="shared" si="113"/>
        <v>#NUM!</v>
      </c>
      <c r="AN180" s="57">
        <f ca="1">AVERAGE(OFFSET($AM$3,0,0,'Données projet'!$E$10+1,1))-AVERAGE(OFFSET($H$3,0,0,'Données projet'!$E$10+1,1))</f>
        <v>390.70240761116355</v>
      </c>
      <c r="AO180" s="57">
        <f t="shared" si="144"/>
        <v>241.18285512887638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47.446981269917458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47.446981269917458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-1.0995790944434703E-13</v>
      </c>
      <c r="BF180" s="13" t="e">
        <f t="shared" si="167"/>
        <v>#NUM!</v>
      </c>
      <c r="BG180" s="20" t="e">
        <f t="shared" si="168"/>
        <v>#NUM!</v>
      </c>
      <c r="BH180" s="57" t="e">
        <f t="shared" si="116"/>
        <v>#NUM!</v>
      </c>
      <c r="BI180" s="57">
        <f ca="1">AVERAGE(OFFSET($BH$3,0,0,'Données projet'!$E$11+1,1))-AVERAGE(OFFSET($H$3,0,0,'Données projet'!$E$11+1,1))</f>
        <v>396.44612884768748</v>
      </c>
      <c r="BJ180" s="57">
        <f t="shared" si="146"/>
        <v>244.451492444461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48.224800634998068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48.224800634998068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3.4106051316484809E-13</v>
      </c>
      <c r="BZ180" s="13">
        <f>BY180*VLOOKUP('Données projet'!$B$12,Paramètres!$A$1:$I$89,3,0)*VLOOKUP('Données projet'!$B$12,Paramètres!$A$1:$I$89,5,0)</f>
        <v>2.0395418687257919E-13</v>
      </c>
      <c r="CA180" s="13">
        <f t="shared" si="170"/>
        <v>2.8200388570161721E-12</v>
      </c>
      <c r="CB180" s="20">
        <f t="shared" si="171"/>
        <v>5.2667878847729083E-12</v>
      </c>
      <c r="CC180" s="57">
        <f t="shared" si="119"/>
        <v>293.3333333333386</v>
      </c>
      <c r="CD180" s="57">
        <f ca="1">AVERAGE(OFFSET($CC$3,0,0,'Données projet'!$E$12+1,1))-AVERAGE(OFFSET($H$3,0,0,'Données projet'!$E$12+1,1))</f>
        <v>259.64096626089821</v>
      </c>
      <c r="CE180" s="57">
        <f t="shared" si="148"/>
        <v>258.1415293081597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14.870893437032644</v>
      </c>
      <c r="CL180" s="21">
        <f>EXP(-LN(2)/25)*CL179+(1-EXP(-LN(2)/25))/(LN(2)/25)*Calculateur!CG180*Calculateur!CI180*VLOOKUP('Données projet'!$B$12,Paramètres!$A$1:$I$89,3,0)*0.475*44/12</f>
        <v>1.3825437301126322</v>
      </c>
      <c r="CM180" s="21">
        <f>EXP(-LN(2)/2)*CM179+(1-EXP(-LN(2)/2))/(LN(2)/2)*CG180*CJ180*VLOOKUP('Données projet'!$B$12,Paramètres!$A$1:$I$89,3,0)*0.475*44/12</f>
        <v>6.6617226880919074E-17</v>
      </c>
      <c r="CN180" s="22">
        <f t="shared" si="172"/>
        <v>16.253437167145275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-1.223725121235475E-13</v>
      </c>
      <c r="CV180" s="13" t="e">
        <f t="shared" si="173"/>
        <v>#NUM!</v>
      </c>
      <c r="CW180" s="20" t="e">
        <f t="shared" si="174"/>
        <v>#NUM!</v>
      </c>
      <c r="CX180" s="57" t="e">
        <f t="shared" si="122"/>
        <v>#NUM!</v>
      </c>
      <c r="CY180" s="57">
        <f ca="1">AVERAGE(OFFSET($CX$3,0,0,'Données projet'!$E$13+1,1))-AVERAGE(OFFSET($H$3,0,0,'Données projet'!$E$13+1,1))</f>
        <v>436.59978658837537</v>
      </c>
      <c r="CZ180" s="57">
        <f t="shared" si="150"/>
        <v>267.2998309535638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53.669536190562361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53.669536190562361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-1.0818439477588981E-13</v>
      </c>
      <c r="DQ180" s="13" t="e">
        <f t="shared" si="176"/>
        <v>#NUM!</v>
      </c>
      <c r="DR180" s="20" t="e">
        <f t="shared" si="177"/>
        <v>#NUM!</v>
      </c>
      <c r="DS180" s="57" t="e">
        <f t="shared" si="125"/>
        <v>#NUM!</v>
      </c>
      <c r="DT180" s="57">
        <f ca="1">AVERAGE(OFFSET($DS$3,0,0,'Données projet'!$E$14+1,1))-AVERAGE(OFFSET($H$3,0,0,'Données projet'!$E$14+1,1))</f>
        <v>292.95981568144879</v>
      </c>
      <c r="DU180" s="57">
        <f t="shared" si="152"/>
        <v>152.23954167722536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34.458704862866952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34.458704862866952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7" t="e">
        <f t="shared" si="128"/>
        <v>#N/A</v>
      </c>
      <c r="EO180" s="57" t="e">
        <f ca="1">AVERAGE(OFFSET($EN$3,0,0,'Données projet'!$E$15+1,1))-AVERAGE(OFFSET($H$3,0,0,'Données projet'!$E$15+1,1))</f>
        <v>#N/A</v>
      </c>
      <c r="EP180" s="57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7" t="e">
        <f t="shared" si="131"/>
        <v>#N/A</v>
      </c>
      <c r="FJ180" s="57" t="e">
        <f ca="1">AVERAGE(OFFSET($FI$3,0,0,'Données projet'!$E$16+1,1))-AVERAGE(OFFSET($H$3,0,0,'Données projet'!$E$16+1,1))</f>
        <v>#N/A</v>
      </c>
      <c r="FK180" s="57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7" t="e">
        <f t="shared" si="134"/>
        <v>#N/A</v>
      </c>
      <c r="GE180" s="57" t="e">
        <f ca="1">AVERAGE(OFFSET($GD$3,0,0,'Données projet'!$E$17+1,1))-AVERAGE(OFFSET($H$3,0,0,'Données projet'!$E$17+1,1))</f>
        <v>#N/A</v>
      </c>
      <c r="GF180" s="57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7" t="e">
        <f t="shared" si="137"/>
        <v>#N/A</v>
      </c>
      <c r="GZ180" s="57" t="e">
        <f ca="1">AVERAGE(OFFSET($GY$3,0,0,'Données projet'!$E$18+1,1))-AVERAGE(OFFSET($H$3,0,0,'Données projet'!$E$18+1,1))</f>
        <v>#N/A</v>
      </c>
      <c r="HA180" s="57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1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5">
        <f t="shared" si="110"/>
        <v>256.66666666666669</v>
      </c>
      <c r="I181" s="6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7" t="e">
        <f t="shared" si="109"/>
        <v>#NUM!</v>
      </c>
      <c r="S181" s="57">
        <f ca="1">AVERAGE(OFFSET($R$3,0,0,'Données projet'!$E$9+1,1))-AVERAGE(OFFSET($H$3,0,0,'Données projet'!$E$9+1,1))</f>
        <v>373.45926089889866</v>
      </c>
      <c r="T181" s="57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44.228874501752351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44.228874501752351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-1.0818439477588981E-13</v>
      </c>
      <c r="AK181" s="13" t="e">
        <f t="shared" si="164"/>
        <v>#NUM!</v>
      </c>
      <c r="AL181" s="20" t="e">
        <f t="shared" si="165"/>
        <v>#NUM!</v>
      </c>
      <c r="AM181" s="57" t="e">
        <f t="shared" si="113"/>
        <v>#NUM!</v>
      </c>
      <c r="AN181" s="57">
        <f ca="1">AVERAGE(OFFSET($AM$3,0,0,'Données projet'!$E$10+1,1))-AVERAGE(OFFSET($H$3,0,0,'Données projet'!$E$10+1,1))</f>
        <v>390.70240761116355</v>
      </c>
      <c r="AO181" s="57">
        <f t="shared" si="144"/>
        <v>241.18285512887638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46.516574907015382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46.516574907015382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-1.0995790944434703E-13</v>
      </c>
      <c r="BF181" s="13" t="e">
        <f t="shared" si="167"/>
        <v>#NUM!</v>
      </c>
      <c r="BG181" s="20" t="e">
        <f t="shared" si="168"/>
        <v>#NUM!</v>
      </c>
      <c r="BH181" s="57" t="e">
        <f t="shared" si="116"/>
        <v>#NUM!</v>
      </c>
      <c r="BI181" s="57">
        <f ca="1">AVERAGE(OFFSET($BH$3,0,0,'Données projet'!$E$11+1,1))-AVERAGE(OFFSET($H$3,0,0,'Données projet'!$E$11+1,1))</f>
        <v>396.44612884768748</v>
      </c>
      <c r="BJ181" s="57">
        <f t="shared" si="146"/>
        <v>244.451492444461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47.279141708769728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47.279141708769728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3.4106051316484809E-13</v>
      </c>
      <c r="BZ181" s="13">
        <f>BY181*VLOOKUP('Données projet'!$B$12,Paramètres!$A$1:$I$89,3,0)*VLOOKUP('Données projet'!$B$12,Paramètres!$A$1:$I$89,5,0)</f>
        <v>2.0395418687257919E-13</v>
      </c>
      <c r="CA181" s="13">
        <f t="shared" si="170"/>
        <v>2.8200388570161721E-12</v>
      </c>
      <c r="CB181" s="20">
        <f t="shared" si="171"/>
        <v>5.2667878847729083E-12</v>
      </c>
      <c r="CC181" s="57">
        <f t="shared" si="119"/>
        <v>293.3333333333386</v>
      </c>
      <c r="CD181" s="57">
        <f ca="1">AVERAGE(OFFSET($CC$3,0,0,'Données projet'!$E$12+1,1))-AVERAGE(OFFSET($H$3,0,0,'Données projet'!$E$12+1,1))</f>
        <v>259.64096626089821</v>
      </c>
      <c r="CE181" s="57">
        <f t="shared" si="148"/>
        <v>258.1415293081597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14.579284287081807</v>
      </c>
      <c r="CL181" s="21">
        <f>EXP(-LN(2)/25)*CL180+(1-EXP(-LN(2)/25))/(LN(2)/25)*Calculateur!CG181*Calculateur!CI181*VLOOKUP('Données projet'!$B$12,Paramètres!$A$1:$I$89,3,0)*0.475*44/12</f>
        <v>1.3447379991078874</v>
      </c>
      <c r="CM181" s="21">
        <f>EXP(-LN(2)/2)*CM180+(1-EXP(-LN(2)/2))/(LN(2)/2)*CG181*CJ181*VLOOKUP('Données projet'!$B$12,Paramètres!$A$1:$I$89,3,0)*0.475*44/12</f>
        <v>4.7105492871340636E-17</v>
      </c>
      <c r="CN181" s="22">
        <f t="shared" si="172"/>
        <v>15.924022286189693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-1.223725121235475E-13</v>
      </c>
      <c r="CV181" s="13" t="e">
        <f t="shared" si="173"/>
        <v>#NUM!</v>
      </c>
      <c r="CW181" s="20" t="e">
        <f t="shared" si="174"/>
        <v>#NUM!</v>
      </c>
      <c r="CX181" s="57" t="e">
        <f t="shared" si="122"/>
        <v>#NUM!</v>
      </c>
      <c r="CY181" s="57">
        <f ca="1">AVERAGE(OFFSET($CX$3,0,0,'Données projet'!$E$13+1,1))-AVERAGE(OFFSET($H$3,0,0,'Données projet'!$E$13+1,1))</f>
        <v>436.59978658837537</v>
      </c>
      <c r="CZ181" s="57">
        <f t="shared" si="150"/>
        <v>267.2998309535638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52.617109321050179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52.617109321050179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-1.0818439477588981E-13</v>
      </c>
      <c r="DQ181" s="13" t="e">
        <f t="shared" si="176"/>
        <v>#NUM!</v>
      </c>
      <c r="DR181" s="20" t="e">
        <f t="shared" si="177"/>
        <v>#NUM!</v>
      </c>
      <c r="DS181" s="57" t="e">
        <f t="shared" si="125"/>
        <v>#NUM!</v>
      </c>
      <c r="DT181" s="57">
        <f ca="1">AVERAGE(OFFSET($DS$3,0,0,'Données projet'!$E$14+1,1))-AVERAGE(OFFSET($H$3,0,0,'Données projet'!$E$14+1,1))</f>
        <v>292.95981568144879</v>
      </c>
      <c r="DU181" s="57">
        <f t="shared" si="152"/>
        <v>152.23954167722536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33.782990678240772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33.782990678240772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7" t="e">
        <f t="shared" si="128"/>
        <v>#N/A</v>
      </c>
      <c r="EO181" s="57" t="e">
        <f ca="1">AVERAGE(OFFSET($EN$3,0,0,'Données projet'!$E$15+1,1))-AVERAGE(OFFSET($H$3,0,0,'Données projet'!$E$15+1,1))</f>
        <v>#N/A</v>
      </c>
      <c r="EP181" s="57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7" t="e">
        <f t="shared" si="131"/>
        <v>#N/A</v>
      </c>
      <c r="FJ181" s="57" t="e">
        <f ca="1">AVERAGE(OFFSET($FI$3,0,0,'Données projet'!$E$16+1,1))-AVERAGE(OFFSET($H$3,0,0,'Données projet'!$E$16+1,1))</f>
        <v>#N/A</v>
      </c>
      <c r="FK181" s="57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7" t="e">
        <f t="shared" si="134"/>
        <v>#N/A</v>
      </c>
      <c r="GE181" s="57" t="e">
        <f ca="1">AVERAGE(OFFSET($GD$3,0,0,'Données projet'!$E$17+1,1))-AVERAGE(OFFSET($H$3,0,0,'Données projet'!$E$17+1,1))</f>
        <v>#N/A</v>
      </c>
      <c r="GF181" s="57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7" t="e">
        <f t="shared" si="137"/>
        <v>#N/A</v>
      </c>
      <c r="GZ181" s="57" t="e">
        <f ca="1">AVERAGE(OFFSET($GY$3,0,0,'Données projet'!$E$18+1,1))-AVERAGE(OFFSET($H$3,0,0,'Données projet'!$E$18+1,1))</f>
        <v>#N/A</v>
      </c>
      <c r="HA181" s="57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1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5">
        <f t="shared" si="110"/>
        <v>256.66666666666669</v>
      </c>
      <c r="I182" s="6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7" t="e">
        <f t="shared" si="109"/>
        <v>#NUM!</v>
      </c>
      <c r="S182" s="57">
        <f ca="1">AVERAGE(OFFSET($R$3,0,0,'Données projet'!$E$9+1,1))-AVERAGE(OFFSET($H$3,0,0,'Données projet'!$E$9+1,1))</f>
        <v>373.45926089889866</v>
      </c>
      <c r="T182" s="57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43.361573249722682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43.361573249722682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-1.0818439477588981E-13</v>
      </c>
      <c r="AK182" s="13" t="e">
        <f t="shared" si="164"/>
        <v>#NUM!</v>
      </c>
      <c r="AL182" s="20" t="e">
        <f t="shared" si="165"/>
        <v>#NUM!</v>
      </c>
      <c r="AM182" s="57" t="e">
        <f t="shared" si="113"/>
        <v>#NUM!</v>
      </c>
      <c r="AN182" s="57">
        <f ca="1">AVERAGE(OFFSET($AM$3,0,0,'Données projet'!$E$10+1,1))-AVERAGE(OFFSET($H$3,0,0,'Données projet'!$E$10+1,1))</f>
        <v>390.70240761116355</v>
      </c>
      <c r="AO182" s="57">
        <f t="shared" si="144"/>
        <v>241.18285512887638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45.604413245397971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45.604413245397971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-1.0995790944434703E-13</v>
      </c>
      <c r="BF182" s="13" t="e">
        <f t="shared" si="167"/>
        <v>#NUM!</v>
      </c>
      <c r="BG182" s="20" t="e">
        <f t="shared" si="168"/>
        <v>#NUM!</v>
      </c>
      <c r="BH182" s="57" t="e">
        <f t="shared" si="116"/>
        <v>#NUM!</v>
      </c>
      <c r="BI182" s="57">
        <f ca="1">AVERAGE(OFFSET($BH$3,0,0,'Données projet'!$E$11+1,1))-AVERAGE(OFFSET($H$3,0,0,'Données projet'!$E$11+1,1))</f>
        <v>396.44612884768748</v>
      </c>
      <c r="BJ182" s="57">
        <f t="shared" si="146"/>
        <v>244.451492444461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46.352026577289735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46.352026577289735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3.4106051316484809E-13</v>
      </c>
      <c r="BZ182" s="13">
        <f>BY182*VLOOKUP('Données projet'!$B$12,Paramètres!$A$1:$I$89,3,0)*VLOOKUP('Données projet'!$B$12,Paramètres!$A$1:$I$89,5,0)</f>
        <v>2.0395418687257919E-13</v>
      </c>
      <c r="CA182" s="13">
        <f t="shared" si="170"/>
        <v>2.8200388570161721E-12</v>
      </c>
      <c r="CB182" s="20">
        <f t="shared" si="171"/>
        <v>5.2667878847729083E-12</v>
      </c>
      <c r="CC182" s="57">
        <f t="shared" si="119"/>
        <v>293.3333333333386</v>
      </c>
      <c r="CD182" s="57">
        <f ca="1">AVERAGE(OFFSET($CC$3,0,0,'Données projet'!$E$12+1,1))-AVERAGE(OFFSET($H$3,0,0,'Données projet'!$E$12+1,1))</f>
        <v>259.64096626089821</v>
      </c>
      <c r="CE182" s="57">
        <f t="shared" si="148"/>
        <v>258.1415293081597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14.293393414697487</v>
      </c>
      <c r="CL182" s="21">
        <f>EXP(-LN(2)/25)*CL181+(1-EXP(-LN(2)/25))/(LN(2)/25)*Calculateur!CG182*Calculateur!CI182*VLOOKUP('Données projet'!$B$12,Paramètres!$A$1:$I$89,3,0)*0.475*44/12</f>
        <v>1.3079660678055842</v>
      </c>
      <c r="CM182" s="21">
        <f>EXP(-LN(2)/2)*CM181+(1-EXP(-LN(2)/2))/(LN(2)/2)*CG182*CJ182*VLOOKUP('Données projet'!$B$12,Paramètres!$A$1:$I$89,3,0)*0.475*44/12</f>
        <v>3.3308613440459537E-17</v>
      </c>
      <c r="CN182" s="22">
        <f t="shared" si="172"/>
        <v>15.601359482503071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-1.223725121235475E-13</v>
      </c>
      <c r="CV182" s="13" t="e">
        <f t="shared" si="173"/>
        <v>#NUM!</v>
      </c>
      <c r="CW182" s="20" t="e">
        <f t="shared" si="174"/>
        <v>#NUM!</v>
      </c>
      <c r="CX182" s="57" t="e">
        <f t="shared" si="122"/>
        <v>#NUM!</v>
      </c>
      <c r="CY182" s="57">
        <f ca="1">AVERAGE(OFFSET($CX$3,0,0,'Données projet'!$E$13+1,1))-AVERAGE(OFFSET($H$3,0,0,'Données projet'!$E$13+1,1))</f>
        <v>436.59978658837537</v>
      </c>
      <c r="CZ182" s="57">
        <f t="shared" si="150"/>
        <v>267.2998309535638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51.585319900532127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51.585319900532127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-1.0818439477588981E-13</v>
      </c>
      <c r="DQ182" s="13" t="e">
        <f t="shared" si="176"/>
        <v>#NUM!</v>
      </c>
      <c r="DR182" s="20" t="e">
        <f t="shared" si="177"/>
        <v>#NUM!</v>
      </c>
      <c r="DS182" s="57" t="e">
        <f t="shared" si="125"/>
        <v>#NUM!</v>
      </c>
      <c r="DT182" s="57">
        <f ca="1">AVERAGE(OFFSET($DS$3,0,0,'Données projet'!$E$14+1,1))-AVERAGE(OFFSET($H$3,0,0,'Données projet'!$E$14+1,1))</f>
        <v>292.95981568144879</v>
      </c>
      <c r="DU182" s="57">
        <f t="shared" si="152"/>
        <v>152.23954167722536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33.120526836630148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33.120526836630148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7" t="e">
        <f t="shared" si="128"/>
        <v>#N/A</v>
      </c>
      <c r="EO182" s="57" t="e">
        <f ca="1">AVERAGE(OFFSET($EN$3,0,0,'Données projet'!$E$15+1,1))-AVERAGE(OFFSET($H$3,0,0,'Données projet'!$E$15+1,1))</f>
        <v>#N/A</v>
      </c>
      <c r="EP182" s="57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7" t="e">
        <f t="shared" si="131"/>
        <v>#N/A</v>
      </c>
      <c r="FJ182" s="57" t="e">
        <f ca="1">AVERAGE(OFFSET($FI$3,0,0,'Données projet'!$E$16+1,1))-AVERAGE(OFFSET($H$3,0,0,'Données projet'!$E$16+1,1))</f>
        <v>#N/A</v>
      </c>
      <c r="FK182" s="57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7" t="e">
        <f t="shared" si="134"/>
        <v>#N/A</v>
      </c>
      <c r="GE182" s="57" t="e">
        <f ca="1">AVERAGE(OFFSET($GD$3,0,0,'Données projet'!$E$17+1,1))-AVERAGE(OFFSET($H$3,0,0,'Données projet'!$E$17+1,1))</f>
        <v>#N/A</v>
      </c>
      <c r="GF182" s="57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7" t="e">
        <f t="shared" si="137"/>
        <v>#N/A</v>
      </c>
      <c r="GZ182" s="57" t="e">
        <f ca="1">AVERAGE(OFFSET($GY$3,0,0,'Données projet'!$E$18+1,1))-AVERAGE(OFFSET($H$3,0,0,'Données projet'!$E$18+1,1))</f>
        <v>#N/A</v>
      </c>
      <c r="HA182" s="57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1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5">
        <f t="shared" si="110"/>
        <v>256.66666666666669</v>
      </c>
      <c r="I183" s="6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7" t="e">
        <f t="shared" si="109"/>
        <v>#NUM!</v>
      </c>
      <c r="S183" s="57">
        <f ca="1">AVERAGE(OFFSET($R$3,0,0,'Données projet'!$E$9+1,1))-AVERAGE(OFFSET($H$3,0,0,'Données projet'!$E$9+1,1))</f>
        <v>373.45926089889866</v>
      </c>
      <c r="T183" s="57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42.511279246243781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42.511279246243781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-1.0818439477588981E-13</v>
      </c>
      <c r="AK183" s="13" t="e">
        <f t="shared" si="164"/>
        <v>#NUM!</v>
      </c>
      <c r="AL183" s="20" t="e">
        <f t="shared" si="165"/>
        <v>#NUM!</v>
      </c>
      <c r="AM183" s="57" t="e">
        <f t="shared" si="113"/>
        <v>#NUM!</v>
      </c>
      <c r="AN183" s="57">
        <f ca="1">AVERAGE(OFFSET($AM$3,0,0,'Données projet'!$E$10+1,1))-AVERAGE(OFFSET($H$3,0,0,'Données projet'!$E$10+1,1))</f>
        <v>390.70240761116355</v>
      </c>
      <c r="AO183" s="57">
        <f t="shared" si="144"/>
        <v>241.18285512887638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44.710138517601202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44.710138517601202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-1.0995790944434703E-13</v>
      </c>
      <c r="BF183" s="13" t="e">
        <f t="shared" si="167"/>
        <v>#NUM!</v>
      </c>
      <c r="BG183" s="20" t="e">
        <f t="shared" si="168"/>
        <v>#NUM!</v>
      </c>
      <c r="BH183" s="57" t="e">
        <f t="shared" si="116"/>
        <v>#NUM!</v>
      </c>
      <c r="BI183" s="57">
        <f ca="1">AVERAGE(OFFSET($BH$3,0,0,'Données projet'!$E$11+1,1))-AVERAGE(OFFSET($H$3,0,0,'Données projet'!$E$11+1,1))</f>
        <v>396.44612884768748</v>
      </c>
      <c r="BJ183" s="57">
        <f t="shared" si="146"/>
        <v>244.451492444461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45.44309160805367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45.44309160805367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3.4106051316484809E-13</v>
      </c>
      <c r="BZ183" s="13">
        <f>BY183*VLOOKUP('Données projet'!$B$12,Paramètres!$A$1:$I$89,3,0)*VLOOKUP('Données projet'!$B$12,Paramètres!$A$1:$I$89,5,0)</f>
        <v>2.0395418687257919E-13</v>
      </c>
      <c r="CA183" s="13">
        <f t="shared" si="170"/>
        <v>2.8200388570161721E-12</v>
      </c>
      <c r="CB183" s="20">
        <f t="shared" si="171"/>
        <v>5.2667878847729083E-12</v>
      </c>
      <c r="CC183" s="57">
        <f t="shared" si="119"/>
        <v>293.3333333333386</v>
      </c>
      <c r="CD183" s="57">
        <f ca="1">AVERAGE(OFFSET($CC$3,0,0,'Données projet'!$E$12+1,1))-AVERAGE(OFFSET($H$3,0,0,'Données projet'!$E$12+1,1))</f>
        <v>259.64096626089821</v>
      </c>
      <c r="CE183" s="57">
        <f t="shared" si="148"/>
        <v>258.1415293081597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14.01310868794441</v>
      </c>
      <c r="CL183" s="21">
        <f>EXP(-LN(2)/25)*CL182+(1-EXP(-LN(2)/25))/(LN(2)/25)*Calculateur!CG183*Calculateur!CI183*VLOOKUP('Données projet'!$B$12,Paramètres!$A$1:$I$89,3,0)*0.475*44/12</f>
        <v>1.2721996668984945</v>
      </c>
      <c r="CM183" s="21">
        <f>EXP(-LN(2)/2)*CM182+(1-EXP(-LN(2)/2))/(LN(2)/2)*CG183*CJ183*VLOOKUP('Données projet'!$B$12,Paramètres!$A$1:$I$89,3,0)*0.475*44/12</f>
        <v>2.3552746435670318E-17</v>
      </c>
      <c r="CN183" s="22">
        <f t="shared" si="172"/>
        <v>15.285308354842904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-1.223725121235475E-13</v>
      </c>
      <c r="CV183" s="13" t="e">
        <f t="shared" si="173"/>
        <v>#NUM!</v>
      </c>
      <c r="CW183" s="20" t="e">
        <f t="shared" si="174"/>
        <v>#NUM!</v>
      </c>
      <c r="CX183" s="57" t="e">
        <f t="shared" si="122"/>
        <v>#NUM!</v>
      </c>
      <c r="CY183" s="57">
        <f ca="1">AVERAGE(OFFSET($CX$3,0,0,'Données projet'!$E$13+1,1))-AVERAGE(OFFSET($H$3,0,0,'Données projet'!$E$13+1,1))</f>
        <v>436.59978658837537</v>
      </c>
      <c r="CZ183" s="57">
        <f t="shared" si="150"/>
        <v>267.2998309535638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50.573763241221023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50.573763241221023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-1.0818439477588981E-13</v>
      </c>
      <c r="DQ183" s="13" t="e">
        <f t="shared" si="176"/>
        <v>#NUM!</v>
      </c>
      <c r="DR183" s="20" t="e">
        <f t="shared" si="177"/>
        <v>#NUM!</v>
      </c>
      <c r="DS183" s="57" t="e">
        <f t="shared" si="125"/>
        <v>#NUM!</v>
      </c>
      <c r="DT183" s="57">
        <f ca="1">AVERAGE(OFFSET($DS$3,0,0,'Données projet'!$E$14+1,1))-AVERAGE(OFFSET($H$3,0,0,'Données projet'!$E$14+1,1))</f>
        <v>292.95981568144879</v>
      </c>
      <c r="DU183" s="57">
        <f t="shared" si="152"/>
        <v>152.23954167722536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32.471053506890463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32.471053506890463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7" t="e">
        <f t="shared" si="128"/>
        <v>#N/A</v>
      </c>
      <c r="EO183" s="57" t="e">
        <f ca="1">AVERAGE(OFFSET($EN$3,0,0,'Données projet'!$E$15+1,1))-AVERAGE(OFFSET($H$3,0,0,'Données projet'!$E$15+1,1))</f>
        <v>#N/A</v>
      </c>
      <c r="EP183" s="57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7" t="e">
        <f t="shared" si="131"/>
        <v>#N/A</v>
      </c>
      <c r="FJ183" s="57" t="e">
        <f ca="1">AVERAGE(OFFSET($FI$3,0,0,'Données projet'!$E$16+1,1))-AVERAGE(OFFSET($H$3,0,0,'Données projet'!$E$16+1,1))</f>
        <v>#N/A</v>
      </c>
      <c r="FK183" s="57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7" t="e">
        <f t="shared" si="134"/>
        <v>#N/A</v>
      </c>
      <c r="GE183" s="57" t="e">
        <f ca="1">AVERAGE(OFFSET($GD$3,0,0,'Données projet'!$E$17+1,1))-AVERAGE(OFFSET($H$3,0,0,'Données projet'!$E$17+1,1))</f>
        <v>#N/A</v>
      </c>
      <c r="GF183" s="57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7" t="e">
        <f t="shared" si="137"/>
        <v>#N/A</v>
      </c>
      <c r="GZ183" s="57" t="e">
        <f ca="1">AVERAGE(OFFSET($GY$3,0,0,'Données projet'!$E$18+1,1))-AVERAGE(OFFSET($H$3,0,0,'Données projet'!$E$18+1,1))</f>
        <v>#N/A</v>
      </c>
      <c r="HA183" s="57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1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5">
        <f t="shared" si="110"/>
        <v>256.66666666666669</v>
      </c>
      <c r="I184" s="6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7" t="e">
        <f t="shared" si="109"/>
        <v>#NUM!</v>
      </c>
      <c r="S184" s="57">
        <f ca="1">AVERAGE(OFFSET($R$3,0,0,'Données projet'!$E$9+1,1))-AVERAGE(OFFSET($H$3,0,0,'Données projet'!$E$9+1,1))</f>
        <v>373.45926089889866</v>
      </c>
      <c r="T184" s="57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41.677658989544973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41.677658989544973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-1.0818439477588981E-13</v>
      </c>
      <c r="AK184" s="13" t="e">
        <f t="shared" si="164"/>
        <v>#NUM!</v>
      </c>
      <c r="AL184" s="20" t="e">
        <f t="shared" si="165"/>
        <v>#NUM!</v>
      </c>
      <c r="AM184" s="57" t="e">
        <f t="shared" si="113"/>
        <v>#NUM!</v>
      </c>
      <c r="AN184" s="57">
        <f ca="1">AVERAGE(OFFSET($AM$3,0,0,'Données projet'!$E$10+1,1))-AVERAGE(OFFSET($H$3,0,0,'Données projet'!$E$10+1,1))</f>
        <v>390.70240761116355</v>
      </c>
      <c r="AO184" s="57">
        <f t="shared" si="144"/>
        <v>241.18285512887638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43.833399971762802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43.833399971762802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-1.0995790944434703E-13</v>
      </c>
      <c r="BF184" s="13" t="e">
        <f t="shared" si="167"/>
        <v>#NUM!</v>
      </c>
      <c r="BG184" s="20" t="e">
        <f t="shared" si="168"/>
        <v>#NUM!</v>
      </c>
      <c r="BH184" s="57" t="e">
        <f t="shared" si="116"/>
        <v>#NUM!</v>
      </c>
      <c r="BI184" s="57">
        <f ca="1">AVERAGE(OFFSET($BH$3,0,0,'Données projet'!$E$11+1,1))-AVERAGE(OFFSET($H$3,0,0,'Données projet'!$E$11+1,1))</f>
        <v>396.44612884768748</v>
      </c>
      <c r="BJ184" s="57">
        <f t="shared" si="146"/>
        <v>244.451492444461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44.55198029916874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44.55198029916874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3.4106051316484809E-13</v>
      </c>
      <c r="BZ184" s="13">
        <f>BY184*VLOOKUP('Données projet'!$B$12,Paramètres!$A$1:$I$89,3,0)*VLOOKUP('Données projet'!$B$12,Paramètres!$A$1:$I$89,5,0)</f>
        <v>2.0395418687257919E-13</v>
      </c>
      <c r="CA184" s="13">
        <f t="shared" si="170"/>
        <v>2.8200388570161721E-12</v>
      </c>
      <c r="CB184" s="20">
        <f t="shared" si="171"/>
        <v>5.2667878847729083E-12</v>
      </c>
      <c r="CC184" s="57">
        <f t="shared" si="119"/>
        <v>293.3333333333386</v>
      </c>
      <c r="CD184" s="57">
        <f ca="1">AVERAGE(OFFSET($CC$3,0,0,'Données projet'!$E$12+1,1))-AVERAGE(OFFSET($H$3,0,0,'Données projet'!$E$12+1,1))</f>
        <v>259.64096626089821</v>
      </c>
      <c r="CE184" s="57">
        <f t="shared" si="148"/>
        <v>258.1415293081597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13.738320173726159</v>
      </c>
      <c r="CL184" s="21">
        <f>EXP(-LN(2)/25)*CL183+(1-EXP(-LN(2)/25))/(LN(2)/25)*Calculateur!CG184*Calculateur!CI184*VLOOKUP('Données projet'!$B$12,Paramètres!$A$1:$I$89,3,0)*0.475*44/12</f>
        <v>1.2374113001050824</v>
      </c>
      <c r="CM184" s="21">
        <f>EXP(-LN(2)/2)*CM183+(1-EXP(-LN(2)/2))/(LN(2)/2)*CG184*CJ184*VLOOKUP('Données projet'!$B$12,Paramètres!$A$1:$I$89,3,0)*0.475*44/12</f>
        <v>1.6654306720229769E-17</v>
      </c>
      <c r="CN184" s="22">
        <f t="shared" si="172"/>
        <v>14.975731473831241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-1.223725121235475E-13</v>
      </c>
      <c r="CV184" s="13" t="e">
        <f t="shared" si="173"/>
        <v>#NUM!</v>
      </c>
      <c r="CW184" s="20" t="e">
        <f t="shared" si="174"/>
        <v>#NUM!</v>
      </c>
      <c r="CX184" s="57" t="e">
        <f t="shared" si="122"/>
        <v>#NUM!</v>
      </c>
      <c r="CY184" s="57">
        <f ca="1">AVERAGE(OFFSET($CX$3,0,0,'Données projet'!$E$13+1,1))-AVERAGE(OFFSET($H$3,0,0,'Données projet'!$E$13+1,1))</f>
        <v>436.59978658837537</v>
      </c>
      <c r="CZ184" s="57">
        <f t="shared" si="150"/>
        <v>267.2998309535638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49.582042591010371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49.582042591010371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-1.0818439477588981E-13</v>
      </c>
      <c r="DQ184" s="13" t="e">
        <f t="shared" si="176"/>
        <v>#NUM!</v>
      </c>
      <c r="DR184" s="20" t="e">
        <f t="shared" si="177"/>
        <v>#NUM!</v>
      </c>
      <c r="DS184" s="57" t="e">
        <f t="shared" si="125"/>
        <v>#NUM!</v>
      </c>
      <c r="DT184" s="57">
        <f ca="1">AVERAGE(OFFSET($DS$3,0,0,'Données projet'!$E$14+1,1))-AVERAGE(OFFSET($H$3,0,0,'Données projet'!$E$14+1,1))</f>
        <v>292.95981568144879</v>
      </c>
      <c r="DU184" s="57">
        <f t="shared" si="152"/>
        <v>152.23954167722536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31.834315953007362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31.834315953007362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7" t="e">
        <f t="shared" si="128"/>
        <v>#N/A</v>
      </c>
      <c r="EO184" s="57" t="e">
        <f ca="1">AVERAGE(OFFSET($EN$3,0,0,'Données projet'!$E$15+1,1))-AVERAGE(OFFSET($H$3,0,0,'Données projet'!$E$15+1,1))</f>
        <v>#N/A</v>
      </c>
      <c r="EP184" s="57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7" t="e">
        <f t="shared" si="131"/>
        <v>#N/A</v>
      </c>
      <c r="FJ184" s="57" t="e">
        <f ca="1">AVERAGE(OFFSET($FI$3,0,0,'Données projet'!$E$16+1,1))-AVERAGE(OFFSET($H$3,0,0,'Données projet'!$E$16+1,1))</f>
        <v>#N/A</v>
      </c>
      <c r="FK184" s="57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7" t="e">
        <f t="shared" si="134"/>
        <v>#N/A</v>
      </c>
      <c r="GE184" s="57" t="e">
        <f ca="1">AVERAGE(OFFSET($GD$3,0,0,'Données projet'!$E$17+1,1))-AVERAGE(OFFSET($H$3,0,0,'Données projet'!$E$17+1,1))</f>
        <v>#N/A</v>
      </c>
      <c r="GF184" s="57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7" t="e">
        <f t="shared" si="137"/>
        <v>#N/A</v>
      </c>
      <c r="GZ184" s="57" t="e">
        <f ca="1">AVERAGE(OFFSET($GY$3,0,0,'Données projet'!$E$18+1,1))-AVERAGE(OFFSET($H$3,0,0,'Données projet'!$E$18+1,1))</f>
        <v>#N/A</v>
      </c>
      <c r="HA184" s="57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1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5">
        <f t="shared" si="110"/>
        <v>256.66666666666669</v>
      </c>
      <c r="I185" s="6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7" t="e">
        <f t="shared" si="109"/>
        <v>#NUM!</v>
      </c>
      <c r="S185" s="57">
        <f ca="1">AVERAGE(OFFSET($R$3,0,0,'Données projet'!$E$9+1,1))-AVERAGE(OFFSET($H$3,0,0,'Données projet'!$E$9+1,1))</f>
        <v>373.45926089889866</v>
      </c>
      <c r="T185" s="57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40.860385517621879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40.860385517621879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-1.0818439477588981E-13</v>
      </c>
      <c r="AK185" s="13" t="e">
        <f t="shared" si="164"/>
        <v>#NUM!</v>
      </c>
      <c r="AL185" s="20" t="e">
        <f t="shared" si="165"/>
        <v>#NUM!</v>
      </c>
      <c r="AM185" s="57" t="e">
        <f t="shared" si="113"/>
        <v>#NUM!</v>
      </c>
      <c r="AN185" s="57">
        <f ca="1">AVERAGE(OFFSET($AM$3,0,0,'Données projet'!$E$10+1,1))-AVERAGE(OFFSET($H$3,0,0,'Données projet'!$E$10+1,1))</f>
        <v>390.70240761116355</v>
      </c>
      <c r="AO185" s="57">
        <f t="shared" si="144"/>
        <v>241.18285512887638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42.973853734050579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42.973853734050579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-1.0995790944434703E-13</v>
      </c>
      <c r="BF185" s="13" t="e">
        <f t="shared" si="167"/>
        <v>#NUM!</v>
      </c>
      <c r="BG185" s="20" t="e">
        <f t="shared" si="168"/>
        <v>#NUM!</v>
      </c>
      <c r="BH185" s="57" t="e">
        <f t="shared" si="116"/>
        <v>#NUM!</v>
      </c>
      <c r="BI185" s="57">
        <f ca="1">AVERAGE(OFFSET($BH$3,0,0,'Données projet'!$E$11+1,1))-AVERAGE(OFFSET($H$3,0,0,'Données projet'!$E$11+1,1))</f>
        <v>396.44612884768748</v>
      </c>
      <c r="BJ185" s="57">
        <f t="shared" si="146"/>
        <v>244.451492444461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43.67834313952681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43.67834313952681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3.4106051316484809E-13</v>
      </c>
      <c r="BZ185" s="13">
        <f>BY185*VLOOKUP('Données projet'!$B$12,Paramètres!$A$1:$I$89,3,0)*VLOOKUP('Données projet'!$B$12,Paramètres!$A$1:$I$89,5,0)</f>
        <v>2.0395418687257919E-13</v>
      </c>
      <c r="CA185" s="13">
        <f t="shared" si="170"/>
        <v>2.8200388570161721E-12</v>
      </c>
      <c r="CB185" s="20">
        <f t="shared" si="171"/>
        <v>5.2667878847729083E-12</v>
      </c>
      <c r="CC185" s="57">
        <f t="shared" si="119"/>
        <v>293.3333333333386</v>
      </c>
      <c r="CD185" s="57">
        <f ca="1">AVERAGE(OFFSET($CC$3,0,0,'Données projet'!$E$12+1,1))-AVERAGE(OFFSET($H$3,0,0,'Données projet'!$E$12+1,1))</f>
        <v>259.64096626089821</v>
      </c>
      <c r="CE185" s="57">
        <f t="shared" si="148"/>
        <v>258.1415293081597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13.468920094667283</v>
      </c>
      <c r="CL185" s="21">
        <f>EXP(-LN(2)/25)*CL184+(1-EXP(-LN(2)/25))/(LN(2)/25)*Calculateur!CG185*Calculateur!CI185*VLOOKUP('Données projet'!$B$12,Paramètres!$A$1:$I$89,3,0)*0.475*44/12</f>
        <v>1.2035742230310769</v>
      </c>
      <c r="CM185" s="21">
        <f>EXP(-LN(2)/2)*CM184+(1-EXP(-LN(2)/2))/(LN(2)/2)*CG185*CJ185*VLOOKUP('Données projet'!$B$12,Paramètres!$A$1:$I$89,3,0)*0.475*44/12</f>
        <v>1.1776373217835159E-17</v>
      </c>
      <c r="CN185" s="22">
        <f t="shared" si="172"/>
        <v>14.672494317698359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-1.223725121235475E-13</v>
      </c>
      <c r="CV185" s="13" t="e">
        <f t="shared" si="173"/>
        <v>#NUM!</v>
      </c>
      <c r="CW185" s="20" t="e">
        <f t="shared" si="174"/>
        <v>#NUM!</v>
      </c>
      <c r="CX185" s="57" t="e">
        <f t="shared" si="122"/>
        <v>#NUM!</v>
      </c>
      <c r="CY185" s="57">
        <f ca="1">AVERAGE(OFFSET($CX$3,0,0,'Données projet'!$E$13+1,1))-AVERAGE(OFFSET($H$3,0,0,'Données projet'!$E$13+1,1))</f>
        <v>436.59978658837537</v>
      </c>
      <c r="CZ185" s="57">
        <f t="shared" si="150"/>
        <v>267.2998309535638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48.609768977860483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48.609768977860483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-1.0818439477588981E-13</v>
      </c>
      <c r="DQ185" s="13" t="e">
        <f t="shared" si="176"/>
        <v>#NUM!</v>
      </c>
      <c r="DR185" s="20" t="e">
        <f t="shared" si="177"/>
        <v>#NUM!</v>
      </c>
      <c r="DS185" s="57" t="e">
        <f t="shared" si="125"/>
        <v>#NUM!</v>
      </c>
      <c r="DT185" s="57">
        <f ca="1">AVERAGE(OFFSET($DS$3,0,0,'Données projet'!$E$14+1,1))-AVERAGE(OFFSET($H$3,0,0,'Données projet'!$E$14+1,1))</f>
        <v>292.95981568144879</v>
      </c>
      <c r="DU185" s="57">
        <f t="shared" si="152"/>
        <v>152.23954167722536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31.210064434184346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31.210064434184346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7" t="e">
        <f t="shared" si="128"/>
        <v>#N/A</v>
      </c>
      <c r="EO185" s="57" t="e">
        <f ca="1">AVERAGE(OFFSET($EN$3,0,0,'Données projet'!$E$15+1,1))-AVERAGE(OFFSET($H$3,0,0,'Données projet'!$E$15+1,1))</f>
        <v>#N/A</v>
      </c>
      <c r="EP185" s="57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7" t="e">
        <f t="shared" si="131"/>
        <v>#N/A</v>
      </c>
      <c r="FJ185" s="57" t="e">
        <f ca="1">AVERAGE(OFFSET($FI$3,0,0,'Données projet'!$E$16+1,1))-AVERAGE(OFFSET($H$3,0,0,'Données projet'!$E$16+1,1))</f>
        <v>#N/A</v>
      </c>
      <c r="FK185" s="57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7" t="e">
        <f t="shared" si="134"/>
        <v>#N/A</v>
      </c>
      <c r="GE185" s="57" t="e">
        <f ca="1">AVERAGE(OFFSET($GD$3,0,0,'Données projet'!$E$17+1,1))-AVERAGE(OFFSET($H$3,0,0,'Données projet'!$E$17+1,1))</f>
        <v>#N/A</v>
      </c>
      <c r="GF185" s="57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7" t="e">
        <f t="shared" si="137"/>
        <v>#N/A</v>
      </c>
      <c r="GZ185" s="57" t="e">
        <f ca="1">AVERAGE(OFFSET($GY$3,0,0,'Données projet'!$E$18+1,1))-AVERAGE(OFFSET($H$3,0,0,'Données projet'!$E$18+1,1))</f>
        <v>#N/A</v>
      </c>
      <c r="HA185" s="57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1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5">
        <f t="shared" si="110"/>
        <v>256.66666666666669</v>
      </c>
      <c r="I186" s="6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7" t="e">
        <f t="shared" si="109"/>
        <v>#NUM!</v>
      </c>
      <c r="S186" s="57">
        <f ca="1">AVERAGE(OFFSET($R$3,0,0,'Données projet'!$E$9+1,1))-AVERAGE(OFFSET($H$3,0,0,'Données projet'!$E$9+1,1))</f>
        <v>373.45926089889866</v>
      </c>
      <c r="T186" s="57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40.059138279995601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40.059138279995601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-1.0818439477588981E-13</v>
      </c>
      <c r="AK186" s="13" t="e">
        <f t="shared" si="164"/>
        <v>#NUM!</v>
      </c>
      <c r="AL186" s="20" t="e">
        <f t="shared" si="165"/>
        <v>#NUM!</v>
      </c>
      <c r="AM186" s="57" t="e">
        <f t="shared" si="113"/>
        <v>#NUM!</v>
      </c>
      <c r="AN186" s="57">
        <f ca="1">AVERAGE(OFFSET($AM$3,0,0,'Données projet'!$E$10+1,1))-AVERAGE(OFFSET($H$3,0,0,'Données projet'!$E$10+1,1))</f>
        <v>390.70240761116355</v>
      </c>
      <c r="AO186" s="57">
        <f t="shared" si="144"/>
        <v>241.18285512887638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42.131162673788459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42.131162673788459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-1.0995790944434703E-13</v>
      </c>
      <c r="BF186" s="13" t="e">
        <f t="shared" si="167"/>
        <v>#NUM!</v>
      </c>
      <c r="BG186" s="20" t="e">
        <f t="shared" si="168"/>
        <v>#NUM!</v>
      </c>
      <c r="BH186" s="57" t="e">
        <f t="shared" si="116"/>
        <v>#NUM!</v>
      </c>
      <c r="BI186" s="57">
        <f ca="1">AVERAGE(OFFSET($BH$3,0,0,'Données projet'!$E$11+1,1))-AVERAGE(OFFSET($H$3,0,0,'Données projet'!$E$11+1,1))</f>
        <v>396.44612884768748</v>
      </c>
      <c r="BJ186" s="57">
        <f t="shared" si="146"/>
        <v>244.451492444461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42.821837471719405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42.821837471719405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3.4106051316484809E-13</v>
      </c>
      <c r="BZ186" s="13">
        <f>BY186*VLOOKUP('Données projet'!$B$12,Paramètres!$A$1:$I$89,3,0)*VLOOKUP('Données projet'!$B$12,Paramètres!$A$1:$I$89,5,0)</f>
        <v>2.0395418687257919E-13</v>
      </c>
      <c r="CA186" s="13">
        <f t="shared" si="170"/>
        <v>2.8200388570161721E-12</v>
      </c>
      <c r="CB186" s="20">
        <f t="shared" si="171"/>
        <v>5.2667878847729083E-12</v>
      </c>
      <c r="CC186" s="57">
        <f t="shared" si="119"/>
        <v>293.3333333333386</v>
      </c>
      <c r="CD186" s="57">
        <f ca="1">AVERAGE(OFFSET($CC$3,0,0,'Données projet'!$E$12+1,1))-AVERAGE(OFFSET($H$3,0,0,'Données projet'!$E$12+1,1))</f>
        <v>259.64096626089821</v>
      </c>
      <c r="CE186" s="57">
        <f t="shared" si="148"/>
        <v>258.1415293081597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13.204802786840929</v>
      </c>
      <c r="CL186" s="21">
        <f>EXP(-LN(2)/25)*CL185+(1-EXP(-LN(2)/25))/(LN(2)/25)*Calculateur!CG186*Calculateur!CI186*VLOOKUP('Données projet'!$B$12,Paramètres!$A$1:$I$89,3,0)*0.475*44/12</f>
        <v>1.1706624226090745</v>
      </c>
      <c r="CM186" s="21">
        <f>EXP(-LN(2)/2)*CM185+(1-EXP(-LN(2)/2))/(LN(2)/2)*CG186*CJ186*VLOOKUP('Données projet'!$B$12,Paramètres!$A$1:$I$89,3,0)*0.475*44/12</f>
        <v>8.3271533601148843E-18</v>
      </c>
      <c r="CN186" s="22">
        <f t="shared" si="172"/>
        <v>14.375465209450004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-1.223725121235475E-13</v>
      </c>
      <c r="CV186" s="13" t="e">
        <f t="shared" si="173"/>
        <v>#NUM!</v>
      </c>
      <c r="CW186" s="20" t="e">
        <f t="shared" si="174"/>
        <v>#NUM!</v>
      </c>
      <c r="CX186" s="57" t="e">
        <f t="shared" si="122"/>
        <v>#NUM!</v>
      </c>
      <c r="CY186" s="57">
        <f ca="1">AVERAGE(OFFSET($CX$3,0,0,'Données projet'!$E$13+1,1))-AVERAGE(OFFSET($H$3,0,0,'Données projet'!$E$13+1,1))</f>
        <v>436.59978658837537</v>
      </c>
      <c r="CZ186" s="57">
        <f t="shared" si="150"/>
        <v>267.2998309535638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47.656561057236118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47.656561057236118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-1.0818439477588981E-13</v>
      </c>
      <c r="DQ186" s="13" t="e">
        <f t="shared" si="176"/>
        <v>#NUM!</v>
      </c>
      <c r="DR186" s="20" t="e">
        <f t="shared" si="177"/>
        <v>#NUM!</v>
      </c>
      <c r="DS186" s="57" t="e">
        <f t="shared" si="125"/>
        <v>#NUM!</v>
      </c>
      <c r="DT186" s="57">
        <f ca="1">AVERAGE(OFFSET($DS$3,0,0,'Données projet'!$E$14+1,1))-AVERAGE(OFFSET($H$3,0,0,'Données projet'!$E$14+1,1))</f>
        <v>292.95981568144879</v>
      </c>
      <c r="DU186" s="57">
        <f t="shared" si="152"/>
        <v>152.23954167722536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30.59805410688962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30.59805410688962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7" t="e">
        <f t="shared" si="128"/>
        <v>#N/A</v>
      </c>
      <c r="EO186" s="57" t="e">
        <f ca="1">AVERAGE(OFFSET($EN$3,0,0,'Données projet'!$E$15+1,1))-AVERAGE(OFFSET($H$3,0,0,'Données projet'!$E$15+1,1))</f>
        <v>#N/A</v>
      </c>
      <c r="EP186" s="57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7" t="e">
        <f t="shared" si="131"/>
        <v>#N/A</v>
      </c>
      <c r="FJ186" s="57" t="e">
        <f ca="1">AVERAGE(OFFSET($FI$3,0,0,'Données projet'!$E$16+1,1))-AVERAGE(OFFSET($H$3,0,0,'Données projet'!$E$16+1,1))</f>
        <v>#N/A</v>
      </c>
      <c r="FK186" s="57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7" t="e">
        <f t="shared" si="134"/>
        <v>#N/A</v>
      </c>
      <c r="GE186" s="57" t="e">
        <f ca="1">AVERAGE(OFFSET($GD$3,0,0,'Données projet'!$E$17+1,1))-AVERAGE(OFFSET($H$3,0,0,'Données projet'!$E$17+1,1))</f>
        <v>#N/A</v>
      </c>
      <c r="GF186" s="57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7" t="e">
        <f t="shared" si="137"/>
        <v>#N/A</v>
      </c>
      <c r="GZ186" s="57" t="e">
        <f ca="1">AVERAGE(OFFSET($GY$3,0,0,'Données projet'!$E$18+1,1))-AVERAGE(OFFSET($H$3,0,0,'Données projet'!$E$18+1,1))</f>
        <v>#N/A</v>
      </c>
      <c r="HA186" s="57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1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5">
        <f t="shared" si="110"/>
        <v>256.66666666666669</v>
      </c>
      <c r="I187" s="6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7" t="e">
        <f t="shared" si="109"/>
        <v>#NUM!</v>
      </c>
      <c r="S187" s="57">
        <f ca="1">AVERAGE(OFFSET($R$3,0,0,'Données projet'!$E$9+1,1))-AVERAGE(OFFSET($H$3,0,0,'Données projet'!$E$9+1,1))</f>
        <v>373.45926089889866</v>
      </c>
      <c r="T187" s="57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39.273603011986616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39.273603011986616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-1.0818439477588981E-13</v>
      </c>
      <c r="AK187" s="13" t="e">
        <f t="shared" si="164"/>
        <v>#NUM!</v>
      </c>
      <c r="AL187" s="20" t="e">
        <f t="shared" si="165"/>
        <v>#NUM!</v>
      </c>
      <c r="AM187" s="57" t="e">
        <f t="shared" si="113"/>
        <v>#NUM!</v>
      </c>
      <c r="AN187" s="57">
        <f ca="1">AVERAGE(OFFSET($AM$3,0,0,'Données projet'!$E$10+1,1))-AVERAGE(OFFSET($H$3,0,0,'Données projet'!$E$10+1,1))</f>
        <v>390.70240761116355</v>
      </c>
      <c r="AO187" s="57">
        <f t="shared" si="144"/>
        <v>241.18285512887638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41.304996271227282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41.304996271227282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-1.0995790944434703E-13</v>
      </c>
      <c r="BF187" s="13" t="e">
        <f t="shared" si="167"/>
        <v>#NUM!</v>
      </c>
      <c r="BG187" s="20" t="e">
        <f t="shared" si="168"/>
        <v>#NUM!</v>
      </c>
      <c r="BH187" s="57" t="e">
        <f t="shared" si="116"/>
        <v>#NUM!</v>
      </c>
      <c r="BI187" s="57">
        <f ca="1">AVERAGE(OFFSET($BH$3,0,0,'Données projet'!$E$11+1,1))-AVERAGE(OFFSET($H$3,0,0,'Données projet'!$E$11+1,1))</f>
        <v>396.44612884768748</v>
      </c>
      <c r="BJ187" s="57">
        <f t="shared" si="146"/>
        <v>244.451492444461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41.982127357640834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41.982127357640834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3.4106051316484809E-13</v>
      </c>
      <c r="BZ187" s="13">
        <f>BY187*VLOOKUP('Données projet'!$B$12,Paramètres!$A$1:$I$89,3,0)*VLOOKUP('Données projet'!$B$12,Paramètres!$A$1:$I$89,5,0)</f>
        <v>2.0395418687257919E-13</v>
      </c>
      <c r="CA187" s="13">
        <f t="shared" si="170"/>
        <v>2.8200388570161721E-12</v>
      </c>
      <c r="CB187" s="20">
        <f t="shared" si="171"/>
        <v>5.2667878847729083E-12</v>
      </c>
      <c r="CC187" s="57">
        <f t="shared" si="119"/>
        <v>293.3333333333386</v>
      </c>
      <c r="CD187" s="57">
        <f ca="1">AVERAGE(OFFSET($CC$3,0,0,'Données projet'!$E$12+1,1))-AVERAGE(OFFSET($H$3,0,0,'Données projet'!$E$12+1,1))</f>
        <v>259.64096626089821</v>
      </c>
      <c r="CE187" s="57">
        <f t="shared" si="148"/>
        <v>258.1415293081597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12.945864658325398</v>
      </c>
      <c r="CL187" s="21">
        <f>EXP(-LN(2)/25)*CL186+(1-EXP(-LN(2)/25))/(LN(2)/25)*Calculateur!CG187*Calculateur!CI187*VLOOKUP('Données projet'!$B$12,Paramètres!$A$1:$I$89,3,0)*0.475*44/12</f>
        <v>1.1386505971003682</v>
      </c>
      <c r="CM187" s="21">
        <f>EXP(-LN(2)/2)*CM186+(1-EXP(-LN(2)/2))/(LN(2)/2)*CG187*CJ187*VLOOKUP('Données projet'!$B$12,Paramètres!$A$1:$I$89,3,0)*0.475*44/12</f>
        <v>5.8881866089175796E-18</v>
      </c>
      <c r="CN187" s="22">
        <f t="shared" si="172"/>
        <v>14.084515255425766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-1.223725121235475E-13</v>
      </c>
      <c r="CV187" s="13" t="e">
        <f t="shared" si="173"/>
        <v>#NUM!</v>
      </c>
      <c r="CW187" s="20" t="e">
        <f t="shared" si="174"/>
        <v>#NUM!</v>
      </c>
      <c r="CX187" s="57" t="e">
        <f t="shared" si="122"/>
        <v>#NUM!</v>
      </c>
      <c r="CY187" s="57">
        <f ca="1">AVERAGE(OFFSET($CX$3,0,0,'Données projet'!$E$13+1,1))-AVERAGE(OFFSET($H$3,0,0,'Données projet'!$E$13+1,1))</f>
        <v>436.59978658837537</v>
      </c>
      <c r="CZ187" s="57">
        <f t="shared" si="150"/>
        <v>267.2998309535638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46.722044962535776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46.722044962535776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-1.0818439477588981E-13</v>
      </c>
      <c r="DQ187" s="13" t="e">
        <f t="shared" si="176"/>
        <v>#NUM!</v>
      </c>
      <c r="DR187" s="20" t="e">
        <f t="shared" si="177"/>
        <v>#NUM!</v>
      </c>
      <c r="DS187" s="57" t="e">
        <f t="shared" si="125"/>
        <v>#NUM!</v>
      </c>
      <c r="DT187" s="57">
        <f ca="1">AVERAGE(OFFSET($DS$3,0,0,'Données projet'!$E$14+1,1))-AVERAGE(OFFSET($H$3,0,0,'Données projet'!$E$14+1,1))</f>
        <v>292.95981568144879</v>
      </c>
      <c r="DU187" s="57">
        <f t="shared" si="152"/>
        <v>152.23954167722536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29.998044928823706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29.998044928823706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7" t="e">
        <f t="shared" si="128"/>
        <v>#N/A</v>
      </c>
      <c r="EO187" s="57" t="e">
        <f ca="1">AVERAGE(OFFSET($EN$3,0,0,'Données projet'!$E$15+1,1))-AVERAGE(OFFSET($H$3,0,0,'Données projet'!$E$15+1,1))</f>
        <v>#N/A</v>
      </c>
      <c r="EP187" s="57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7" t="e">
        <f t="shared" si="131"/>
        <v>#N/A</v>
      </c>
      <c r="FJ187" s="57" t="e">
        <f ca="1">AVERAGE(OFFSET($FI$3,0,0,'Données projet'!$E$16+1,1))-AVERAGE(OFFSET($H$3,0,0,'Données projet'!$E$16+1,1))</f>
        <v>#N/A</v>
      </c>
      <c r="FK187" s="57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7" t="e">
        <f t="shared" si="134"/>
        <v>#N/A</v>
      </c>
      <c r="GE187" s="57" t="e">
        <f ca="1">AVERAGE(OFFSET($GD$3,0,0,'Données projet'!$E$17+1,1))-AVERAGE(OFFSET($H$3,0,0,'Données projet'!$E$17+1,1))</f>
        <v>#N/A</v>
      </c>
      <c r="GF187" s="57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7" t="e">
        <f t="shared" si="137"/>
        <v>#N/A</v>
      </c>
      <c r="GZ187" s="57" t="e">
        <f ca="1">AVERAGE(OFFSET($GY$3,0,0,'Données projet'!$E$18+1,1))-AVERAGE(OFFSET($H$3,0,0,'Données projet'!$E$18+1,1))</f>
        <v>#N/A</v>
      </c>
      <c r="HA187" s="57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1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5">
        <f t="shared" si="110"/>
        <v>256.66666666666669</v>
      </c>
      <c r="I188" s="6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7" t="e">
        <f t="shared" si="109"/>
        <v>#NUM!</v>
      </c>
      <c r="S188" s="57">
        <f ca="1">AVERAGE(OFFSET($R$3,0,0,'Données projet'!$E$9+1,1))-AVERAGE(OFFSET($H$3,0,0,'Données projet'!$E$9+1,1))</f>
        <v>373.45926089889866</v>
      </c>
      <c r="T188" s="57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38.503471611454081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38.503471611454081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-1.0818439477588981E-13</v>
      </c>
      <c r="AK188" s="13" t="e">
        <f t="shared" si="164"/>
        <v>#NUM!</v>
      </c>
      <c r="AL188" s="20" t="e">
        <f t="shared" si="165"/>
        <v>#NUM!</v>
      </c>
      <c r="AM188" s="57" t="e">
        <f t="shared" si="113"/>
        <v>#NUM!</v>
      </c>
      <c r="AN188" s="57">
        <f ca="1">AVERAGE(OFFSET($AM$3,0,0,'Données projet'!$E$10+1,1))-AVERAGE(OFFSET($H$3,0,0,'Données projet'!$E$10+1,1))</f>
        <v>390.70240761116355</v>
      </c>
      <c r="AO188" s="57">
        <f t="shared" si="144"/>
        <v>241.18285512887638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40.495030487908579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40.495030487908579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-1.0995790944434703E-13</v>
      </c>
      <c r="BF188" s="13" t="e">
        <f t="shared" si="167"/>
        <v>#NUM!</v>
      </c>
      <c r="BG188" s="20" t="e">
        <f t="shared" si="168"/>
        <v>#NUM!</v>
      </c>
      <c r="BH188" s="57" t="e">
        <f t="shared" si="116"/>
        <v>#NUM!</v>
      </c>
      <c r="BI188" s="57">
        <f ca="1">AVERAGE(OFFSET($BH$3,0,0,'Données projet'!$E$11+1,1))-AVERAGE(OFFSET($H$3,0,0,'Données projet'!$E$11+1,1))</f>
        <v>396.44612884768748</v>
      </c>
      <c r="BJ188" s="57">
        <f t="shared" si="146"/>
        <v>244.451492444461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41.158883446726747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41.158883446726747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3.4106051316484809E-13</v>
      </c>
      <c r="BZ188" s="13">
        <f>BY188*VLOOKUP('Données projet'!$B$12,Paramètres!$A$1:$I$89,3,0)*VLOOKUP('Données projet'!$B$12,Paramètres!$A$1:$I$89,5,0)</f>
        <v>2.0395418687257919E-13</v>
      </c>
      <c r="CA188" s="13">
        <f t="shared" si="170"/>
        <v>2.8200388570161721E-12</v>
      </c>
      <c r="CB188" s="20">
        <f t="shared" si="171"/>
        <v>5.2667878847729083E-12</v>
      </c>
      <c r="CC188" s="57">
        <f t="shared" si="119"/>
        <v>293.3333333333386</v>
      </c>
      <c r="CD188" s="57">
        <f ca="1">AVERAGE(OFFSET($CC$3,0,0,'Données projet'!$E$12+1,1))-AVERAGE(OFFSET($H$3,0,0,'Données projet'!$E$12+1,1))</f>
        <v>259.64096626089821</v>
      </c>
      <c r="CE188" s="57">
        <f t="shared" si="148"/>
        <v>258.1415293081597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12.692004148573394</v>
      </c>
      <c r="CL188" s="21">
        <f>EXP(-LN(2)/25)*CL187+(1-EXP(-LN(2)/25))/(LN(2)/25)*Calculateur!CG188*Calculateur!CI188*VLOOKUP('Données projet'!$B$12,Paramètres!$A$1:$I$89,3,0)*0.475*44/12</f>
        <v>1.1075141366436261</v>
      </c>
      <c r="CM188" s="21">
        <f>EXP(-LN(2)/2)*CM187+(1-EXP(-LN(2)/2))/(LN(2)/2)*CG188*CJ188*VLOOKUP('Données projet'!$B$12,Paramètres!$A$1:$I$89,3,0)*0.475*44/12</f>
        <v>4.1635766800574422E-18</v>
      </c>
      <c r="CN188" s="22">
        <f t="shared" si="172"/>
        <v>13.799518285217021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-1.223725121235475E-13</v>
      </c>
      <c r="CV188" s="13" t="e">
        <f t="shared" si="173"/>
        <v>#NUM!</v>
      </c>
      <c r="CW188" s="20" t="e">
        <f t="shared" si="174"/>
        <v>#NUM!</v>
      </c>
      <c r="CX188" s="57" t="e">
        <f t="shared" si="122"/>
        <v>#NUM!</v>
      </c>
      <c r="CY188" s="57">
        <f ca="1">AVERAGE(OFFSET($CX$3,0,0,'Données projet'!$E$13+1,1))-AVERAGE(OFFSET($H$3,0,0,'Données projet'!$E$13+1,1))</f>
        <v>436.59978658837537</v>
      </c>
      <c r="CZ188" s="57">
        <f t="shared" si="150"/>
        <v>267.2998309535638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45.805854158453968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45.805854158453968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-1.0818439477588981E-13</v>
      </c>
      <c r="DQ188" s="13" t="e">
        <f t="shared" si="176"/>
        <v>#NUM!</v>
      </c>
      <c r="DR188" s="20" t="e">
        <f t="shared" si="177"/>
        <v>#NUM!</v>
      </c>
      <c r="DS188" s="57" t="e">
        <f t="shared" si="125"/>
        <v>#NUM!</v>
      </c>
      <c r="DT188" s="57">
        <f ca="1">AVERAGE(OFFSET($DS$3,0,0,'Données projet'!$E$14+1,1))-AVERAGE(OFFSET($H$3,0,0,'Données projet'!$E$14+1,1))</f>
        <v>292.95981568144879</v>
      </c>
      <c r="DU188" s="57">
        <f t="shared" si="152"/>
        <v>152.23954167722536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29.409801564770202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29.409801564770202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7" t="e">
        <f t="shared" si="128"/>
        <v>#N/A</v>
      </c>
      <c r="EO188" s="57" t="e">
        <f ca="1">AVERAGE(OFFSET($EN$3,0,0,'Données projet'!$E$15+1,1))-AVERAGE(OFFSET($H$3,0,0,'Données projet'!$E$15+1,1))</f>
        <v>#N/A</v>
      </c>
      <c r="EP188" s="57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7" t="e">
        <f t="shared" si="131"/>
        <v>#N/A</v>
      </c>
      <c r="FJ188" s="57" t="e">
        <f ca="1">AVERAGE(OFFSET($FI$3,0,0,'Données projet'!$E$16+1,1))-AVERAGE(OFFSET($H$3,0,0,'Données projet'!$E$16+1,1))</f>
        <v>#N/A</v>
      </c>
      <c r="FK188" s="57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7" t="e">
        <f t="shared" si="134"/>
        <v>#N/A</v>
      </c>
      <c r="GE188" s="57" t="e">
        <f ca="1">AVERAGE(OFFSET($GD$3,0,0,'Données projet'!$E$17+1,1))-AVERAGE(OFFSET($H$3,0,0,'Données projet'!$E$17+1,1))</f>
        <v>#N/A</v>
      </c>
      <c r="GF188" s="57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7" t="e">
        <f t="shared" si="137"/>
        <v>#N/A</v>
      </c>
      <c r="GZ188" s="57" t="e">
        <f ca="1">AVERAGE(OFFSET($GY$3,0,0,'Données projet'!$E$18+1,1))-AVERAGE(OFFSET($H$3,0,0,'Données projet'!$E$18+1,1))</f>
        <v>#N/A</v>
      </c>
      <c r="HA188" s="57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1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5">
        <f t="shared" si="110"/>
        <v>256.66666666666669</v>
      </c>
      <c r="I189" s="6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7" t="e">
        <f t="shared" si="109"/>
        <v>#NUM!</v>
      </c>
      <c r="S189" s="57">
        <f ca="1">AVERAGE(OFFSET($R$3,0,0,'Données projet'!$E$9+1,1))-AVERAGE(OFFSET($H$3,0,0,'Données projet'!$E$9+1,1))</f>
        <v>373.45926089889866</v>
      </c>
      <c r="T189" s="57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37.748442017952222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37.748442017952222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-1.0818439477588981E-13</v>
      </c>
      <c r="AK189" s="13" t="e">
        <f t="shared" si="164"/>
        <v>#NUM!</v>
      </c>
      <c r="AL189" s="20" t="e">
        <f t="shared" si="165"/>
        <v>#NUM!</v>
      </c>
      <c r="AM189" s="57" t="e">
        <f t="shared" si="113"/>
        <v>#NUM!</v>
      </c>
      <c r="AN189" s="57">
        <f ca="1">AVERAGE(OFFSET($AM$3,0,0,'Données projet'!$E$10+1,1))-AVERAGE(OFFSET($H$3,0,0,'Données projet'!$E$10+1,1))</f>
        <v>390.70240761116355</v>
      </c>
      <c r="AO189" s="57">
        <f t="shared" si="144"/>
        <v>241.18285512887638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39.700947639570416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39.700947639570416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-1.0995790944434703E-13</v>
      </c>
      <c r="BF189" s="13" t="e">
        <f t="shared" si="167"/>
        <v>#NUM!</v>
      </c>
      <c r="BG189" s="20" t="e">
        <f t="shared" si="168"/>
        <v>#NUM!</v>
      </c>
      <c r="BH189" s="57" t="e">
        <f t="shared" si="116"/>
        <v>#NUM!</v>
      </c>
      <c r="BI189" s="57">
        <f ca="1">AVERAGE(OFFSET($BH$3,0,0,'Données projet'!$E$11+1,1))-AVERAGE(OFFSET($H$3,0,0,'Données projet'!$E$11+1,1))</f>
        <v>396.44612884768748</v>
      </c>
      <c r="BJ189" s="57">
        <f t="shared" si="146"/>
        <v>244.451492444461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40.35178284677648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40.35178284677648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3.4106051316484809E-13</v>
      </c>
      <c r="BZ189" s="13">
        <f>BY189*VLOOKUP('Données projet'!$B$12,Paramètres!$A$1:$I$89,3,0)*VLOOKUP('Données projet'!$B$12,Paramètres!$A$1:$I$89,5,0)</f>
        <v>2.0395418687257919E-13</v>
      </c>
      <c r="CA189" s="13">
        <f t="shared" si="170"/>
        <v>2.8200388570161721E-12</v>
      </c>
      <c r="CB189" s="20">
        <f t="shared" si="171"/>
        <v>5.2667878847729083E-12</v>
      </c>
      <c r="CC189" s="57">
        <f t="shared" si="119"/>
        <v>293.3333333333386</v>
      </c>
      <c r="CD189" s="57">
        <f ca="1">AVERAGE(OFFSET($CC$3,0,0,'Données projet'!$E$12+1,1))-AVERAGE(OFFSET($H$3,0,0,'Données projet'!$E$12+1,1))</f>
        <v>259.64096626089821</v>
      </c>
      <c r="CE189" s="57">
        <f t="shared" si="148"/>
        <v>258.1415293081597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12.443121688578005</v>
      </c>
      <c r="CL189" s="21">
        <f>EXP(-LN(2)/25)*CL188+(1-EXP(-LN(2)/25))/(LN(2)/25)*Calculateur!CG189*Calculateur!CI189*VLOOKUP('Données projet'!$B$12,Paramètres!$A$1:$I$89,3,0)*0.475*44/12</f>
        <v>1.0772291043354689</v>
      </c>
      <c r="CM189" s="21">
        <f>EXP(-LN(2)/2)*CM188+(1-EXP(-LN(2)/2))/(LN(2)/2)*CG189*CJ189*VLOOKUP('Données projet'!$B$12,Paramètres!$A$1:$I$89,3,0)*0.475*44/12</f>
        <v>2.9440933044587898E-18</v>
      </c>
      <c r="CN189" s="22">
        <f t="shared" si="172"/>
        <v>13.520350792913474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-1.223725121235475E-13</v>
      </c>
      <c r="CV189" s="13" t="e">
        <f t="shared" si="173"/>
        <v>#NUM!</v>
      </c>
      <c r="CW189" s="20" t="e">
        <f t="shared" si="174"/>
        <v>#NUM!</v>
      </c>
      <c r="CX189" s="57" t="e">
        <f t="shared" si="122"/>
        <v>#NUM!</v>
      </c>
      <c r="CY189" s="57">
        <f ca="1">AVERAGE(OFFSET($CX$3,0,0,'Données projet'!$E$13+1,1))-AVERAGE(OFFSET($H$3,0,0,'Données projet'!$E$13+1,1))</f>
        <v>436.59978658837537</v>
      </c>
      <c r="CZ189" s="57">
        <f t="shared" si="150"/>
        <v>267.2998309535638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44.907629297218996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44.907629297218996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-1.0818439477588981E-13</v>
      </c>
      <c r="DQ189" s="13" t="e">
        <f t="shared" si="176"/>
        <v>#NUM!</v>
      </c>
      <c r="DR189" s="20" t="e">
        <f t="shared" si="177"/>
        <v>#NUM!</v>
      </c>
      <c r="DS189" s="57" t="e">
        <f t="shared" si="125"/>
        <v>#NUM!</v>
      </c>
      <c r="DT189" s="57">
        <f ca="1">AVERAGE(OFFSET($DS$3,0,0,'Données projet'!$E$14+1,1))-AVERAGE(OFFSET($H$3,0,0,'Données projet'!$E$14+1,1))</f>
        <v>292.95981568144879</v>
      </c>
      <c r="DU189" s="57">
        <f t="shared" si="152"/>
        <v>152.23954167722536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28.833093294292762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28.833093294292762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7" t="e">
        <f t="shared" si="128"/>
        <v>#N/A</v>
      </c>
      <c r="EO189" s="57" t="e">
        <f ca="1">AVERAGE(OFFSET($EN$3,0,0,'Données projet'!$E$15+1,1))-AVERAGE(OFFSET($H$3,0,0,'Données projet'!$E$15+1,1))</f>
        <v>#N/A</v>
      </c>
      <c r="EP189" s="57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7" t="e">
        <f t="shared" si="131"/>
        <v>#N/A</v>
      </c>
      <c r="FJ189" s="57" t="e">
        <f ca="1">AVERAGE(OFFSET($FI$3,0,0,'Données projet'!$E$16+1,1))-AVERAGE(OFFSET($H$3,0,0,'Données projet'!$E$16+1,1))</f>
        <v>#N/A</v>
      </c>
      <c r="FK189" s="57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7" t="e">
        <f t="shared" si="134"/>
        <v>#N/A</v>
      </c>
      <c r="GE189" s="57" t="e">
        <f ca="1">AVERAGE(OFFSET($GD$3,0,0,'Données projet'!$E$17+1,1))-AVERAGE(OFFSET($H$3,0,0,'Données projet'!$E$17+1,1))</f>
        <v>#N/A</v>
      </c>
      <c r="GF189" s="57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7" t="e">
        <f t="shared" si="137"/>
        <v>#N/A</v>
      </c>
      <c r="GZ189" s="57" t="e">
        <f ca="1">AVERAGE(OFFSET($GY$3,0,0,'Données projet'!$E$18+1,1))-AVERAGE(OFFSET($H$3,0,0,'Données projet'!$E$18+1,1))</f>
        <v>#N/A</v>
      </c>
      <c r="HA189" s="57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1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5">
        <f t="shared" si="110"/>
        <v>256.66666666666669</v>
      </c>
      <c r="I190" s="6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7" t="e">
        <f t="shared" si="109"/>
        <v>#NUM!</v>
      </c>
      <c r="S190" s="57">
        <f ca="1">AVERAGE(OFFSET($R$3,0,0,'Données projet'!$E$9+1,1))-AVERAGE(OFFSET($H$3,0,0,'Données projet'!$E$9+1,1))</f>
        <v>373.45926089889866</v>
      </c>
      <c r="T190" s="57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37.00821809425635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37.00821809425635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-1.0818439477588981E-13</v>
      </c>
      <c r="AK190" s="13" t="e">
        <f t="shared" si="164"/>
        <v>#NUM!</v>
      </c>
      <c r="AL190" s="20" t="e">
        <f t="shared" si="165"/>
        <v>#NUM!</v>
      </c>
      <c r="AM190" s="57" t="e">
        <f t="shared" si="113"/>
        <v>#NUM!</v>
      </c>
      <c r="AN190" s="57">
        <f ca="1">AVERAGE(OFFSET($AM$3,0,0,'Données projet'!$E$10+1,1))-AVERAGE(OFFSET($H$3,0,0,'Données projet'!$E$10+1,1))</f>
        <v>390.70240761116355</v>
      </c>
      <c r="AO190" s="57">
        <f t="shared" si="144"/>
        <v>241.18285512887638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38.92243627154545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38.92243627154545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-1.0995790944434703E-13</v>
      </c>
      <c r="BF190" s="13" t="e">
        <f t="shared" si="167"/>
        <v>#NUM!</v>
      </c>
      <c r="BG190" s="20" t="e">
        <f t="shared" si="168"/>
        <v>#NUM!</v>
      </c>
      <c r="BH190" s="57" t="e">
        <f t="shared" si="116"/>
        <v>#NUM!</v>
      </c>
      <c r="BI190" s="57">
        <f ca="1">AVERAGE(OFFSET($BH$3,0,0,'Données projet'!$E$11+1,1))-AVERAGE(OFFSET($H$3,0,0,'Données projet'!$E$11+1,1))</f>
        <v>396.44612884768748</v>
      </c>
      <c r="BJ190" s="57">
        <f t="shared" si="146"/>
        <v>244.451492444461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39.560508997308482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39.560508997308482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3.4106051316484809E-13</v>
      </c>
      <c r="BZ190" s="13">
        <f>BY190*VLOOKUP('Données projet'!$B$12,Paramètres!$A$1:$I$89,3,0)*VLOOKUP('Données projet'!$B$12,Paramètres!$A$1:$I$89,5,0)</f>
        <v>2.0395418687257919E-13</v>
      </c>
      <c r="CA190" s="13">
        <f t="shared" si="170"/>
        <v>2.8200388570161721E-12</v>
      </c>
      <c r="CB190" s="20">
        <f t="shared" si="171"/>
        <v>5.2667878847729083E-12</v>
      </c>
      <c r="CC190" s="57">
        <f t="shared" si="119"/>
        <v>293.3333333333386</v>
      </c>
      <c r="CD190" s="57">
        <f ca="1">AVERAGE(OFFSET($CC$3,0,0,'Données projet'!$E$12+1,1))-AVERAGE(OFFSET($H$3,0,0,'Données projet'!$E$12+1,1))</f>
        <v>259.64096626089821</v>
      </c>
      <c r="CE190" s="57">
        <f t="shared" si="148"/>
        <v>258.1415293081597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12.199119661819815</v>
      </c>
      <c r="CL190" s="21">
        <f>EXP(-LN(2)/25)*CL189+(1-EXP(-LN(2)/25))/(LN(2)/25)*Calculateur!CG190*Calculateur!CI190*VLOOKUP('Données projet'!$B$12,Paramètres!$A$1:$I$89,3,0)*0.475*44/12</f>
        <v>1.047772217828399</v>
      </c>
      <c r="CM190" s="21">
        <f>EXP(-LN(2)/2)*CM189+(1-EXP(-LN(2)/2))/(LN(2)/2)*CG190*CJ190*VLOOKUP('Données projet'!$B$12,Paramètres!$A$1:$I$89,3,0)*0.475*44/12</f>
        <v>2.0817883400287211E-18</v>
      </c>
      <c r="CN190" s="22">
        <f t="shared" si="172"/>
        <v>13.246891879648214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-1.223725121235475E-13</v>
      </c>
      <c r="CV190" s="13" t="e">
        <f t="shared" si="173"/>
        <v>#NUM!</v>
      </c>
      <c r="CW190" s="20" t="e">
        <f t="shared" si="174"/>
        <v>#NUM!</v>
      </c>
      <c r="CX190" s="57" t="e">
        <f t="shared" si="122"/>
        <v>#NUM!</v>
      </c>
      <c r="CY190" s="57">
        <f ca="1">AVERAGE(OFFSET($CX$3,0,0,'Données projet'!$E$13+1,1))-AVERAGE(OFFSET($H$3,0,0,'Données projet'!$E$13+1,1))</f>
        <v>436.59978658837537</v>
      </c>
      <c r="CZ190" s="57">
        <f t="shared" si="150"/>
        <v>267.2998309535638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44.027018077649771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44.027018077649771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-1.0818439477588981E-13</v>
      </c>
      <c r="DQ190" s="13" t="e">
        <f t="shared" si="176"/>
        <v>#NUM!</v>
      </c>
      <c r="DR190" s="20" t="e">
        <f t="shared" si="177"/>
        <v>#NUM!</v>
      </c>
      <c r="DS190" s="57" t="e">
        <f t="shared" si="125"/>
        <v>#NUM!</v>
      </c>
      <c r="DT190" s="57">
        <f ca="1">AVERAGE(OFFSET($DS$3,0,0,'Données projet'!$E$14+1,1))-AVERAGE(OFFSET($H$3,0,0,'Données projet'!$E$14+1,1))</f>
        <v>292.95981568144879</v>
      </c>
      <c r="DU190" s="57">
        <f t="shared" si="152"/>
        <v>152.23954167722536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28.267693921242074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28.267693921242074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7" t="e">
        <f t="shared" si="128"/>
        <v>#N/A</v>
      </c>
      <c r="EO190" s="57" t="e">
        <f ca="1">AVERAGE(OFFSET($EN$3,0,0,'Données projet'!$E$15+1,1))-AVERAGE(OFFSET($H$3,0,0,'Données projet'!$E$15+1,1))</f>
        <v>#N/A</v>
      </c>
      <c r="EP190" s="57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7" t="e">
        <f t="shared" si="131"/>
        <v>#N/A</v>
      </c>
      <c r="FJ190" s="57" t="e">
        <f ca="1">AVERAGE(OFFSET($FI$3,0,0,'Données projet'!$E$16+1,1))-AVERAGE(OFFSET($H$3,0,0,'Données projet'!$E$16+1,1))</f>
        <v>#N/A</v>
      </c>
      <c r="FK190" s="57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7" t="e">
        <f t="shared" si="134"/>
        <v>#N/A</v>
      </c>
      <c r="GE190" s="57" t="e">
        <f ca="1">AVERAGE(OFFSET($GD$3,0,0,'Données projet'!$E$17+1,1))-AVERAGE(OFFSET($H$3,0,0,'Données projet'!$E$17+1,1))</f>
        <v>#N/A</v>
      </c>
      <c r="GF190" s="57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7" t="e">
        <f t="shared" si="137"/>
        <v>#N/A</v>
      </c>
      <c r="GZ190" s="57" t="e">
        <f ca="1">AVERAGE(OFFSET($GY$3,0,0,'Données projet'!$E$18+1,1))-AVERAGE(OFFSET($H$3,0,0,'Données projet'!$E$18+1,1))</f>
        <v>#N/A</v>
      </c>
      <c r="HA190" s="57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1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5">
        <f t="shared" si="110"/>
        <v>256.66666666666669</v>
      </c>
      <c r="I191" s="6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7" t="e">
        <f t="shared" si="109"/>
        <v>#NUM!</v>
      </c>
      <c r="S191" s="57">
        <f ca="1">AVERAGE(OFFSET($R$3,0,0,'Données projet'!$E$9+1,1))-AVERAGE(OFFSET($H$3,0,0,'Données projet'!$E$9+1,1))</f>
        <v>373.45926089889866</v>
      </c>
      <c r="T191" s="57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36.282509510212144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36.282509510212144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-1.0818439477588981E-13</v>
      </c>
      <c r="AK191" s="13" t="e">
        <f t="shared" si="164"/>
        <v>#NUM!</v>
      </c>
      <c r="AL191" s="20" t="e">
        <f t="shared" si="165"/>
        <v>#NUM!</v>
      </c>
      <c r="AM191" s="57" t="e">
        <f t="shared" si="113"/>
        <v>#NUM!</v>
      </c>
      <c r="AN191" s="57">
        <f ca="1">AVERAGE(OFFSET($AM$3,0,0,'Données projet'!$E$10+1,1))-AVERAGE(OFFSET($H$3,0,0,'Données projet'!$E$10+1,1))</f>
        <v>390.70240761116355</v>
      </c>
      <c r="AO191" s="57">
        <f t="shared" si="144"/>
        <v>241.18285512887638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38.159191036602408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38.159191036602408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-1.0995790944434703E-13</v>
      </c>
      <c r="BF191" s="13" t="e">
        <f t="shared" si="167"/>
        <v>#NUM!</v>
      </c>
      <c r="BG191" s="20" t="e">
        <f t="shared" si="168"/>
        <v>#NUM!</v>
      </c>
      <c r="BH191" s="57" t="e">
        <f t="shared" si="116"/>
        <v>#NUM!</v>
      </c>
      <c r="BI191" s="57">
        <f ca="1">AVERAGE(OFFSET($BH$3,0,0,'Données projet'!$E$11+1,1))-AVERAGE(OFFSET($H$3,0,0,'Données projet'!$E$11+1,1))</f>
        <v>396.44612884768748</v>
      </c>
      <c r="BJ191" s="57">
        <f t="shared" si="146"/>
        <v>244.451492444461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38.78475154539916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38.78475154539916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3.4106051316484809E-13</v>
      </c>
      <c r="BZ191" s="13">
        <f>BY191*VLOOKUP('Données projet'!$B$12,Paramètres!$A$1:$I$89,3,0)*VLOOKUP('Données projet'!$B$12,Paramètres!$A$1:$I$89,5,0)</f>
        <v>2.0395418687257919E-13</v>
      </c>
      <c r="CA191" s="13">
        <f t="shared" si="170"/>
        <v>2.8200388570161721E-12</v>
      </c>
      <c r="CB191" s="20">
        <f t="shared" si="171"/>
        <v>5.2667878847729083E-12</v>
      </c>
      <c r="CC191" s="57">
        <f t="shared" si="119"/>
        <v>293.3333333333386</v>
      </c>
      <c r="CD191" s="57">
        <f ca="1">AVERAGE(OFFSET($CC$3,0,0,'Données projet'!$E$12+1,1))-AVERAGE(OFFSET($H$3,0,0,'Données projet'!$E$12+1,1))</f>
        <v>259.64096626089821</v>
      </c>
      <c r="CE191" s="57">
        <f t="shared" si="148"/>
        <v>258.1415293081597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11.959902365979811</v>
      </c>
      <c r="CL191" s="21">
        <f>EXP(-LN(2)/25)*CL190+(1-EXP(-LN(2)/25))/(LN(2)/25)*Calculateur!CG191*Calculateur!CI191*VLOOKUP('Données projet'!$B$12,Paramètres!$A$1:$I$89,3,0)*0.475*44/12</f>
        <v>1.0191208314319353</v>
      </c>
      <c r="CM191" s="21">
        <f>EXP(-LN(2)/2)*CM190+(1-EXP(-LN(2)/2))/(LN(2)/2)*CG191*CJ191*VLOOKUP('Données projet'!$B$12,Paramètres!$A$1:$I$89,3,0)*0.475*44/12</f>
        <v>1.4720466522293949E-18</v>
      </c>
      <c r="CN191" s="22">
        <f t="shared" si="172"/>
        <v>12.979023197411747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-1.223725121235475E-13</v>
      </c>
      <c r="CV191" s="13" t="e">
        <f t="shared" si="173"/>
        <v>#NUM!</v>
      </c>
      <c r="CW191" s="20" t="e">
        <f t="shared" si="174"/>
        <v>#NUM!</v>
      </c>
      <c r="CX191" s="57" t="e">
        <f t="shared" si="122"/>
        <v>#NUM!</v>
      </c>
      <c r="CY191" s="57">
        <f ca="1">AVERAGE(OFFSET($CX$3,0,0,'Données projet'!$E$13+1,1))-AVERAGE(OFFSET($H$3,0,0,'Données projet'!$E$13+1,1))</f>
        <v>436.59978658837537</v>
      </c>
      <c r="CZ191" s="57">
        <f t="shared" si="150"/>
        <v>267.2998309535638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43.163675106976491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43.163675106976491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-1.0818439477588981E-13</v>
      </c>
      <c r="DQ191" s="13" t="e">
        <f t="shared" si="176"/>
        <v>#NUM!</v>
      </c>
      <c r="DR191" s="20" t="e">
        <f t="shared" si="177"/>
        <v>#NUM!</v>
      </c>
      <c r="DS191" s="57" t="e">
        <f t="shared" si="125"/>
        <v>#NUM!</v>
      </c>
      <c r="DT191" s="57">
        <f ca="1">AVERAGE(OFFSET($DS$3,0,0,'Données projet'!$E$14+1,1))-AVERAGE(OFFSET($H$3,0,0,'Données projet'!$E$14+1,1))</f>
        <v>292.95981568144879</v>
      </c>
      <c r="DU191" s="57">
        <f t="shared" si="152"/>
        <v>152.23954167722536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27.713381685037344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27.713381685037344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7" t="e">
        <f t="shared" si="128"/>
        <v>#N/A</v>
      </c>
      <c r="EO191" s="57" t="e">
        <f ca="1">AVERAGE(OFFSET($EN$3,0,0,'Données projet'!$E$15+1,1))-AVERAGE(OFFSET($H$3,0,0,'Données projet'!$E$15+1,1))</f>
        <v>#N/A</v>
      </c>
      <c r="EP191" s="57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7" t="e">
        <f t="shared" si="131"/>
        <v>#N/A</v>
      </c>
      <c r="FJ191" s="57" t="e">
        <f ca="1">AVERAGE(OFFSET($FI$3,0,0,'Données projet'!$E$16+1,1))-AVERAGE(OFFSET($H$3,0,0,'Données projet'!$E$16+1,1))</f>
        <v>#N/A</v>
      </c>
      <c r="FK191" s="57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7" t="e">
        <f t="shared" si="134"/>
        <v>#N/A</v>
      </c>
      <c r="GE191" s="57" t="e">
        <f ca="1">AVERAGE(OFFSET($GD$3,0,0,'Données projet'!$E$17+1,1))-AVERAGE(OFFSET($H$3,0,0,'Données projet'!$E$17+1,1))</f>
        <v>#N/A</v>
      </c>
      <c r="GF191" s="57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7" t="e">
        <f t="shared" si="137"/>
        <v>#N/A</v>
      </c>
      <c r="GZ191" s="57" t="e">
        <f ca="1">AVERAGE(OFFSET($GY$3,0,0,'Données projet'!$E$18+1,1))-AVERAGE(OFFSET($H$3,0,0,'Données projet'!$E$18+1,1))</f>
        <v>#N/A</v>
      </c>
      <c r="HA191" s="57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1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5">
        <f t="shared" si="110"/>
        <v>256.66666666666669</v>
      </c>
      <c r="I192" s="6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7" t="e">
        <f t="shared" si="109"/>
        <v>#NUM!</v>
      </c>
      <c r="S192" s="57">
        <f ca="1">AVERAGE(OFFSET($R$3,0,0,'Données projet'!$E$9+1,1))-AVERAGE(OFFSET($H$3,0,0,'Données projet'!$E$9+1,1))</f>
        <v>373.45926089889866</v>
      </c>
      <c r="T192" s="57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35.571031628862514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35.571031628862514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-1.0818439477588981E-13</v>
      </c>
      <c r="AK192" s="13" t="e">
        <f t="shared" si="164"/>
        <v>#NUM!</v>
      </c>
      <c r="AL192" s="20" t="e">
        <f t="shared" si="165"/>
        <v>#NUM!</v>
      </c>
      <c r="AM192" s="57" t="e">
        <f t="shared" si="113"/>
        <v>#NUM!</v>
      </c>
      <c r="AN192" s="57">
        <f ca="1">AVERAGE(OFFSET($AM$3,0,0,'Données projet'!$E$10+1,1))-AVERAGE(OFFSET($H$3,0,0,'Données projet'!$E$10+1,1))</f>
        <v>390.70240761116355</v>
      </c>
      <c r="AO192" s="57">
        <f t="shared" si="144"/>
        <v>241.18285512887638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37.410912575182969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37.410912575182969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-1.0995790944434703E-13</v>
      </c>
      <c r="BF192" s="13" t="e">
        <f t="shared" si="167"/>
        <v>#NUM!</v>
      </c>
      <c r="BG192" s="20" t="e">
        <f t="shared" si="168"/>
        <v>#NUM!</v>
      </c>
      <c r="BH192" s="57" t="e">
        <f t="shared" si="116"/>
        <v>#NUM!</v>
      </c>
      <c r="BI192" s="57">
        <f ca="1">AVERAGE(OFFSET($BH$3,0,0,'Données projet'!$E$11+1,1))-AVERAGE(OFFSET($H$3,0,0,'Données projet'!$E$11+1,1))</f>
        <v>396.44612884768748</v>
      </c>
      <c r="BJ192" s="57">
        <f t="shared" si="146"/>
        <v>244.451492444461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38.024206223956455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38.024206223956455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3.4106051316484809E-13</v>
      </c>
      <c r="BZ192" s="13">
        <f>BY192*VLOOKUP('Données projet'!$B$12,Paramètres!$A$1:$I$89,3,0)*VLOOKUP('Données projet'!$B$12,Paramètres!$A$1:$I$89,5,0)</f>
        <v>2.0395418687257919E-13</v>
      </c>
      <c r="CA192" s="13">
        <f t="shared" si="170"/>
        <v>2.8200388570161721E-12</v>
      </c>
      <c r="CB192" s="20">
        <f t="shared" si="171"/>
        <v>5.2667878847729083E-12</v>
      </c>
      <c r="CC192" s="57">
        <f t="shared" si="119"/>
        <v>293.3333333333386</v>
      </c>
      <c r="CD192" s="57">
        <f ca="1">AVERAGE(OFFSET($CC$3,0,0,'Données projet'!$E$12+1,1))-AVERAGE(OFFSET($H$3,0,0,'Données projet'!$E$12+1,1))</f>
        <v>259.64096626089821</v>
      </c>
      <c r="CE192" s="57">
        <f t="shared" si="148"/>
        <v>258.1415293081597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11.725375975403088</v>
      </c>
      <c r="CL192" s="21">
        <f>EXP(-LN(2)/25)*CL191+(1-EXP(-LN(2)/25))/(LN(2)/25)*Calculateur!CG192*Calculateur!CI192*VLOOKUP('Données projet'!$B$12,Paramètres!$A$1:$I$89,3,0)*0.475*44/12</f>
        <v>0.99125291870319376</v>
      </c>
      <c r="CM192" s="21">
        <f>EXP(-LN(2)/2)*CM191+(1-EXP(-LN(2)/2))/(LN(2)/2)*CG192*CJ192*VLOOKUP('Données projet'!$B$12,Paramètres!$A$1:$I$89,3,0)*0.475*44/12</f>
        <v>1.0408941700143605E-18</v>
      </c>
      <c r="CN192" s="22">
        <f t="shared" si="172"/>
        <v>12.716628894106282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-1.223725121235475E-13</v>
      </c>
      <c r="CV192" s="13" t="e">
        <f t="shared" si="173"/>
        <v>#NUM!</v>
      </c>
      <c r="CW192" s="20" t="e">
        <f t="shared" si="174"/>
        <v>#NUM!</v>
      </c>
      <c r="CX192" s="57" t="e">
        <f t="shared" si="122"/>
        <v>#NUM!</v>
      </c>
      <c r="CY192" s="57">
        <f ca="1">AVERAGE(OFFSET($CX$3,0,0,'Données projet'!$E$13+1,1))-AVERAGE(OFFSET($H$3,0,0,'Données projet'!$E$13+1,1))</f>
        <v>436.59978658837537</v>
      </c>
      <c r="CZ192" s="57">
        <f t="shared" si="150"/>
        <v>267.2998309535638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42.317261765370901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42.317261765370901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-1.0818439477588981E-13</v>
      </c>
      <c r="DQ192" s="13" t="e">
        <f t="shared" si="176"/>
        <v>#NUM!</v>
      </c>
      <c r="DR192" s="20" t="e">
        <f t="shared" si="177"/>
        <v>#NUM!</v>
      </c>
      <c r="DS192" s="57" t="e">
        <f t="shared" si="125"/>
        <v>#NUM!</v>
      </c>
      <c r="DT192" s="57">
        <f ca="1">AVERAGE(OFFSET($DS$3,0,0,'Données projet'!$E$14+1,1))-AVERAGE(OFFSET($H$3,0,0,'Données projet'!$E$14+1,1))</f>
        <v>292.95981568144879</v>
      </c>
      <c r="DU192" s="57">
        <f t="shared" si="152"/>
        <v>152.23954167722536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27.16993917368751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27.16993917368751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7" t="e">
        <f t="shared" si="128"/>
        <v>#N/A</v>
      </c>
      <c r="EO192" s="57" t="e">
        <f ca="1">AVERAGE(OFFSET($EN$3,0,0,'Données projet'!$E$15+1,1))-AVERAGE(OFFSET($H$3,0,0,'Données projet'!$E$15+1,1))</f>
        <v>#N/A</v>
      </c>
      <c r="EP192" s="57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7" t="e">
        <f t="shared" si="131"/>
        <v>#N/A</v>
      </c>
      <c r="FJ192" s="57" t="e">
        <f ca="1">AVERAGE(OFFSET($FI$3,0,0,'Données projet'!$E$16+1,1))-AVERAGE(OFFSET($H$3,0,0,'Données projet'!$E$16+1,1))</f>
        <v>#N/A</v>
      </c>
      <c r="FK192" s="57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7" t="e">
        <f t="shared" si="134"/>
        <v>#N/A</v>
      </c>
      <c r="GE192" s="57" t="e">
        <f ca="1">AVERAGE(OFFSET($GD$3,0,0,'Données projet'!$E$17+1,1))-AVERAGE(OFFSET($H$3,0,0,'Données projet'!$E$17+1,1))</f>
        <v>#N/A</v>
      </c>
      <c r="GF192" s="57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7" t="e">
        <f t="shared" si="137"/>
        <v>#N/A</v>
      </c>
      <c r="GZ192" s="57" t="e">
        <f ca="1">AVERAGE(OFFSET($GY$3,0,0,'Données projet'!$E$18+1,1))-AVERAGE(OFFSET($H$3,0,0,'Données projet'!$E$18+1,1))</f>
        <v>#N/A</v>
      </c>
      <c r="HA192" s="57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1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5">
        <f t="shared" si="110"/>
        <v>256.66666666666669</v>
      </c>
      <c r="I193" s="6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7" t="e">
        <f t="shared" si="109"/>
        <v>#NUM!</v>
      </c>
      <c r="S193" s="57">
        <f ca="1">AVERAGE(OFFSET($R$3,0,0,'Données projet'!$E$9+1,1))-AVERAGE(OFFSET($H$3,0,0,'Données projet'!$E$9+1,1))</f>
        <v>373.45926089889866</v>
      </c>
      <c r="T193" s="57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34.873505394807495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34.873505394807495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-1.0818439477588981E-13</v>
      </c>
      <c r="AK193" s="13" t="e">
        <f t="shared" si="164"/>
        <v>#NUM!</v>
      </c>
      <c r="AL193" s="20" t="e">
        <f t="shared" si="165"/>
        <v>#NUM!</v>
      </c>
      <c r="AM193" s="57" t="e">
        <f t="shared" si="113"/>
        <v>#NUM!</v>
      </c>
      <c r="AN193" s="57">
        <f ca="1">AVERAGE(OFFSET($AM$3,0,0,'Données projet'!$E$10+1,1))-AVERAGE(OFFSET($H$3,0,0,'Données projet'!$E$10+1,1))</f>
        <v>390.70240761116355</v>
      </c>
      <c r="AO193" s="57">
        <f t="shared" si="144"/>
        <v>241.18285512887638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36.677307397987171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36.677307397987171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-1.0995790944434703E-13</v>
      </c>
      <c r="BF193" s="13" t="e">
        <f t="shared" si="167"/>
        <v>#NUM!</v>
      </c>
      <c r="BG193" s="20" t="e">
        <f t="shared" si="168"/>
        <v>#NUM!</v>
      </c>
      <c r="BH193" s="57" t="e">
        <f t="shared" si="116"/>
        <v>#NUM!</v>
      </c>
      <c r="BI193" s="57">
        <f ca="1">AVERAGE(OFFSET($BH$3,0,0,'Données projet'!$E$11+1,1))-AVERAGE(OFFSET($H$3,0,0,'Données projet'!$E$11+1,1))</f>
        <v>396.44612884768748</v>
      </c>
      <c r="BJ193" s="57">
        <f t="shared" si="146"/>
        <v>244.451492444461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37.278574732380399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37.278574732380399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3.4106051316484809E-13</v>
      </c>
      <c r="BZ193" s="13">
        <f>BY193*VLOOKUP('Données projet'!$B$12,Paramètres!$A$1:$I$89,3,0)*VLOOKUP('Données projet'!$B$12,Paramètres!$A$1:$I$89,5,0)</f>
        <v>2.0395418687257919E-13</v>
      </c>
      <c r="CA193" s="13">
        <f t="shared" si="170"/>
        <v>2.8200388570161721E-12</v>
      </c>
      <c r="CB193" s="20">
        <f t="shared" si="171"/>
        <v>5.2667878847729083E-12</v>
      </c>
      <c r="CC193" s="57">
        <f t="shared" si="119"/>
        <v>293.3333333333386</v>
      </c>
      <c r="CD193" s="57">
        <f ca="1">AVERAGE(OFFSET($CC$3,0,0,'Données projet'!$E$12+1,1))-AVERAGE(OFFSET($H$3,0,0,'Données projet'!$E$12+1,1))</f>
        <v>259.64096626089821</v>
      </c>
      <c r="CE193" s="57">
        <f t="shared" si="148"/>
        <v>258.1415293081597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11.495448504298599</v>
      </c>
      <c r="CL193" s="21">
        <f>EXP(-LN(2)/25)*CL192+(1-EXP(-LN(2)/25))/(LN(2)/25)*Calculateur!CG193*Calculateur!CI193*VLOOKUP('Données projet'!$B$12,Paramètres!$A$1:$I$89,3,0)*0.475*44/12</f>
        <v>0.96414705551352953</v>
      </c>
      <c r="CM193" s="21">
        <f>EXP(-LN(2)/2)*CM192+(1-EXP(-LN(2)/2))/(LN(2)/2)*CG193*CJ193*VLOOKUP('Données projet'!$B$12,Paramètres!$A$1:$I$89,3,0)*0.475*44/12</f>
        <v>7.3602332611469744E-19</v>
      </c>
      <c r="CN193" s="22">
        <f t="shared" si="172"/>
        <v>12.459595559812129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-1.223725121235475E-13</v>
      </c>
      <c r="CV193" s="13" t="e">
        <f t="shared" si="173"/>
        <v>#NUM!</v>
      </c>
      <c r="CW193" s="20" t="e">
        <f t="shared" si="174"/>
        <v>#NUM!</v>
      </c>
      <c r="CX193" s="57" t="e">
        <f t="shared" si="122"/>
        <v>#NUM!</v>
      </c>
      <c r="CY193" s="57">
        <f ca="1">AVERAGE(OFFSET($CX$3,0,0,'Données projet'!$E$13+1,1))-AVERAGE(OFFSET($H$3,0,0,'Données projet'!$E$13+1,1))</f>
        <v>436.59978658837537</v>
      </c>
      <c r="CZ193" s="57">
        <f t="shared" si="150"/>
        <v>267.2998309535638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41.487446073133029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41.487446073133029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-1.0818439477588981E-13</v>
      </c>
      <c r="DQ193" s="13" t="e">
        <f t="shared" si="176"/>
        <v>#NUM!</v>
      </c>
      <c r="DR193" s="20" t="e">
        <f t="shared" si="177"/>
        <v>#NUM!</v>
      </c>
      <c r="DS193" s="57" t="e">
        <f t="shared" si="125"/>
        <v>#NUM!</v>
      </c>
      <c r="DT193" s="57">
        <f ca="1">AVERAGE(OFFSET($DS$3,0,0,'Données projet'!$E$14+1,1))-AVERAGE(OFFSET($H$3,0,0,'Données projet'!$E$14+1,1))</f>
        <v>292.95981568144879</v>
      </c>
      <c r="DU193" s="57">
        <f t="shared" si="152"/>
        <v>152.23954167722536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26.637153238518042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26.637153238518042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7" t="e">
        <f t="shared" si="128"/>
        <v>#N/A</v>
      </c>
      <c r="EO193" s="57" t="e">
        <f ca="1">AVERAGE(OFFSET($EN$3,0,0,'Données projet'!$E$15+1,1))-AVERAGE(OFFSET($H$3,0,0,'Données projet'!$E$15+1,1))</f>
        <v>#N/A</v>
      </c>
      <c r="EP193" s="57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7" t="e">
        <f t="shared" si="131"/>
        <v>#N/A</v>
      </c>
      <c r="FJ193" s="57" t="e">
        <f ca="1">AVERAGE(OFFSET($FI$3,0,0,'Données projet'!$E$16+1,1))-AVERAGE(OFFSET($H$3,0,0,'Données projet'!$E$16+1,1))</f>
        <v>#N/A</v>
      </c>
      <c r="FK193" s="57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7" t="e">
        <f t="shared" si="134"/>
        <v>#N/A</v>
      </c>
      <c r="GE193" s="57" t="e">
        <f ca="1">AVERAGE(OFFSET($GD$3,0,0,'Données projet'!$E$17+1,1))-AVERAGE(OFFSET($H$3,0,0,'Données projet'!$E$17+1,1))</f>
        <v>#N/A</v>
      </c>
      <c r="GF193" s="57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7" t="e">
        <f t="shared" si="137"/>
        <v>#N/A</v>
      </c>
      <c r="GZ193" s="57" t="e">
        <f ca="1">AVERAGE(OFFSET($GY$3,0,0,'Données projet'!$E$18+1,1))-AVERAGE(OFFSET($H$3,0,0,'Données projet'!$E$18+1,1))</f>
        <v>#N/A</v>
      </c>
      <c r="HA193" s="57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1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5">
        <f t="shared" si="110"/>
        <v>256.66666666666669</v>
      </c>
      <c r="I194" s="6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7" t="e">
        <f t="shared" si="109"/>
        <v>#NUM!</v>
      </c>
      <c r="S194" s="57">
        <f ca="1">AVERAGE(OFFSET($R$3,0,0,'Données projet'!$E$9+1,1))-AVERAGE(OFFSET($H$3,0,0,'Données projet'!$E$9+1,1))</f>
        <v>373.45926089889866</v>
      </c>
      <c r="T194" s="57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34.189657224753297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34.189657224753297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-1.0818439477588981E-13</v>
      </c>
      <c r="AK194" s="13" t="e">
        <f t="shared" si="164"/>
        <v>#NUM!</v>
      </c>
      <c r="AL194" s="20" t="e">
        <f t="shared" si="165"/>
        <v>#NUM!</v>
      </c>
      <c r="AM194" s="57" t="e">
        <f t="shared" si="113"/>
        <v>#NUM!</v>
      </c>
      <c r="AN194" s="57">
        <f ca="1">AVERAGE(OFFSET($AM$3,0,0,'Données projet'!$E$10+1,1))-AVERAGE(OFFSET($H$3,0,0,'Données projet'!$E$10+1,1))</f>
        <v>390.70240761116355</v>
      </c>
      <c r="AO194" s="57">
        <f t="shared" si="144"/>
        <v>241.18285512887638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35.958087770861205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35.958087770861205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-1.0995790944434703E-13</v>
      </c>
      <c r="BF194" s="13" t="e">
        <f t="shared" si="167"/>
        <v>#NUM!</v>
      </c>
      <c r="BG194" s="20" t="e">
        <f t="shared" si="168"/>
        <v>#NUM!</v>
      </c>
      <c r="BH194" s="57" t="e">
        <f t="shared" si="116"/>
        <v>#NUM!</v>
      </c>
      <c r="BI194" s="57">
        <f ca="1">AVERAGE(OFFSET($BH$3,0,0,'Données projet'!$E$11+1,1))-AVERAGE(OFFSET($H$3,0,0,'Données projet'!$E$11+1,1))</f>
        <v>396.44612884768748</v>
      </c>
      <c r="BJ194" s="57">
        <f t="shared" si="146"/>
        <v>244.451492444461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36.547564619563843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36.547564619563843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3.4106051316484809E-13</v>
      </c>
      <c r="BZ194" s="13">
        <f>BY194*VLOOKUP('Données projet'!$B$12,Paramètres!$A$1:$I$89,3,0)*VLOOKUP('Données projet'!$B$12,Paramètres!$A$1:$I$89,5,0)</f>
        <v>2.0395418687257919E-13</v>
      </c>
      <c r="CA194" s="13">
        <f t="shared" si="170"/>
        <v>2.8200388570161721E-12</v>
      </c>
      <c r="CB194" s="20">
        <f t="shared" si="171"/>
        <v>5.2667878847729083E-12</v>
      </c>
      <c r="CC194" s="57">
        <f t="shared" si="119"/>
        <v>293.3333333333386</v>
      </c>
      <c r="CD194" s="57">
        <f ca="1">AVERAGE(OFFSET($CC$3,0,0,'Données projet'!$E$12+1,1))-AVERAGE(OFFSET($H$3,0,0,'Données projet'!$E$12+1,1))</f>
        <v>259.64096626089821</v>
      </c>
      <c r="CE194" s="57">
        <f t="shared" si="148"/>
        <v>258.1415293081597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11.27002977066056</v>
      </c>
      <c r="CL194" s="21">
        <f>EXP(-LN(2)/25)*CL193+(1-EXP(-LN(2)/25))/(LN(2)/25)*Calculateur!CG194*Calculateur!CI194*VLOOKUP('Données projet'!$B$12,Paramètres!$A$1:$I$89,3,0)*0.475*44/12</f>
        <v>0.93778240357822196</v>
      </c>
      <c r="CM194" s="21">
        <f>EXP(-LN(2)/2)*CM193+(1-EXP(-LN(2)/2))/(LN(2)/2)*CG194*CJ194*VLOOKUP('Données projet'!$B$12,Paramètres!$A$1:$I$89,3,0)*0.475*44/12</f>
        <v>5.2044708500718027E-19</v>
      </c>
      <c r="CN194" s="22">
        <f t="shared" si="172"/>
        <v>12.207812174238782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-1.223725121235475E-13</v>
      </c>
      <c r="CV194" s="13" t="e">
        <f t="shared" si="173"/>
        <v>#NUM!</v>
      </c>
      <c r="CW194" s="20" t="e">
        <f t="shared" si="174"/>
        <v>#NUM!</v>
      </c>
      <c r="CX194" s="57" t="e">
        <f t="shared" si="122"/>
        <v>#NUM!</v>
      </c>
      <c r="CY194" s="57">
        <f ca="1">AVERAGE(OFFSET($CX$3,0,0,'Données projet'!$E$13+1,1))-AVERAGE(OFFSET($H$3,0,0,'Données projet'!$E$13+1,1))</f>
        <v>436.59978658837537</v>
      </c>
      <c r="CZ194" s="57">
        <f t="shared" si="150"/>
        <v>267.2998309535638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40.673902560482347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40.673902560482347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-1.0818439477588981E-13</v>
      </c>
      <c r="DQ194" s="13" t="e">
        <f t="shared" si="176"/>
        <v>#NUM!</v>
      </c>
      <c r="DR194" s="20" t="e">
        <f t="shared" si="177"/>
        <v>#NUM!</v>
      </c>
      <c r="DS194" s="57" t="e">
        <f t="shared" si="125"/>
        <v>#NUM!</v>
      </c>
      <c r="DT194" s="57">
        <f ca="1">AVERAGE(OFFSET($DS$3,0,0,'Données projet'!$E$14+1,1))-AVERAGE(OFFSET($H$3,0,0,'Données projet'!$E$14+1,1))</f>
        <v>292.95981568144879</v>
      </c>
      <c r="DU194" s="57">
        <f t="shared" si="152"/>
        <v>152.23954167722536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26.114814910569915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26.114814910569915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7" t="e">
        <f t="shared" si="128"/>
        <v>#N/A</v>
      </c>
      <c r="EO194" s="57" t="e">
        <f ca="1">AVERAGE(OFFSET($EN$3,0,0,'Données projet'!$E$15+1,1))-AVERAGE(OFFSET($H$3,0,0,'Données projet'!$E$15+1,1))</f>
        <v>#N/A</v>
      </c>
      <c r="EP194" s="57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7" t="e">
        <f t="shared" si="131"/>
        <v>#N/A</v>
      </c>
      <c r="FJ194" s="57" t="e">
        <f ca="1">AVERAGE(OFFSET($FI$3,0,0,'Données projet'!$E$16+1,1))-AVERAGE(OFFSET($H$3,0,0,'Données projet'!$E$16+1,1))</f>
        <v>#N/A</v>
      </c>
      <c r="FK194" s="57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7" t="e">
        <f t="shared" si="134"/>
        <v>#N/A</v>
      </c>
      <c r="GE194" s="57" t="e">
        <f ca="1">AVERAGE(OFFSET($GD$3,0,0,'Données projet'!$E$17+1,1))-AVERAGE(OFFSET($H$3,0,0,'Données projet'!$E$17+1,1))</f>
        <v>#N/A</v>
      </c>
      <c r="GF194" s="57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7" t="e">
        <f t="shared" si="137"/>
        <v>#N/A</v>
      </c>
      <c r="GZ194" s="57" t="e">
        <f ca="1">AVERAGE(OFFSET($GY$3,0,0,'Données projet'!$E$18+1,1))-AVERAGE(OFFSET($H$3,0,0,'Données projet'!$E$18+1,1))</f>
        <v>#N/A</v>
      </c>
      <c r="HA194" s="57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1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5">
        <f t="shared" si="110"/>
        <v>256.66666666666669</v>
      </c>
      <c r="I195" s="6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7" t="e">
        <f t="shared" ref="R195:R203" si="191">Q195+(I195+J195)*44/12</f>
        <v>#NUM!</v>
      </c>
      <c r="S195" s="57">
        <f ca="1">AVERAGE(OFFSET($R$3,0,0,'Données projet'!$E$9+1,1))-AVERAGE(OFFSET($H$3,0,0,'Données projet'!$E$9+1,1))</f>
        <v>373.45926089889866</v>
      </c>
      <c r="T195" s="57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33.519218900207669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33.519218900207669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-1.0818439477588981E-13</v>
      </c>
      <c r="AK195" s="13" t="e">
        <f t="shared" si="164"/>
        <v>#NUM!</v>
      </c>
      <c r="AL195" s="20" t="e">
        <f t="shared" si="165"/>
        <v>#NUM!</v>
      </c>
      <c r="AM195" s="57" t="e">
        <f t="shared" si="113"/>
        <v>#NUM!</v>
      </c>
      <c r="AN195" s="57">
        <f ca="1">AVERAGE(OFFSET($AM$3,0,0,'Données projet'!$E$10+1,1))-AVERAGE(OFFSET($H$3,0,0,'Données projet'!$E$10+1,1))</f>
        <v>390.70240761116355</v>
      </c>
      <c r="AO195" s="57">
        <f t="shared" si="144"/>
        <v>241.18285512887638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35.252971601942527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35.252971601942527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-1.0995790944434703E-13</v>
      </c>
      <c r="BF195" s="13" t="e">
        <f t="shared" si="167"/>
        <v>#NUM!</v>
      </c>
      <c r="BG195" s="20" t="e">
        <f t="shared" si="168"/>
        <v>#NUM!</v>
      </c>
      <c r="BH195" s="57" t="e">
        <f t="shared" si="116"/>
        <v>#NUM!</v>
      </c>
      <c r="BI195" s="57">
        <f ca="1">AVERAGE(OFFSET($BH$3,0,0,'Données projet'!$E$11+1,1))-AVERAGE(OFFSET($H$3,0,0,'Données projet'!$E$11+1,1))</f>
        <v>396.44612884768748</v>
      </c>
      <c r="BJ195" s="57">
        <f t="shared" si="146"/>
        <v>244.451492444461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35.830889169187479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35.830889169187479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3.4106051316484809E-13</v>
      </c>
      <c r="BZ195" s="13">
        <f>BY195*VLOOKUP('Données projet'!$B$12,Paramètres!$A$1:$I$89,3,0)*VLOOKUP('Données projet'!$B$12,Paramètres!$A$1:$I$89,5,0)</f>
        <v>2.0395418687257919E-13</v>
      </c>
      <c r="CA195" s="13">
        <f t="shared" si="170"/>
        <v>2.8200388570161721E-12</v>
      </c>
      <c r="CB195" s="20">
        <f t="shared" si="171"/>
        <v>5.2667878847729083E-12</v>
      </c>
      <c r="CC195" s="57">
        <f t="shared" si="119"/>
        <v>293.3333333333386</v>
      </c>
      <c r="CD195" s="57">
        <f ca="1">AVERAGE(OFFSET($CC$3,0,0,'Données projet'!$E$12+1,1))-AVERAGE(OFFSET($H$3,0,0,'Données projet'!$E$12+1,1))</f>
        <v>259.64096626089821</v>
      </c>
      <c r="CE195" s="57">
        <f t="shared" si="148"/>
        <v>258.1415293081597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11.049031360897311</v>
      </c>
      <c r="CL195" s="21">
        <f>EXP(-LN(2)/25)*CL194+(1-EXP(-LN(2)/25))/(LN(2)/25)*Calculateur!CG195*Calculateur!CI195*VLOOKUP('Données projet'!$B$12,Paramètres!$A$1:$I$89,3,0)*0.475*44/12</f>
        <v>0.91213869443654216</v>
      </c>
      <c r="CM195" s="21">
        <f>EXP(-LN(2)/2)*CM194+(1-EXP(-LN(2)/2))/(LN(2)/2)*CG195*CJ195*VLOOKUP('Données projet'!$B$12,Paramètres!$A$1:$I$89,3,0)*0.475*44/12</f>
        <v>3.6801166305734872E-19</v>
      </c>
      <c r="CN195" s="22">
        <f t="shared" si="172"/>
        <v>11.961170055333854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-1.223725121235475E-13</v>
      </c>
      <c r="CV195" s="13" t="e">
        <f t="shared" si="173"/>
        <v>#NUM!</v>
      </c>
      <c r="CW195" s="20" t="e">
        <f t="shared" si="174"/>
        <v>#NUM!</v>
      </c>
      <c r="CX195" s="57" t="e">
        <f t="shared" si="122"/>
        <v>#NUM!</v>
      </c>
      <c r="CY195" s="57">
        <f ca="1">AVERAGE(OFFSET($CX$3,0,0,'Données projet'!$E$13+1,1))-AVERAGE(OFFSET($H$3,0,0,'Données projet'!$E$13+1,1))</f>
        <v>436.59978658837537</v>
      </c>
      <c r="CZ195" s="57">
        <f t="shared" si="150"/>
        <v>267.2998309535638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39.876312139902204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39.876312139902204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-1.0818439477588981E-13</v>
      </c>
      <c r="DQ195" s="13" t="e">
        <f t="shared" si="176"/>
        <v>#NUM!</v>
      </c>
      <c r="DR195" s="20" t="e">
        <f t="shared" si="177"/>
        <v>#NUM!</v>
      </c>
      <c r="DS195" s="57" t="e">
        <f t="shared" si="125"/>
        <v>#NUM!</v>
      </c>
      <c r="DT195" s="57">
        <f ca="1">AVERAGE(OFFSET($DS$3,0,0,'Données projet'!$E$14+1,1))-AVERAGE(OFFSET($H$3,0,0,'Données projet'!$E$14+1,1))</f>
        <v>292.95981568144879</v>
      </c>
      <c r="DU195" s="57">
        <f t="shared" si="152"/>
        <v>152.23954167722536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25.602719318637931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25.602719318637931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7" t="e">
        <f t="shared" si="128"/>
        <v>#N/A</v>
      </c>
      <c r="EO195" s="57" t="e">
        <f ca="1">AVERAGE(OFFSET($EN$3,0,0,'Données projet'!$E$15+1,1))-AVERAGE(OFFSET($H$3,0,0,'Données projet'!$E$15+1,1))</f>
        <v>#N/A</v>
      </c>
      <c r="EP195" s="57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7" t="e">
        <f t="shared" si="131"/>
        <v>#N/A</v>
      </c>
      <c r="FJ195" s="57" t="e">
        <f ca="1">AVERAGE(OFFSET($FI$3,0,0,'Données projet'!$E$16+1,1))-AVERAGE(OFFSET($H$3,0,0,'Données projet'!$E$16+1,1))</f>
        <v>#N/A</v>
      </c>
      <c r="FK195" s="57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7" t="e">
        <f t="shared" si="134"/>
        <v>#N/A</v>
      </c>
      <c r="GE195" s="57" t="e">
        <f ca="1">AVERAGE(OFFSET($GD$3,0,0,'Données projet'!$E$17+1,1))-AVERAGE(OFFSET($H$3,0,0,'Données projet'!$E$17+1,1))</f>
        <v>#N/A</v>
      </c>
      <c r="GF195" s="57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7" t="e">
        <f t="shared" si="137"/>
        <v>#N/A</v>
      </c>
      <c r="GZ195" s="57" t="e">
        <f ca="1">AVERAGE(OFFSET($GY$3,0,0,'Données projet'!$E$18+1,1))-AVERAGE(OFFSET($H$3,0,0,'Données projet'!$E$18+1,1))</f>
        <v>#N/A</v>
      </c>
      <c r="HA195" s="57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1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5">
        <f t="shared" ref="H196:H203" si="192">(B196+E196+F196)*44/12+(C196+D196)*0.475*44/12</f>
        <v>256.66666666666669</v>
      </c>
      <c r="I196" s="6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7" t="e">
        <f t="shared" si="191"/>
        <v>#NUM!</v>
      </c>
      <c r="S196" s="57">
        <f ca="1">AVERAGE(OFFSET($R$3,0,0,'Données projet'!$E$9+1,1))-AVERAGE(OFFSET($H$3,0,0,'Données projet'!$E$9+1,1))</f>
        <v>373.45926089889866</v>
      </c>
      <c r="T196" s="57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32.861927462279375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32.861927462279375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-1.0818439477588981E-13</v>
      </c>
      <c r="AK196" s="13" t="e">
        <f t="shared" si="164"/>
        <v>#NUM!</v>
      </c>
      <c r="AL196" s="20" t="e">
        <f t="shared" si="165"/>
        <v>#NUM!</v>
      </c>
      <c r="AM196" s="57" t="e">
        <f t="shared" ref="AM196:AM203" si="193">AL196+(AD196+AE196)*44/12</f>
        <v>#NUM!</v>
      </c>
      <c r="AN196" s="57">
        <f ca="1">AVERAGE(OFFSET($AM$3,0,0,'Données projet'!$E$10+1,1))-AVERAGE(OFFSET($H$3,0,0,'Données projet'!$E$10+1,1))</f>
        <v>390.70240761116355</v>
      </c>
      <c r="AO196" s="57">
        <f t="shared" si="144"/>
        <v>241.18285512887638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34.561682331017948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34.561682331017948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-1.0995790944434703E-13</v>
      </c>
      <c r="BF196" s="13" t="e">
        <f t="shared" si="167"/>
        <v>#NUM!</v>
      </c>
      <c r="BG196" s="20" t="e">
        <f t="shared" si="168"/>
        <v>#NUM!</v>
      </c>
      <c r="BH196" s="57" t="e">
        <f t="shared" ref="BH196:BH203" si="194">BG196+(AY196+AZ196)*44/12</f>
        <v>#NUM!</v>
      </c>
      <c r="BI196" s="57">
        <f ca="1">AVERAGE(OFFSET($BH$3,0,0,'Données projet'!$E$11+1,1))-AVERAGE(OFFSET($H$3,0,0,'Données projet'!$E$11+1,1))</f>
        <v>396.44612884768748</v>
      </c>
      <c r="BJ196" s="57">
        <f t="shared" si="146"/>
        <v>244.451492444461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35.128267287264137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35.128267287264137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3.4106051316484809E-13</v>
      </c>
      <c r="BZ196" s="13">
        <f>BY196*VLOOKUP('Données projet'!$B$12,Paramètres!$A$1:$I$89,3,0)*VLOOKUP('Données projet'!$B$12,Paramètres!$A$1:$I$89,5,0)</f>
        <v>2.0395418687257919E-13</v>
      </c>
      <c r="CA196" s="13">
        <f t="shared" si="170"/>
        <v>2.8200388570161721E-12</v>
      </c>
      <c r="CB196" s="20">
        <f t="shared" si="171"/>
        <v>5.2667878847729083E-12</v>
      </c>
      <c r="CC196" s="57">
        <f t="shared" ref="CC196:CC203" si="195">CB196+(BT196+BU196)*44/12</f>
        <v>293.3333333333386</v>
      </c>
      <c r="CD196" s="57">
        <f ca="1">AVERAGE(OFFSET($CC$3,0,0,'Données projet'!$E$12+1,1))-AVERAGE(OFFSET($H$3,0,0,'Données projet'!$E$12+1,1))</f>
        <v>259.64096626089821</v>
      </c>
      <c r="CE196" s="57">
        <f t="shared" si="148"/>
        <v>258.1415293081597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10.8323665951538</v>
      </c>
      <c r="CL196" s="21">
        <f>EXP(-LN(2)/25)*CL195+(1-EXP(-LN(2)/25))/(LN(2)/25)*Calculateur!CG196*Calculateur!CI196*VLOOKUP('Données projet'!$B$12,Paramètres!$A$1:$I$89,3,0)*0.475*44/12</f>
        <v>0.88719621386988567</v>
      </c>
      <c r="CM196" s="21">
        <f>EXP(-LN(2)/2)*CM195+(1-EXP(-LN(2)/2))/(LN(2)/2)*CG196*CJ196*VLOOKUP('Données projet'!$B$12,Paramètres!$A$1:$I$89,3,0)*0.475*44/12</f>
        <v>2.6022354250359013E-19</v>
      </c>
      <c r="CN196" s="22">
        <f t="shared" si="172"/>
        <v>11.719562809023685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-1.223725121235475E-13</v>
      </c>
      <c r="CV196" s="13" t="e">
        <f t="shared" si="173"/>
        <v>#NUM!</v>
      </c>
      <c r="CW196" s="20" t="e">
        <f t="shared" si="174"/>
        <v>#NUM!</v>
      </c>
      <c r="CX196" s="57" t="e">
        <f t="shared" ref="CX196:CX203" si="196">CW196+(CO196+CP196)*44/12</f>
        <v>#NUM!</v>
      </c>
      <c r="CY196" s="57">
        <f ca="1">AVERAGE(OFFSET($CX$3,0,0,'Données projet'!$E$13+1,1))-AVERAGE(OFFSET($H$3,0,0,'Données projet'!$E$13+1,1))</f>
        <v>436.59978658837537</v>
      </c>
      <c r="CZ196" s="57">
        <f t="shared" si="150"/>
        <v>267.2998309535638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39.094361980987514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39.094361980987514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-1.0818439477588981E-13</v>
      </c>
      <c r="DQ196" s="13" t="e">
        <f t="shared" si="176"/>
        <v>#NUM!</v>
      </c>
      <c r="DR196" s="20" t="e">
        <f t="shared" si="177"/>
        <v>#NUM!</v>
      </c>
      <c r="DS196" s="57" t="e">
        <f t="shared" ref="DS196:DS203" si="197">DR196+(DJ196+DK196)*44/12</f>
        <v>#NUM!</v>
      </c>
      <c r="DT196" s="57">
        <f ca="1">AVERAGE(OFFSET($DS$3,0,0,'Données projet'!$E$14+1,1))-AVERAGE(OFFSET($H$3,0,0,'Données projet'!$E$14+1,1))</f>
        <v>292.95981568144879</v>
      </c>
      <c r="DU196" s="57">
        <f t="shared" si="152"/>
        <v>152.23954167722536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25.100665608916263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25.100665608916263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7" t="e">
        <f t="shared" ref="EN196:EN203" si="198">EM196+(EE196+EF196)*44/12</f>
        <v>#N/A</v>
      </c>
      <c r="EO196" s="57" t="e">
        <f ca="1">AVERAGE(OFFSET($EN$3,0,0,'Données projet'!$E$15+1,1))-AVERAGE(OFFSET($H$3,0,0,'Données projet'!$E$15+1,1))</f>
        <v>#N/A</v>
      </c>
      <c r="EP196" s="57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7" t="e">
        <f t="shared" ref="FI196:FI203" si="199">FH196+(EZ196+FA196)*44/12</f>
        <v>#N/A</v>
      </c>
      <c r="FJ196" s="57" t="e">
        <f ca="1">AVERAGE(OFFSET($FI$3,0,0,'Données projet'!$E$16+1,1))-AVERAGE(OFFSET($H$3,0,0,'Données projet'!$E$16+1,1))</f>
        <v>#N/A</v>
      </c>
      <c r="FK196" s="57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7" t="e">
        <f t="shared" ref="GD196:GD203" si="200">GC196+(FU196+FV196)*44/12</f>
        <v>#N/A</v>
      </c>
      <c r="GE196" s="57" t="e">
        <f ca="1">AVERAGE(OFFSET($GD$3,0,0,'Données projet'!$E$17+1,1))-AVERAGE(OFFSET($H$3,0,0,'Données projet'!$E$17+1,1))</f>
        <v>#N/A</v>
      </c>
      <c r="GF196" s="57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7" t="e">
        <f t="shared" ref="GY196:GY203" si="201">GX196+(GP196+GQ196)*44/12</f>
        <v>#N/A</v>
      </c>
      <c r="GZ196" s="57" t="e">
        <f ca="1">AVERAGE(OFFSET($GY$3,0,0,'Données projet'!$E$18+1,1))-AVERAGE(OFFSET($H$3,0,0,'Données projet'!$E$18+1,1))</f>
        <v>#N/A</v>
      </c>
      <c r="HA196" s="57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1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5">
        <f t="shared" si="192"/>
        <v>256.66666666666669</v>
      </c>
      <c r="I197" s="6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7" t="e">
        <f t="shared" si="191"/>
        <v>#NUM!</v>
      </c>
      <c r="S197" s="57">
        <f ca="1">AVERAGE(OFFSET($R$3,0,0,'Données projet'!$E$9+1,1))-AVERAGE(OFFSET($H$3,0,0,'Données projet'!$E$9+1,1))</f>
        <v>373.45926089889866</v>
      </c>
      <c r="T197" s="57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32.21752510854067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32.21752510854067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-1.0818439477588981E-13</v>
      </c>
      <c r="AK197" s="13" t="e">
        <f t="shared" si="164"/>
        <v>#NUM!</v>
      </c>
      <c r="AL197" s="20" t="e">
        <f t="shared" si="165"/>
        <v>#NUM!</v>
      </c>
      <c r="AM197" s="57" t="e">
        <f t="shared" si="193"/>
        <v>#NUM!</v>
      </c>
      <c r="AN197" s="57">
        <f ca="1">AVERAGE(OFFSET($AM$3,0,0,'Données projet'!$E$10+1,1))-AVERAGE(OFFSET($H$3,0,0,'Données projet'!$E$10+1,1))</f>
        <v>390.70240761116355</v>
      </c>
      <c r="AO197" s="57">
        <f t="shared" ref="AO197:AO203" si="205">$AO$3</f>
        <v>241.18285512887638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33.883948821051376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33.883948821051376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-1.0995790944434703E-13</v>
      </c>
      <c r="BF197" s="13" t="e">
        <f t="shared" si="167"/>
        <v>#NUM!</v>
      </c>
      <c r="BG197" s="20" t="e">
        <f t="shared" si="168"/>
        <v>#NUM!</v>
      </c>
      <c r="BH197" s="57" t="e">
        <f t="shared" si="194"/>
        <v>#NUM!</v>
      </c>
      <c r="BI197" s="57">
        <f ca="1">AVERAGE(OFFSET($BH$3,0,0,'Données projet'!$E$11+1,1))-AVERAGE(OFFSET($H$3,0,0,'Données projet'!$E$11+1,1))</f>
        <v>396.44612884768748</v>
      </c>
      <c r="BJ197" s="57">
        <f t="shared" ref="BJ197:BJ203" si="206">$BJ$3</f>
        <v>244.451492444461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34.439423391888276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34.439423391888276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3.4106051316484809E-13</v>
      </c>
      <c r="BZ197" s="13">
        <f>BY197*VLOOKUP('Données projet'!$B$12,Paramètres!$A$1:$I$89,3,0)*VLOOKUP('Données projet'!$B$12,Paramètres!$A$1:$I$89,5,0)</f>
        <v>2.0395418687257919E-13</v>
      </c>
      <c r="CA197" s="13">
        <f t="shared" si="170"/>
        <v>2.8200388570161721E-12</v>
      </c>
      <c r="CB197" s="20">
        <f t="shared" si="171"/>
        <v>5.2667878847729083E-12</v>
      </c>
      <c r="CC197" s="57">
        <f t="shared" si="195"/>
        <v>293.3333333333386</v>
      </c>
      <c r="CD197" s="57">
        <f ca="1">AVERAGE(OFFSET($CC$3,0,0,'Données projet'!$E$12+1,1))-AVERAGE(OFFSET($H$3,0,0,'Données projet'!$E$12+1,1))</f>
        <v>259.64096626089821</v>
      </c>
      <c r="CE197" s="57">
        <f t="shared" ref="CE197:CE203" si="207">$CE$3</f>
        <v>258.1415293081597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10.619950493314061</v>
      </c>
      <c r="CL197" s="21">
        <f>EXP(-LN(2)/25)*CL196+(1-EXP(-LN(2)/25))/(LN(2)/25)*Calculateur!CG197*Calculateur!CI197*VLOOKUP('Données projet'!$B$12,Paramètres!$A$1:$I$89,3,0)*0.475*44/12</f>
        <v>0.86293578674599247</v>
      </c>
      <c r="CM197" s="21">
        <f>EXP(-LN(2)/2)*CM196+(1-EXP(-LN(2)/2))/(LN(2)/2)*CG197*CJ197*VLOOKUP('Données projet'!$B$12,Paramètres!$A$1:$I$89,3,0)*0.475*44/12</f>
        <v>1.8400583152867436E-19</v>
      </c>
      <c r="CN197" s="22">
        <f t="shared" si="172"/>
        <v>11.482886280060054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-1.223725121235475E-13</v>
      </c>
      <c r="CV197" s="13" t="e">
        <f t="shared" si="173"/>
        <v>#NUM!</v>
      </c>
      <c r="CW197" s="20" t="e">
        <f t="shared" si="174"/>
        <v>#NUM!</v>
      </c>
      <c r="CX197" s="57" t="e">
        <f t="shared" si="196"/>
        <v>#NUM!</v>
      </c>
      <c r="CY197" s="57">
        <f ca="1">AVERAGE(OFFSET($CX$3,0,0,'Données projet'!$E$13+1,1))-AVERAGE(OFFSET($H$3,0,0,'Données projet'!$E$13+1,1))</f>
        <v>436.59978658837537</v>
      </c>
      <c r="CZ197" s="57">
        <f t="shared" ref="CZ197:CZ203" si="208">$CZ$3</f>
        <v>267.2998309535638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38.327745387746639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38.327745387746639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-1.0818439477588981E-13</v>
      </c>
      <c r="DQ197" s="13" t="e">
        <f t="shared" si="176"/>
        <v>#NUM!</v>
      </c>
      <c r="DR197" s="20" t="e">
        <f t="shared" si="177"/>
        <v>#NUM!</v>
      </c>
      <c r="DS197" s="57" t="e">
        <f t="shared" si="197"/>
        <v>#NUM!</v>
      </c>
      <c r="DT197" s="57">
        <f ca="1">AVERAGE(OFFSET($DS$3,0,0,'Données projet'!$E$14+1,1))-AVERAGE(OFFSET($H$3,0,0,'Données projet'!$E$14+1,1))</f>
        <v>292.95981568144879</v>
      </c>
      <c r="DU197" s="57">
        <f t="shared" ref="DU197:DU203" si="209">$DU$3</f>
        <v>152.23954167722536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24.608456866219708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24.608456866219708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7" t="e">
        <f t="shared" si="198"/>
        <v>#N/A</v>
      </c>
      <c r="EO197" s="57" t="e">
        <f ca="1">AVERAGE(OFFSET($EN$3,0,0,'Données projet'!$E$15+1,1))-AVERAGE(OFFSET($H$3,0,0,'Données projet'!$E$15+1,1))</f>
        <v>#N/A</v>
      </c>
      <c r="EP197" s="57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7" t="e">
        <f t="shared" si="199"/>
        <v>#N/A</v>
      </c>
      <c r="FJ197" s="57" t="e">
        <f ca="1">AVERAGE(OFFSET($FI$3,0,0,'Données projet'!$E$16+1,1))-AVERAGE(OFFSET($H$3,0,0,'Données projet'!$E$16+1,1))</f>
        <v>#N/A</v>
      </c>
      <c r="FK197" s="57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7" t="e">
        <f t="shared" si="200"/>
        <v>#N/A</v>
      </c>
      <c r="GE197" s="57" t="e">
        <f ca="1">AVERAGE(OFFSET($GD$3,0,0,'Données projet'!$E$17+1,1))-AVERAGE(OFFSET($H$3,0,0,'Données projet'!$E$17+1,1))</f>
        <v>#N/A</v>
      </c>
      <c r="GF197" s="57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7" t="e">
        <f t="shared" si="201"/>
        <v>#N/A</v>
      </c>
      <c r="GZ197" s="57" t="e">
        <f ca="1">AVERAGE(OFFSET($GY$3,0,0,'Données projet'!$E$18+1,1))-AVERAGE(OFFSET($H$3,0,0,'Données projet'!$E$18+1,1))</f>
        <v>#N/A</v>
      </c>
      <c r="HA197" s="57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1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5">
        <f t="shared" si="192"/>
        <v>256.66666666666669</v>
      </c>
      <c r="I198" s="6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7" t="e">
        <f t="shared" si="191"/>
        <v>#NUM!</v>
      </c>
      <c r="S198" s="57">
        <f ca="1">AVERAGE(OFFSET($R$3,0,0,'Données projet'!$E$9+1,1))-AVERAGE(OFFSET($H$3,0,0,'Données projet'!$E$9+1,1))</f>
        <v>373.45926089889866</v>
      </c>
      <c r="T198" s="57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31.585759091912152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31.585759091912152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-1.0818439477588981E-13</v>
      </c>
      <c r="AK198" s="13" t="e">
        <f t="shared" si="164"/>
        <v>#NUM!</v>
      </c>
      <c r="AL198" s="20" t="e">
        <f t="shared" si="165"/>
        <v>#NUM!</v>
      </c>
      <c r="AM198" s="57" t="e">
        <f t="shared" si="193"/>
        <v>#NUM!</v>
      </c>
      <c r="AN198" s="57">
        <f ca="1">AVERAGE(OFFSET($AM$3,0,0,'Données projet'!$E$10+1,1))-AVERAGE(OFFSET($H$3,0,0,'Données projet'!$E$10+1,1))</f>
        <v>390.70240761116355</v>
      </c>
      <c r="AO198" s="57">
        <f t="shared" si="205"/>
        <v>241.18285512887638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33.219505251838626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33.219505251838626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-1.0995790944434703E-13</v>
      </c>
      <c r="BF198" s="13" t="e">
        <f t="shared" si="167"/>
        <v>#NUM!</v>
      </c>
      <c r="BG198" s="20" t="e">
        <f t="shared" si="168"/>
        <v>#NUM!</v>
      </c>
      <c r="BH198" s="57" t="e">
        <f t="shared" si="194"/>
        <v>#NUM!</v>
      </c>
      <c r="BI198" s="57">
        <f ca="1">AVERAGE(OFFSET($BH$3,0,0,'Données projet'!$E$11+1,1))-AVERAGE(OFFSET($H$3,0,0,'Données projet'!$E$11+1,1))</f>
        <v>396.44612884768748</v>
      </c>
      <c r="BJ198" s="57">
        <f t="shared" si="206"/>
        <v>244.451492444461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33.764087305147449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33.764087305147449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3.4106051316484809E-13</v>
      </c>
      <c r="BZ198" s="13">
        <f>BY198*VLOOKUP('Données projet'!$B$12,Paramètres!$A$1:$I$89,3,0)*VLOOKUP('Données projet'!$B$12,Paramètres!$A$1:$I$89,5,0)</f>
        <v>2.0395418687257919E-13</v>
      </c>
      <c r="CA198" s="13">
        <f t="shared" si="170"/>
        <v>2.8200388570161721E-12</v>
      </c>
      <c r="CB198" s="20">
        <f t="shared" si="171"/>
        <v>5.2667878847729083E-12</v>
      </c>
      <c r="CC198" s="57">
        <f t="shared" si="195"/>
        <v>293.3333333333386</v>
      </c>
      <c r="CD198" s="57">
        <f ca="1">AVERAGE(OFFSET($CC$3,0,0,'Données projet'!$E$12+1,1))-AVERAGE(OFFSET($H$3,0,0,'Données projet'!$E$12+1,1))</f>
        <v>259.64096626089821</v>
      </c>
      <c r="CE198" s="57">
        <f t="shared" si="207"/>
        <v>258.1415293081597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10.41169974167037</v>
      </c>
      <c r="CL198" s="21">
        <f>EXP(-LN(2)/25)*CL197+(1-EXP(-LN(2)/25))/(LN(2)/25)*Calculateur!CG198*Calculateur!CI198*VLOOKUP('Données projet'!$B$12,Paramètres!$A$1:$I$89,3,0)*0.475*44/12</f>
        <v>0.83933876227760251</v>
      </c>
      <c r="CM198" s="21">
        <f>EXP(-LN(2)/2)*CM197+(1-EXP(-LN(2)/2))/(LN(2)/2)*CG198*CJ198*VLOOKUP('Données projet'!$B$12,Paramètres!$A$1:$I$89,3,0)*0.475*44/12</f>
        <v>1.3011177125179507E-19</v>
      </c>
      <c r="CN198" s="22">
        <f t="shared" si="172"/>
        <v>11.251038503947973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-1.223725121235475E-13</v>
      </c>
      <c r="CV198" s="13" t="e">
        <f t="shared" si="173"/>
        <v>#NUM!</v>
      </c>
      <c r="CW198" s="20" t="e">
        <f t="shared" si="174"/>
        <v>#NUM!</v>
      </c>
      <c r="CX198" s="57" t="e">
        <f t="shared" si="196"/>
        <v>#NUM!</v>
      </c>
      <c r="CY198" s="57">
        <f ca="1">AVERAGE(OFFSET($CX$3,0,0,'Données projet'!$E$13+1,1))-AVERAGE(OFFSET($H$3,0,0,'Données projet'!$E$13+1,1))</f>
        <v>436.59978658837537</v>
      </c>
      <c r="CZ198" s="57">
        <f t="shared" si="208"/>
        <v>267.2998309535638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37.576161678309269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37.576161678309269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-1.0818439477588981E-13</v>
      </c>
      <c r="DQ198" s="13" t="e">
        <f t="shared" si="176"/>
        <v>#NUM!</v>
      </c>
      <c r="DR198" s="20" t="e">
        <f t="shared" si="177"/>
        <v>#NUM!</v>
      </c>
      <c r="DS198" s="57" t="e">
        <f t="shared" si="197"/>
        <v>#NUM!</v>
      </c>
      <c r="DT198" s="57">
        <f ca="1">AVERAGE(OFFSET($DS$3,0,0,'Données projet'!$E$14+1,1))-AVERAGE(OFFSET($H$3,0,0,'Données projet'!$E$14+1,1))</f>
        <v>292.95981568144879</v>
      </c>
      <c r="DU198" s="57">
        <f t="shared" si="209"/>
        <v>152.23954167722536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24.125900036749744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24.125900036749744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7" t="e">
        <f t="shared" si="198"/>
        <v>#N/A</v>
      </c>
      <c r="EO198" s="57" t="e">
        <f ca="1">AVERAGE(OFFSET($EN$3,0,0,'Données projet'!$E$15+1,1))-AVERAGE(OFFSET($H$3,0,0,'Données projet'!$E$15+1,1))</f>
        <v>#N/A</v>
      </c>
      <c r="EP198" s="57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7" t="e">
        <f t="shared" si="199"/>
        <v>#N/A</v>
      </c>
      <c r="FJ198" s="57" t="e">
        <f ca="1">AVERAGE(OFFSET($FI$3,0,0,'Données projet'!$E$16+1,1))-AVERAGE(OFFSET($H$3,0,0,'Données projet'!$E$16+1,1))</f>
        <v>#N/A</v>
      </c>
      <c r="FK198" s="57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7" t="e">
        <f t="shared" si="200"/>
        <v>#N/A</v>
      </c>
      <c r="GE198" s="57" t="e">
        <f ca="1">AVERAGE(OFFSET($GD$3,0,0,'Données projet'!$E$17+1,1))-AVERAGE(OFFSET($H$3,0,0,'Données projet'!$E$17+1,1))</f>
        <v>#N/A</v>
      </c>
      <c r="GF198" s="57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7" t="e">
        <f t="shared" si="201"/>
        <v>#N/A</v>
      </c>
      <c r="GZ198" s="57" t="e">
        <f ca="1">AVERAGE(OFFSET($GY$3,0,0,'Données projet'!$E$18+1,1))-AVERAGE(OFFSET($H$3,0,0,'Données projet'!$E$18+1,1))</f>
        <v>#N/A</v>
      </c>
      <c r="HA198" s="57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1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5">
        <f t="shared" si="192"/>
        <v>256.66666666666669</v>
      </c>
      <c r="I199" s="6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7" t="e">
        <f t="shared" si="191"/>
        <v>#NUM!</v>
      </c>
      <c r="S199" s="57">
        <f ca="1">AVERAGE(OFFSET($R$3,0,0,'Données projet'!$E$9+1,1))-AVERAGE(OFFSET($H$3,0,0,'Données projet'!$E$9+1,1))</f>
        <v>373.45926089889866</v>
      </c>
      <c r="T199" s="57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30.966381621530498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30.966381621530498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-1.0818439477588981E-13</v>
      </c>
      <c r="AK199" s="13" t="e">
        <f t="shared" si="164"/>
        <v>#NUM!</v>
      </c>
      <c r="AL199" s="20" t="e">
        <f t="shared" si="165"/>
        <v>#NUM!</v>
      </c>
      <c r="AM199" s="57" t="e">
        <f t="shared" si="193"/>
        <v>#NUM!</v>
      </c>
      <c r="AN199" s="57">
        <f ca="1">AVERAGE(OFFSET($AM$3,0,0,'Données projet'!$E$10+1,1))-AVERAGE(OFFSET($H$3,0,0,'Données projet'!$E$10+1,1))</f>
        <v>390.70240761116355</v>
      </c>
      <c r="AO199" s="57">
        <f t="shared" si="205"/>
        <v>241.18285512887638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32.568091015747576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32.568091015747576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-1.0995790944434703E-13</v>
      </c>
      <c r="BF199" s="13" t="e">
        <f t="shared" si="167"/>
        <v>#NUM!</v>
      </c>
      <c r="BG199" s="20" t="e">
        <f t="shared" si="168"/>
        <v>#NUM!</v>
      </c>
      <c r="BH199" s="57" t="e">
        <f t="shared" si="194"/>
        <v>#NUM!</v>
      </c>
      <c r="BI199" s="57">
        <f ca="1">AVERAGE(OFFSET($BH$3,0,0,'Données projet'!$E$11+1,1))-AVERAGE(OFFSET($H$3,0,0,'Données projet'!$E$11+1,1))</f>
        <v>396.44612884768748</v>
      </c>
      <c r="BJ199" s="57">
        <f t="shared" si="206"/>
        <v>244.451492444461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33.10199414715327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33.10199414715327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3.4106051316484809E-13</v>
      </c>
      <c r="BZ199" s="13">
        <f>BY199*VLOOKUP('Données projet'!$B$12,Paramètres!$A$1:$I$89,3,0)*VLOOKUP('Données projet'!$B$12,Paramètres!$A$1:$I$89,5,0)</f>
        <v>2.0395418687257919E-13</v>
      </c>
      <c r="CA199" s="13">
        <f t="shared" si="170"/>
        <v>2.8200388570161721E-12</v>
      </c>
      <c r="CB199" s="20">
        <f t="shared" si="171"/>
        <v>5.2667878847729083E-12</v>
      </c>
      <c r="CC199" s="57">
        <f t="shared" si="195"/>
        <v>293.3333333333386</v>
      </c>
      <c r="CD199" s="57">
        <f ca="1">AVERAGE(OFFSET($CC$3,0,0,'Données projet'!$E$12+1,1))-AVERAGE(OFFSET($H$3,0,0,'Données projet'!$E$12+1,1))</f>
        <v>259.64096626089821</v>
      </c>
      <c r="CE199" s="57">
        <f t="shared" si="207"/>
        <v>258.1415293081597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10.207532660245995</v>
      </c>
      <c r="CL199" s="21">
        <f>EXP(-LN(2)/25)*CL198+(1-EXP(-LN(2)/25))/(LN(2)/25)*Calculateur!CG199*Calculateur!CI199*VLOOKUP('Données projet'!$B$12,Paramètres!$A$1:$I$89,3,0)*0.475*44/12</f>
        <v>0.81638699968421435</v>
      </c>
      <c r="CM199" s="21">
        <f>EXP(-LN(2)/2)*CM198+(1-EXP(-LN(2)/2))/(LN(2)/2)*CG199*CJ199*VLOOKUP('Données projet'!$B$12,Paramètres!$A$1:$I$89,3,0)*0.475*44/12</f>
        <v>9.2002915764337181E-20</v>
      </c>
      <c r="CN199" s="22">
        <f t="shared" si="172"/>
        <v>11.023919659930209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-1.223725121235475E-13</v>
      </c>
      <c r="CV199" s="13" t="e">
        <f t="shared" si="173"/>
        <v>#NUM!</v>
      </c>
      <c r="CW199" s="20" t="e">
        <f t="shared" si="174"/>
        <v>#NUM!</v>
      </c>
      <c r="CX199" s="57" t="e">
        <f t="shared" si="196"/>
        <v>#NUM!</v>
      </c>
      <c r="CY199" s="57">
        <f ca="1">AVERAGE(OFFSET($CX$3,0,0,'Données projet'!$E$13+1,1))-AVERAGE(OFFSET($H$3,0,0,'Données projet'!$E$13+1,1))</f>
        <v>436.59978658837537</v>
      </c>
      <c r="CZ199" s="57">
        <f t="shared" si="208"/>
        <v>267.2998309535638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36.839316066993163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36.839316066993163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-1.0818439477588981E-13</v>
      </c>
      <c r="DQ199" s="13" t="e">
        <f t="shared" si="176"/>
        <v>#NUM!</v>
      </c>
      <c r="DR199" s="20" t="e">
        <f t="shared" si="177"/>
        <v>#NUM!</v>
      </c>
      <c r="DS199" s="57" t="e">
        <f t="shared" si="197"/>
        <v>#NUM!</v>
      </c>
      <c r="DT199" s="57">
        <f ca="1">AVERAGE(OFFSET($DS$3,0,0,'Données projet'!$E$14+1,1))-AVERAGE(OFFSET($H$3,0,0,'Données projet'!$E$14+1,1))</f>
        <v>292.95981568144879</v>
      </c>
      <c r="DU199" s="57">
        <f t="shared" si="209"/>
        <v>152.23954167722536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23.652805852375085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23.652805852375085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7" t="e">
        <f t="shared" si="198"/>
        <v>#N/A</v>
      </c>
      <c r="EO199" s="57" t="e">
        <f ca="1">AVERAGE(OFFSET($EN$3,0,0,'Données projet'!$E$15+1,1))-AVERAGE(OFFSET($H$3,0,0,'Données projet'!$E$15+1,1))</f>
        <v>#N/A</v>
      </c>
      <c r="EP199" s="57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7" t="e">
        <f t="shared" si="199"/>
        <v>#N/A</v>
      </c>
      <c r="FJ199" s="57" t="e">
        <f ca="1">AVERAGE(OFFSET($FI$3,0,0,'Données projet'!$E$16+1,1))-AVERAGE(OFFSET($H$3,0,0,'Données projet'!$E$16+1,1))</f>
        <v>#N/A</v>
      </c>
      <c r="FK199" s="57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7" t="e">
        <f t="shared" si="200"/>
        <v>#N/A</v>
      </c>
      <c r="GE199" s="57" t="e">
        <f ca="1">AVERAGE(OFFSET($GD$3,0,0,'Données projet'!$E$17+1,1))-AVERAGE(OFFSET($H$3,0,0,'Données projet'!$E$17+1,1))</f>
        <v>#N/A</v>
      </c>
      <c r="GF199" s="57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7" t="e">
        <f t="shared" si="201"/>
        <v>#N/A</v>
      </c>
      <c r="GZ199" s="57" t="e">
        <f ca="1">AVERAGE(OFFSET($GY$3,0,0,'Données projet'!$E$18+1,1))-AVERAGE(OFFSET($H$3,0,0,'Données projet'!$E$18+1,1))</f>
        <v>#N/A</v>
      </c>
      <c r="HA199" s="57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1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5">
        <f t="shared" si="192"/>
        <v>256.66666666666669</v>
      </c>
      <c r="I200" s="6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7" t="e">
        <f t="shared" si="191"/>
        <v>#NUM!</v>
      </c>
      <c r="S200" s="57">
        <f ca="1">AVERAGE(OFFSET($R$3,0,0,'Données projet'!$E$9+1,1))-AVERAGE(OFFSET($H$3,0,0,'Données projet'!$E$9+1,1))</f>
        <v>373.45926089889866</v>
      </c>
      <c r="T200" s="57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30.359149765560076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30.359149765560076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-1.0818439477588981E-13</v>
      </c>
      <c r="AK200" s="13" t="e">
        <f t="shared" si="164"/>
        <v>#NUM!</v>
      </c>
      <c r="AL200" s="20" t="e">
        <f t="shared" si="165"/>
        <v>#NUM!</v>
      </c>
      <c r="AM200" s="57" t="e">
        <f t="shared" si="193"/>
        <v>#NUM!</v>
      </c>
      <c r="AN200" s="57">
        <f ca="1">AVERAGE(OFFSET($AM$3,0,0,'Données projet'!$E$10+1,1))-AVERAGE(OFFSET($H$3,0,0,'Données projet'!$E$10+1,1))</f>
        <v>390.70240761116355</v>
      </c>
      <c r="AO200" s="57">
        <f t="shared" si="205"/>
        <v>241.18285512887638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31.929450615502823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31.929450615502823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-1.0995790944434703E-13</v>
      </c>
      <c r="BF200" s="13" t="e">
        <f t="shared" si="167"/>
        <v>#NUM!</v>
      </c>
      <c r="BG200" s="20" t="e">
        <f t="shared" si="168"/>
        <v>#NUM!</v>
      </c>
      <c r="BH200" s="57" t="e">
        <f t="shared" si="194"/>
        <v>#NUM!</v>
      </c>
      <c r="BI200" s="57">
        <f ca="1">AVERAGE(OFFSET($BH$3,0,0,'Données projet'!$E$11+1,1))-AVERAGE(OFFSET($H$3,0,0,'Données projet'!$E$11+1,1))</f>
        <v>396.44612884768748</v>
      </c>
      <c r="BJ200" s="57">
        <f t="shared" si="206"/>
        <v>244.451492444461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32.452884232150403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32.452884232150403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3.4106051316484809E-13</v>
      </c>
      <c r="BZ200" s="13">
        <f>BY200*VLOOKUP('Données projet'!$B$12,Paramètres!$A$1:$I$89,3,0)*VLOOKUP('Données projet'!$B$12,Paramètres!$A$1:$I$89,5,0)</f>
        <v>2.0395418687257919E-13</v>
      </c>
      <c r="CA200" s="13">
        <f t="shared" si="170"/>
        <v>2.8200388570161721E-12</v>
      </c>
      <c r="CB200" s="20">
        <f t="shared" si="171"/>
        <v>5.2667878847729083E-12</v>
      </c>
      <c r="CC200" s="57">
        <f t="shared" si="195"/>
        <v>293.3333333333386</v>
      </c>
      <c r="CD200" s="57">
        <f ca="1">AVERAGE(OFFSET($CC$3,0,0,'Données projet'!$E$12+1,1))-AVERAGE(OFFSET($H$3,0,0,'Données projet'!$E$12+1,1))</f>
        <v>259.64096626089821</v>
      </c>
      <c r="CE200" s="57">
        <f t="shared" si="207"/>
        <v>258.1415293081597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10.00736917075873</v>
      </c>
      <c r="CL200" s="21">
        <f>EXP(-LN(2)/25)*CL199+(1-EXP(-LN(2)/25))/(LN(2)/25)*Calculateur!CG200*Calculateur!CI200*VLOOKUP('Données projet'!$B$12,Paramètres!$A$1:$I$89,3,0)*0.475*44/12</f>
        <v>0.79406285424592304</v>
      </c>
      <c r="CM200" s="21">
        <f>EXP(-LN(2)/2)*CM199+(1-EXP(-LN(2)/2))/(LN(2)/2)*CG200*CJ200*VLOOKUP('Données projet'!$B$12,Paramètres!$A$1:$I$89,3,0)*0.475*44/12</f>
        <v>6.5055885625897534E-20</v>
      </c>
      <c r="CN200" s="22">
        <f t="shared" si="172"/>
        <v>10.801432025004653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-1.223725121235475E-13</v>
      </c>
      <c r="CV200" s="13" t="e">
        <f t="shared" si="173"/>
        <v>#NUM!</v>
      </c>
      <c r="CW200" s="20" t="e">
        <f t="shared" si="174"/>
        <v>#NUM!</v>
      </c>
      <c r="CX200" s="57" t="e">
        <f t="shared" si="196"/>
        <v>#NUM!</v>
      </c>
      <c r="CY200" s="57">
        <f ca="1">AVERAGE(OFFSET($CX$3,0,0,'Données projet'!$E$13+1,1))-AVERAGE(OFFSET($H$3,0,0,'Données projet'!$E$13+1,1))</f>
        <v>436.59978658837537</v>
      </c>
      <c r="CZ200" s="57">
        <f t="shared" si="208"/>
        <v>267.2998309535638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36.116919548683526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36.116919548683526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-1.0818439477588981E-13</v>
      </c>
      <c r="DQ200" s="13" t="e">
        <f t="shared" si="176"/>
        <v>#NUM!</v>
      </c>
      <c r="DR200" s="20" t="e">
        <f t="shared" si="177"/>
        <v>#NUM!</v>
      </c>
      <c r="DS200" s="57" t="e">
        <f t="shared" si="197"/>
        <v>#NUM!</v>
      </c>
      <c r="DT200" s="57">
        <f ca="1">AVERAGE(OFFSET($DS$3,0,0,'Données projet'!$E$14+1,1))-AVERAGE(OFFSET($H$3,0,0,'Données projet'!$E$14+1,1))</f>
        <v>292.95981568144879</v>
      </c>
      <c r="DU200" s="57">
        <f t="shared" si="209"/>
        <v>152.23954167722536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23.188988756397052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23.188988756397052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7" t="e">
        <f t="shared" si="198"/>
        <v>#N/A</v>
      </c>
      <c r="EO200" s="57" t="e">
        <f ca="1">AVERAGE(OFFSET($EN$3,0,0,'Données projet'!$E$15+1,1))-AVERAGE(OFFSET($H$3,0,0,'Données projet'!$E$15+1,1))</f>
        <v>#N/A</v>
      </c>
      <c r="EP200" s="57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7" t="e">
        <f t="shared" si="199"/>
        <v>#N/A</v>
      </c>
      <c r="FJ200" s="57" t="e">
        <f ca="1">AVERAGE(OFFSET($FI$3,0,0,'Données projet'!$E$16+1,1))-AVERAGE(OFFSET($H$3,0,0,'Données projet'!$E$16+1,1))</f>
        <v>#N/A</v>
      </c>
      <c r="FK200" s="57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7" t="e">
        <f t="shared" si="200"/>
        <v>#N/A</v>
      </c>
      <c r="GE200" s="57" t="e">
        <f ca="1">AVERAGE(OFFSET($GD$3,0,0,'Données projet'!$E$17+1,1))-AVERAGE(OFFSET($H$3,0,0,'Données projet'!$E$17+1,1))</f>
        <v>#N/A</v>
      </c>
      <c r="GF200" s="57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7" t="e">
        <f t="shared" si="201"/>
        <v>#N/A</v>
      </c>
      <c r="GZ200" s="57" t="e">
        <f ca="1">AVERAGE(OFFSET($GY$3,0,0,'Données projet'!$E$18+1,1))-AVERAGE(OFFSET($H$3,0,0,'Données projet'!$E$18+1,1))</f>
        <v>#N/A</v>
      </c>
      <c r="HA200" s="57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1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5">
        <f t="shared" si="192"/>
        <v>256.66666666666669</v>
      </c>
      <c r="I201" s="6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7" t="e">
        <f t="shared" si="191"/>
        <v>#NUM!</v>
      </c>
      <c r="S201" s="57">
        <f ca="1">AVERAGE(OFFSET($R$3,0,0,'Données projet'!$E$9+1,1))-AVERAGE(OFFSET($H$3,0,0,'Données projet'!$E$9+1,1))</f>
        <v>373.45926089889866</v>
      </c>
      <c r="T201" s="57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29.763825355910374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29.763825355910374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-1.0818439477588981E-13</v>
      </c>
      <c r="AK201" s="13" t="e">
        <f t="shared" si="164"/>
        <v>#NUM!</v>
      </c>
      <c r="AL201" s="20" t="e">
        <f t="shared" si="165"/>
        <v>#NUM!</v>
      </c>
      <c r="AM201" s="57" t="e">
        <f t="shared" si="193"/>
        <v>#NUM!</v>
      </c>
      <c r="AN201" s="57">
        <f ca="1">AVERAGE(OFFSET($AM$3,0,0,'Données projet'!$E$10+1,1))-AVERAGE(OFFSET($H$3,0,0,'Données projet'!$E$10+1,1))</f>
        <v>390.70240761116355</v>
      </c>
      <c r="AO201" s="57">
        <f t="shared" si="205"/>
        <v>241.18285512887638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31.303333563974686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31.303333563974686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-1.0995790944434703E-13</v>
      </c>
      <c r="BF201" s="13" t="e">
        <f t="shared" si="167"/>
        <v>#NUM!</v>
      </c>
      <c r="BG201" s="20" t="e">
        <f t="shared" si="168"/>
        <v>#NUM!</v>
      </c>
      <c r="BH201" s="57" t="e">
        <f t="shared" si="194"/>
        <v>#NUM!</v>
      </c>
      <c r="BI201" s="57">
        <f ca="1">AVERAGE(OFFSET($BH$3,0,0,'Données projet'!$E$11+1,1))-AVERAGE(OFFSET($H$3,0,0,'Données projet'!$E$11+1,1))</f>
        <v>396.44612884768748</v>
      </c>
      <c r="BJ201" s="57">
        <f t="shared" si="206"/>
        <v>244.451492444461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31.816502966662789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31.816502966662789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3.4106051316484809E-13</v>
      </c>
      <c r="BZ201" s="13">
        <f>BY201*VLOOKUP('Données projet'!$B$12,Paramètres!$A$1:$I$89,3,0)*VLOOKUP('Données projet'!$B$12,Paramètres!$A$1:$I$89,5,0)</f>
        <v>2.0395418687257919E-13</v>
      </c>
      <c r="CA201" s="13">
        <f t="shared" si="170"/>
        <v>2.8200388570161721E-12</v>
      </c>
      <c r="CB201" s="20">
        <f t="shared" si="171"/>
        <v>5.2667878847729083E-12</v>
      </c>
      <c r="CC201" s="57">
        <f t="shared" si="195"/>
        <v>293.3333333333386</v>
      </c>
      <c r="CD201" s="57">
        <f ca="1">AVERAGE(OFFSET($CC$3,0,0,'Données projet'!$E$12+1,1))-AVERAGE(OFFSET($H$3,0,0,'Données projet'!$E$12+1,1))</f>
        <v>259.64096626089821</v>
      </c>
      <c r="CE201" s="57">
        <f t="shared" si="207"/>
        <v>258.1415293081597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9.8111307652126367</v>
      </c>
      <c r="CL201" s="21">
        <f>EXP(-LN(2)/25)*CL200+(1-EXP(-LN(2)/25))/(LN(2)/25)*Calculateur!CG201*Calculateur!CI201*VLOOKUP('Données projet'!$B$12,Paramètres!$A$1:$I$89,3,0)*0.475*44/12</f>
        <v>0.77234916373861762</v>
      </c>
      <c r="CM201" s="21">
        <f>EXP(-LN(2)/2)*CM200+(1-EXP(-LN(2)/2))/(LN(2)/2)*CG201*CJ201*VLOOKUP('Données projet'!$B$12,Paramètres!$A$1:$I$89,3,0)*0.475*44/12</f>
        <v>4.600145788216859E-20</v>
      </c>
      <c r="CN201" s="22">
        <f t="shared" si="172"/>
        <v>10.583479928951254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-1.223725121235475E-13</v>
      </c>
      <c r="CV201" s="13" t="e">
        <f t="shared" si="173"/>
        <v>#NUM!</v>
      </c>
      <c r="CW201" s="20" t="e">
        <f t="shared" si="174"/>
        <v>#NUM!</v>
      </c>
      <c r="CX201" s="57" t="e">
        <f t="shared" si="196"/>
        <v>#NUM!</v>
      </c>
      <c r="CY201" s="57">
        <f ca="1">AVERAGE(OFFSET($CX$3,0,0,'Données projet'!$E$13+1,1))-AVERAGE(OFFSET($H$3,0,0,'Données projet'!$E$13+1,1))</f>
        <v>436.59978658837537</v>
      </c>
      <c r="CZ201" s="57">
        <f t="shared" si="208"/>
        <v>267.2998309535638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35.408688785479569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35.408688785479569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-1.0818439477588981E-13</v>
      </c>
      <c r="DQ201" s="13" t="e">
        <f t="shared" si="176"/>
        <v>#NUM!</v>
      </c>
      <c r="DR201" s="20" t="e">
        <f t="shared" si="177"/>
        <v>#NUM!</v>
      </c>
      <c r="DS201" s="57" t="e">
        <f t="shared" si="197"/>
        <v>#NUM!</v>
      </c>
      <c r="DT201" s="57">
        <f ca="1">AVERAGE(OFFSET($DS$3,0,0,'Données projet'!$E$14+1,1))-AVERAGE(OFFSET($H$3,0,0,'Données projet'!$E$14+1,1))</f>
        <v>292.95981568144879</v>
      </c>
      <c r="DU201" s="57">
        <f t="shared" si="209"/>
        <v>152.23954167722536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22.734266830770654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22.734266830770654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7" t="e">
        <f t="shared" si="198"/>
        <v>#N/A</v>
      </c>
      <c r="EO201" s="57" t="e">
        <f ca="1">AVERAGE(OFFSET($EN$3,0,0,'Données projet'!$E$15+1,1))-AVERAGE(OFFSET($H$3,0,0,'Données projet'!$E$15+1,1))</f>
        <v>#N/A</v>
      </c>
      <c r="EP201" s="57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7" t="e">
        <f t="shared" si="199"/>
        <v>#N/A</v>
      </c>
      <c r="FJ201" s="57" t="e">
        <f ca="1">AVERAGE(OFFSET($FI$3,0,0,'Données projet'!$E$16+1,1))-AVERAGE(OFFSET($H$3,0,0,'Données projet'!$E$16+1,1))</f>
        <v>#N/A</v>
      </c>
      <c r="FK201" s="57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7" t="e">
        <f t="shared" si="200"/>
        <v>#N/A</v>
      </c>
      <c r="GE201" s="57" t="e">
        <f ca="1">AVERAGE(OFFSET($GD$3,0,0,'Données projet'!$E$17+1,1))-AVERAGE(OFFSET($H$3,0,0,'Données projet'!$E$17+1,1))</f>
        <v>#N/A</v>
      </c>
      <c r="GF201" s="57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7" t="e">
        <f t="shared" si="201"/>
        <v>#N/A</v>
      </c>
      <c r="GZ201" s="57" t="e">
        <f ca="1">AVERAGE(OFFSET($GY$3,0,0,'Données projet'!$E$18+1,1))-AVERAGE(OFFSET($H$3,0,0,'Données projet'!$E$18+1,1))</f>
        <v>#N/A</v>
      </c>
      <c r="HA201" s="57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1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5">
        <f t="shared" si="192"/>
        <v>256.66666666666669</v>
      </c>
      <c r="I202" s="6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7" t="e">
        <f t="shared" si="191"/>
        <v>#NUM!</v>
      </c>
      <c r="S202" s="57">
        <f ca="1">AVERAGE(OFFSET($R$3,0,0,'Données projet'!$E$9+1,1))-AVERAGE(OFFSET($H$3,0,0,'Données projet'!$E$9+1,1))</f>
        <v>373.45926089889866</v>
      </c>
      <c r="T202" s="57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29.180174894821867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29.180174894821867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-1.0818439477588981E-13</v>
      </c>
      <c r="AK202" s="13" t="e">
        <f t="shared" si="164"/>
        <v>#NUM!</v>
      </c>
      <c r="AL202" s="20" t="e">
        <f t="shared" si="165"/>
        <v>#NUM!</v>
      </c>
      <c r="AM202" s="57" t="e">
        <f t="shared" si="193"/>
        <v>#NUM!</v>
      </c>
      <c r="AN202" s="57">
        <f ca="1">AVERAGE(OFFSET($AM$3,0,0,'Données projet'!$E$10+1,1))-AVERAGE(OFFSET($H$3,0,0,'Données projet'!$E$10+1,1))</f>
        <v>390.70240761116355</v>
      </c>
      <c r="AO202" s="57">
        <f t="shared" si="205"/>
        <v>241.18285512887638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30.689494285933325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30.689494285933325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-1.0995790944434703E-13</v>
      </c>
      <c r="BF202" s="13" t="e">
        <f t="shared" si="167"/>
        <v>#NUM!</v>
      </c>
      <c r="BG202" s="20" t="e">
        <f t="shared" si="168"/>
        <v>#NUM!</v>
      </c>
      <c r="BH202" s="57" t="e">
        <f t="shared" si="194"/>
        <v>#NUM!</v>
      </c>
      <c r="BI202" s="57">
        <f ca="1">AVERAGE(OFFSET($BH$3,0,0,'Données projet'!$E$11+1,1))-AVERAGE(OFFSET($H$3,0,0,'Données projet'!$E$11+1,1))</f>
        <v>396.44612884768748</v>
      </c>
      <c r="BJ202" s="57">
        <f t="shared" si="206"/>
        <v>244.451492444461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31.192600749637144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31.192600749637144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3.4106051316484809E-13</v>
      </c>
      <c r="BZ202" s="13">
        <f>BY202*VLOOKUP('Données projet'!$B$12,Paramètres!$A$1:$I$89,3,0)*VLOOKUP('Données projet'!$B$12,Paramètres!$A$1:$I$89,5,0)</f>
        <v>2.0395418687257919E-13</v>
      </c>
      <c r="CA202" s="13">
        <f t="shared" si="170"/>
        <v>2.8200388570161721E-12</v>
      </c>
      <c r="CB202" s="20">
        <f t="shared" si="171"/>
        <v>5.2667878847729083E-12</v>
      </c>
      <c r="CC202" s="57">
        <f t="shared" si="195"/>
        <v>293.3333333333386</v>
      </c>
      <c r="CD202" s="57">
        <f ca="1">AVERAGE(OFFSET($CC$3,0,0,'Données projet'!$E$12+1,1))-AVERAGE(OFFSET($H$3,0,0,'Données projet'!$E$12+1,1))</f>
        <v>259.64096626089821</v>
      </c>
      <c r="CE202" s="57">
        <f t="shared" si="207"/>
        <v>258.1415293081597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9.6187404751056924</v>
      </c>
      <c r="CL202" s="21">
        <f>EXP(-LN(2)/25)*CL201+(1-EXP(-LN(2)/25))/(LN(2)/25)*Calculateur!CG202*Calculateur!CI202*VLOOKUP('Données projet'!$B$12,Paramètres!$A$1:$I$89,3,0)*0.475*44/12</f>
        <v>0.75122923524010787</v>
      </c>
      <c r="CM202" s="21">
        <f>EXP(-LN(2)/2)*CM201+(1-EXP(-LN(2)/2))/(LN(2)/2)*CG202*CJ202*VLOOKUP('Données projet'!$B$12,Paramètres!$A$1:$I$89,3,0)*0.475*44/12</f>
        <v>3.2527942812948767E-20</v>
      </c>
      <c r="CN202" s="22">
        <f t="shared" si="172"/>
        <v>10.369969710345801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-1.223725121235475E-13</v>
      </c>
      <c r="CV202" s="13" t="e">
        <f t="shared" si="173"/>
        <v>#NUM!</v>
      </c>
      <c r="CW202" s="20" t="e">
        <f t="shared" si="174"/>
        <v>#NUM!</v>
      </c>
      <c r="CX202" s="57" t="e">
        <f t="shared" si="196"/>
        <v>#NUM!</v>
      </c>
      <c r="CY202" s="57">
        <f ca="1">AVERAGE(OFFSET($CX$3,0,0,'Données projet'!$E$13+1,1))-AVERAGE(OFFSET($H$3,0,0,'Données projet'!$E$13+1,1))</f>
        <v>436.59978658837537</v>
      </c>
      <c r="CZ202" s="57">
        <f t="shared" si="208"/>
        <v>267.2998309535638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34.714345995563932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34.714345995563932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-1.0818439477588981E-13</v>
      </c>
      <c r="DQ202" s="13" t="e">
        <f t="shared" si="176"/>
        <v>#NUM!</v>
      </c>
      <c r="DR202" s="20" t="e">
        <f t="shared" si="177"/>
        <v>#NUM!</v>
      </c>
      <c r="DS202" s="57" t="e">
        <f t="shared" si="197"/>
        <v>#NUM!</v>
      </c>
      <c r="DT202" s="57">
        <f ca="1">AVERAGE(OFFSET($DS$3,0,0,'Données projet'!$E$14+1,1))-AVERAGE(OFFSET($H$3,0,0,'Données projet'!$E$14+1,1))</f>
        <v>292.95981568144879</v>
      </c>
      <c r="DU202" s="57">
        <f t="shared" si="209"/>
        <v>152.23954167722536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22.288461724752803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22.288461724752803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7" t="e">
        <f t="shared" si="198"/>
        <v>#N/A</v>
      </c>
      <c r="EO202" s="57" t="e">
        <f ca="1">AVERAGE(OFFSET($EN$3,0,0,'Données projet'!$E$15+1,1))-AVERAGE(OFFSET($H$3,0,0,'Données projet'!$E$15+1,1))</f>
        <v>#N/A</v>
      </c>
      <c r="EP202" s="57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7" t="e">
        <f t="shared" si="199"/>
        <v>#N/A</v>
      </c>
      <c r="FJ202" s="57" t="e">
        <f ca="1">AVERAGE(OFFSET($FI$3,0,0,'Données projet'!$E$16+1,1))-AVERAGE(OFFSET($H$3,0,0,'Données projet'!$E$16+1,1))</f>
        <v>#N/A</v>
      </c>
      <c r="FK202" s="57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7" t="e">
        <f t="shared" si="200"/>
        <v>#N/A</v>
      </c>
      <c r="GE202" s="57" t="e">
        <f ca="1">AVERAGE(OFFSET($GD$3,0,0,'Données projet'!$E$17+1,1))-AVERAGE(OFFSET($H$3,0,0,'Données projet'!$E$17+1,1))</f>
        <v>#N/A</v>
      </c>
      <c r="GF202" s="57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7" t="e">
        <f t="shared" si="201"/>
        <v>#N/A</v>
      </c>
      <c r="GZ202" s="57" t="e">
        <f ca="1">AVERAGE(OFFSET($GY$3,0,0,'Données projet'!$E$18+1,1))-AVERAGE(OFFSET($H$3,0,0,'Données projet'!$E$18+1,1))</f>
        <v>#N/A</v>
      </c>
      <c r="HA202" s="57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1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5">
        <f t="shared" si="192"/>
        <v>256.66666666666669</v>
      </c>
      <c r="I203" s="6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7" t="e">
        <f t="shared" si="191"/>
        <v>#NUM!</v>
      </c>
      <c r="S203" s="57">
        <f ca="1">AVERAGE(OFFSET($R$3,0,0,'Données projet'!$E$9+1,1))-AVERAGE(OFFSET($H$3,0,0,'Données projet'!$E$9+1,1))</f>
        <v>373.45926089889866</v>
      </c>
      <c r="T203" s="57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28.607969463283673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28.607969463283673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-1.0818439477588981E-13</v>
      </c>
      <c r="AK203" s="13" t="e">
        <f t="shared" si="164"/>
        <v>#NUM!</v>
      </c>
      <c r="AL203" s="20" t="e">
        <f t="shared" si="165"/>
        <v>#NUM!</v>
      </c>
      <c r="AM203" s="57" t="e">
        <f t="shared" si="193"/>
        <v>#NUM!</v>
      </c>
      <c r="AN203" s="57">
        <f ca="1">AVERAGE(OFFSET($AM$3,0,0,'Données projet'!$E$10+1,1))-AVERAGE(OFFSET($H$3,0,0,'Données projet'!$E$10+1,1))</f>
        <v>390.70240761116355</v>
      </c>
      <c r="AO203" s="57">
        <f t="shared" si="205"/>
        <v>241.18285512887638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30.087692021729364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30.087692021729364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-1.0995790944434703E-13</v>
      </c>
      <c r="BF203" s="13" t="e">
        <f t="shared" si="167"/>
        <v>#NUM!</v>
      </c>
      <c r="BG203" s="20" t="e">
        <f t="shared" si="168"/>
        <v>#NUM!</v>
      </c>
      <c r="BH203" s="57" t="e">
        <f t="shared" si="194"/>
        <v>#NUM!</v>
      </c>
      <c r="BI203" s="57">
        <f ca="1">AVERAGE(OFFSET($BH$3,0,0,'Données projet'!$E$11+1,1))-AVERAGE(OFFSET($H$3,0,0,'Données projet'!$E$11+1,1))</f>
        <v>396.44612884768748</v>
      </c>
      <c r="BJ203" s="57">
        <f t="shared" si="206"/>
        <v>244.451492444461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30.580932874544594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30.580932874544594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3.4106051316484809E-13</v>
      </c>
      <c r="BZ203" s="13">
        <f>BY203*VLOOKUP('Données projet'!$B$12,Paramètres!$A$1:$I$89,3,0)*VLOOKUP('Données projet'!$B$12,Paramètres!$A$1:$I$89,5,0)</f>
        <v>2.0395418687257919E-13</v>
      </c>
      <c r="CA203" s="13">
        <f t="shared" si="170"/>
        <v>2.8200388570161721E-12</v>
      </c>
      <c r="CB203" s="20">
        <f t="shared" si="171"/>
        <v>5.2667878847729083E-12</v>
      </c>
      <c r="CC203" s="57">
        <f t="shared" si="195"/>
        <v>293.3333333333386</v>
      </c>
      <c r="CD203" s="57">
        <f ca="1">AVERAGE(OFFSET($CC$3,0,0,'Données projet'!$E$12+1,1))-AVERAGE(OFFSET($H$3,0,0,'Données projet'!$E$12+1,1))</f>
        <v>259.64096626089821</v>
      </c>
      <c r="CE203" s="57">
        <f t="shared" si="207"/>
        <v>258.1415293081597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9.4301228412412552</v>
      </c>
      <c r="CL203" s="21">
        <f>EXP(-LN(2)/25)*CL202+(1-EXP(-LN(2)/25))/(LN(2)/25)*Calculateur!CG203*Calculateur!CI203*VLOOKUP('Données projet'!$B$12,Paramètres!$A$1:$I$89,3,0)*0.475*44/12</f>
        <v>0.73068683229703857</v>
      </c>
      <c r="CM203" s="21">
        <f>EXP(-LN(2)/2)*CM202+(1-EXP(-LN(2)/2))/(LN(2)/2)*CG203*CJ203*VLOOKUP('Données projet'!$B$12,Paramètres!$A$1:$I$89,3,0)*0.475*44/12</f>
        <v>2.3000728941084295E-20</v>
      </c>
      <c r="CN203" s="22">
        <f t="shared" si="172"/>
        <v>10.160809673538294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-1.223725121235475E-13</v>
      </c>
      <c r="CV203" s="13" t="e">
        <f t="shared" si="173"/>
        <v>#NUM!</v>
      </c>
      <c r="CW203" s="20" t="e">
        <f t="shared" si="174"/>
        <v>#NUM!</v>
      </c>
      <c r="CX203" s="57" t="e">
        <f t="shared" si="196"/>
        <v>#NUM!</v>
      </c>
      <c r="CY203" s="57">
        <f ca="1">AVERAGE(OFFSET($CX$3,0,0,'Données projet'!$E$13+1,1))-AVERAGE(OFFSET($H$3,0,0,'Données projet'!$E$13+1,1))</f>
        <v>436.59978658837537</v>
      </c>
      <c r="CZ203" s="57">
        <f t="shared" si="208"/>
        <v>267.2998309535638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34.033618844251258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34.033618844251258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-1.0818439477588981E-13</v>
      </c>
      <c r="DQ203" s="13" t="e">
        <f t="shared" si="176"/>
        <v>#NUM!</v>
      </c>
      <c r="DR203" s="20" t="e">
        <f t="shared" si="177"/>
        <v>#NUM!</v>
      </c>
      <c r="DS203" s="57" t="e">
        <f t="shared" si="197"/>
        <v>#NUM!</v>
      </c>
      <c r="DT203" s="57">
        <f ca="1">AVERAGE(OFFSET($DS$3,0,0,'Données projet'!$E$14+1,1))-AVERAGE(OFFSET($H$3,0,0,'Données projet'!$E$14+1,1))</f>
        <v>292.95981568144879</v>
      </c>
      <c r="DU203" s="57">
        <f t="shared" si="209"/>
        <v>152.23954167722536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21.851398584949695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21.851398584949695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7" t="e">
        <f t="shared" si="198"/>
        <v>#N/A</v>
      </c>
      <c r="EO203" s="57" t="e">
        <f ca="1">AVERAGE(OFFSET($EN$3,0,0,'Données projet'!$E$15+1,1))-AVERAGE(OFFSET($H$3,0,0,'Données projet'!$E$15+1,1))</f>
        <v>#N/A</v>
      </c>
      <c r="EP203" s="57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7" t="e">
        <f t="shared" si="199"/>
        <v>#N/A</v>
      </c>
      <c r="FJ203" s="57" t="e">
        <f ca="1">AVERAGE(OFFSET($FI$3,0,0,'Données projet'!$E$16+1,1))-AVERAGE(OFFSET($H$3,0,0,'Données projet'!$E$16+1,1))</f>
        <v>#N/A</v>
      </c>
      <c r="FK203" s="57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7" t="e">
        <f t="shared" si="200"/>
        <v>#N/A</v>
      </c>
      <c r="GE203" s="57" t="e">
        <f ca="1">AVERAGE(OFFSET($GD$3,0,0,'Données projet'!$E$17+1,1))-AVERAGE(OFFSET($H$3,0,0,'Données projet'!$E$17+1,1))</f>
        <v>#N/A</v>
      </c>
      <c r="GF203" s="57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7" t="e">
        <f t="shared" si="201"/>
        <v>#N/A</v>
      </c>
      <c r="GZ203" s="57" t="e">
        <f ca="1">AVERAGE(OFFSET($GY$3,0,0,'Données projet'!$E$18+1,1))-AVERAGE(OFFSET($H$3,0,0,'Données projet'!$E$18+1,1))</f>
        <v>#N/A</v>
      </c>
      <c r="HA203" s="57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4"/>
      <c r="D204" s="75"/>
      <c r="E204" s="75"/>
      <c r="F204" s="75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2" t="s">
        <v>293</v>
      </c>
      <c r="L204" s="76"/>
      <c r="M204" s="76"/>
      <c r="N204" s="76"/>
      <c r="O204" s="74"/>
      <c r="P204" s="74"/>
      <c r="Q204" s="75"/>
      <c r="R204" s="77"/>
      <c r="S204" s="77"/>
      <c r="T204" s="77"/>
      <c r="U204" s="76"/>
      <c r="V204" s="76"/>
      <c r="W204" s="78"/>
      <c r="X204" s="78"/>
      <c r="Y204" s="78"/>
      <c r="Z204" s="74"/>
      <c r="AA204" s="74"/>
      <c r="AB204" s="74"/>
      <c r="AC204" s="74"/>
      <c r="AD204" s="74"/>
      <c r="AE204" s="74"/>
      <c r="AF204" s="79" t="s">
        <v>293</v>
      </c>
      <c r="BA204" s="79" t="s">
        <v>293</v>
      </c>
      <c r="BV204" s="79" t="s">
        <v>293</v>
      </c>
      <c r="CQ204" s="79" t="s">
        <v>293</v>
      </c>
      <c r="DL204" s="79" t="s">
        <v>293</v>
      </c>
      <c r="EG204" s="79" t="s">
        <v>293</v>
      </c>
      <c r="FB204" s="79" t="s">
        <v>293</v>
      </c>
      <c r="FW204" s="79" t="s">
        <v>293</v>
      </c>
      <c r="GR204" s="79" t="s">
        <v>293</v>
      </c>
    </row>
    <row r="205" spans="1:218" ht="16" thickBot="1" x14ac:dyDescent="0.25">
      <c r="B205" s="10"/>
      <c r="C205" s="74"/>
      <c r="D205" s="75"/>
      <c r="E205" s="75"/>
      <c r="F205" s="75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0">
        <f>EXP(LN('Données projet'!B36)/'Données projet'!A36)</f>
        <v>1.2054868146447177</v>
      </c>
      <c r="L205" s="76"/>
      <c r="M205" s="76"/>
      <c r="N205" s="76"/>
      <c r="O205" s="74"/>
      <c r="P205" s="74"/>
      <c r="Q205" s="75"/>
      <c r="R205" s="77"/>
      <c r="S205" s="77"/>
      <c r="T205" s="77"/>
      <c r="U205" s="76"/>
      <c r="V205" s="76"/>
      <c r="W205" s="78"/>
      <c r="X205" s="78"/>
      <c r="Y205" s="78"/>
      <c r="Z205" s="74"/>
      <c r="AA205" s="74"/>
      <c r="AB205" s="74"/>
      <c r="AC205" s="74"/>
      <c r="AD205" s="74"/>
      <c r="AE205" s="74"/>
      <c r="AF205" s="81">
        <f>EXP(LN('Données projet'!B62)/'Données projet'!A62)</f>
        <v>1.2054868146447177</v>
      </c>
      <c r="BA205" s="80">
        <f>EXP(LN('Données projet'!B88)/'Données projet'!A88)</f>
        <v>1.2054868146447177</v>
      </c>
      <c r="BV205" s="80">
        <f>EXP(LN('Données projet'!B114)/'Données projet'!A114)</f>
        <v>1.2299854424358712</v>
      </c>
      <c r="CQ205" s="80">
        <f>EXP(LN('Données projet'!B140)/'Données projet'!A140)</f>
        <v>1.2054868146447177</v>
      </c>
      <c r="DL205" s="80">
        <f>EXP(LN('Données projet'!B166)/'Données projet'!A166)</f>
        <v>1.1457367676485573</v>
      </c>
      <c r="EG205" s="80" t="e">
        <f>EXP(LN('Données projet'!B192)/'Données projet'!A192)</f>
        <v>#NUM!</v>
      </c>
      <c r="FB205" s="80" t="e">
        <f>EXP(LN('Données projet'!B218)/'Données projet'!A218)</f>
        <v>#NUM!</v>
      </c>
      <c r="FW205" s="80" t="e">
        <f>EXP(LN('Données projet'!B244)/'Données projet'!A244)</f>
        <v>#NUM!</v>
      </c>
      <c r="GR205" s="80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6"/>
      <c r="K1" s="76"/>
      <c r="L1" s="76"/>
      <c r="M1" s="76"/>
      <c r="N1" s="76"/>
    </row>
    <row r="2" spans="1:16" x14ac:dyDescent="0.2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6"/>
      <c r="K2" s="76"/>
      <c r="L2" s="76"/>
      <c r="M2" s="76"/>
      <c r="N2" s="76"/>
      <c r="O2" s="279" t="s">
        <v>238</v>
      </c>
      <c r="P2" s="119">
        <v>0</v>
      </c>
    </row>
    <row r="3" spans="1:16" ht="16" thickBot="1" x14ac:dyDescent="0.2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6"/>
      <c r="K3" s="76"/>
      <c r="L3" s="76"/>
      <c r="M3" s="76"/>
      <c r="N3" s="76"/>
      <c r="O3" s="280"/>
      <c r="P3" s="126">
        <v>0.2</v>
      </c>
    </row>
    <row r="4" spans="1:16" ht="16" thickBot="1" x14ac:dyDescent="0.2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6"/>
      <c r="K4" s="76"/>
      <c r="L4" s="76"/>
      <c r="M4" s="76"/>
      <c r="N4" s="76"/>
    </row>
    <row r="5" spans="1:16" x14ac:dyDescent="0.2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6"/>
      <c r="K5" s="76"/>
      <c r="L5" s="76"/>
      <c r="M5" s="76"/>
      <c r="N5" s="76"/>
      <c r="O5" s="279" t="s">
        <v>237</v>
      </c>
      <c r="P5" s="119">
        <v>0</v>
      </c>
    </row>
    <row r="6" spans="1:16" x14ac:dyDescent="0.2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6"/>
      <c r="K6" s="76"/>
      <c r="L6" s="76"/>
      <c r="M6" s="76"/>
      <c r="N6" s="76"/>
      <c r="O6" s="281"/>
      <c r="P6" s="127">
        <v>0.05</v>
      </c>
    </row>
    <row r="7" spans="1:16" x14ac:dyDescent="0.2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6"/>
      <c r="K7" s="76"/>
      <c r="L7" s="76"/>
      <c r="M7" s="76"/>
      <c r="N7" s="76"/>
      <c r="O7" s="281"/>
      <c r="P7" s="127">
        <v>0.1</v>
      </c>
    </row>
    <row r="8" spans="1:16" ht="16" thickBot="1" x14ac:dyDescent="0.2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6"/>
      <c r="K8" s="76"/>
      <c r="L8" s="76"/>
      <c r="M8" s="76"/>
      <c r="N8" s="76"/>
      <c r="O8" s="280"/>
      <c r="P8" s="126">
        <v>0.15</v>
      </c>
    </row>
    <row r="9" spans="1:16" ht="16" thickBot="1" x14ac:dyDescent="0.2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6"/>
      <c r="K9" s="76"/>
      <c r="L9" s="76"/>
      <c r="M9" s="76"/>
      <c r="N9" s="76"/>
    </row>
    <row r="10" spans="1:16" x14ac:dyDescent="0.2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6"/>
      <c r="K10" s="76"/>
      <c r="L10" s="76"/>
      <c r="M10" s="76"/>
      <c r="N10" s="76"/>
      <c r="O10" s="279" t="s">
        <v>236</v>
      </c>
      <c r="P10" s="119">
        <v>0</v>
      </c>
    </row>
    <row r="11" spans="1:16" ht="16" thickBot="1" x14ac:dyDescent="0.2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6"/>
      <c r="K11" s="76"/>
      <c r="L11" s="76"/>
      <c r="M11" s="76"/>
      <c r="N11" s="76"/>
      <c r="O11" s="280"/>
      <c r="P11" s="126">
        <v>0.1</v>
      </c>
    </row>
    <row r="12" spans="1:16" x14ac:dyDescent="0.2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6"/>
      <c r="K12" s="76"/>
      <c r="L12" s="76"/>
      <c r="M12" s="76"/>
      <c r="N12" s="76"/>
    </row>
    <row r="13" spans="1:16" x14ac:dyDescent="0.2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6"/>
      <c r="K13" s="76"/>
      <c r="L13" s="76"/>
      <c r="M13" s="76"/>
      <c r="N13" s="76"/>
    </row>
    <row r="14" spans="1:16" x14ac:dyDescent="0.2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6"/>
      <c r="K14" s="76"/>
      <c r="L14" s="76"/>
      <c r="M14" s="76"/>
      <c r="N14" s="76"/>
    </row>
    <row r="15" spans="1:16" x14ac:dyDescent="0.2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6"/>
      <c r="K15" s="76"/>
      <c r="L15" s="76"/>
      <c r="M15" s="76"/>
      <c r="N15" s="76"/>
    </row>
    <row r="16" spans="1:16" x14ac:dyDescent="0.2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6"/>
      <c r="K16" s="76"/>
      <c r="L16" s="76"/>
      <c r="M16" s="76"/>
      <c r="N16" s="76"/>
    </row>
    <row r="17" spans="1:14" x14ac:dyDescent="0.2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6"/>
      <c r="K17" s="76"/>
      <c r="L17" s="76"/>
      <c r="M17" s="76"/>
      <c r="N17" s="76"/>
    </row>
    <row r="18" spans="1:14" x14ac:dyDescent="0.2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6"/>
      <c r="K18" s="76"/>
      <c r="L18" s="76"/>
      <c r="M18" s="76"/>
      <c r="N18" s="76"/>
    </row>
    <row r="19" spans="1:14" x14ac:dyDescent="0.2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6"/>
      <c r="K19" s="76"/>
      <c r="L19" s="76"/>
      <c r="M19" s="76"/>
      <c r="N19" s="76"/>
    </row>
    <row r="20" spans="1:14" x14ac:dyDescent="0.2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6"/>
      <c r="K20" s="76"/>
      <c r="L20" s="76"/>
      <c r="M20" s="76"/>
      <c r="N20" s="76"/>
    </row>
    <row r="21" spans="1:14" x14ac:dyDescent="0.2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6"/>
      <c r="K21" s="76"/>
      <c r="L21" s="76"/>
      <c r="M21" s="76"/>
      <c r="N21" s="76"/>
    </row>
    <row r="22" spans="1:14" x14ac:dyDescent="0.2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6"/>
      <c r="K22" s="76"/>
      <c r="L22" s="76"/>
      <c r="M22" s="76"/>
      <c r="N22" s="76"/>
    </row>
    <row r="23" spans="1:14" x14ac:dyDescent="0.2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6"/>
      <c r="K23" s="76"/>
      <c r="L23" s="76"/>
      <c r="M23" s="76"/>
      <c r="N23" s="76"/>
    </row>
    <row r="24" spans="1:14" x14ac:dyDescent="0.2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6"/>
      <c r="K24" s="76"/>
      <c r="L24" s="76"/>
      <c r="M24" s="76"/>
      <c r="N24" s="76"/>
    </row>
    <row r="25" spans="1:14" x14ac:dyDescent="0.2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6"/>
      <c r="K25" s="76"/>
      <c r="L25" s="76"/>
      <c r="M25" s="76"/>
      <c r="N25" s="76"/>
    </row>
    <row r="26" spans="1:14" x14ac:dyDescent="0.2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6"/>
      <c r="K26" s="76"/>
      <c r="L26" s="76"/>
      <c r="M26" s="76"/>
      <c r="N26" s="76"/>
    </row>
    <row r="27" spans="1:14" x14ac:dyDescent="0.2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6"/>
      <c r="K27" s="76"/>
      <c r="L27" s="76"/>
      <c r="M27" s="76"/>
      <c r="N27" s="76"/>
    </row>
    <row r="28" spans="1:14" x14ac:dyDescent="0.2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6"/>
      <c r="K28" s="76"/>
      <c r="L28" s="76"/>
      <c r="M28" s="76"/>
      <c r="N28" s="76"/>
    </row>
    <row r="29" spans="1:14" x14ac:dyDescent="0.2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6"/>
      <c r="K29" s="76"/>
      <c r="L29" s="76"/>
      <c r="M29" s="76"/>
      <c r="N29" s="76"/>
    </row>
    <row r="30" spans="1:14" x14ac:dyDescent="0.2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6"/>
      <c r="K30" s="76"/>
      <c r="L30" s="76"/>
      <c r="M30" s="76"/>
      <c r="N30" s="76"/>
    </row>
    <row r="31" spans="1:14" x14ac:dyDescent="0.2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6"/>
      <c r="K31" s="76"/>
      <c r="L31" s="76"/>
      <c r="M31" s="76"/>
      <c r="N31" s="76"/>
    </row>
    <row r="32" spans="1:14" x14ac:dyDescent="0.2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6"/>
      <c r="K32" s="76"/>
      <c r="L32" s="76"/>
      <c r="M32" s="76"/>
      <c r="N32" s="76"/>
    </row>
    <row r="33" spans="1:14" x14ac:dyDescent="0.2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6"/>
      <c r="K33" s="76"/>
      <c r="L33" s="76"/>
      <c r="M33" s="76"/>
      <c r="N33" s="76"/>
    </row>
    <row r="34" spans="1:14" x14ac:dyDescent="0.2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6"/>
      <c r="K34" s="76"/>
      <c r="L34" s="76"/>
      <c r="M34" s="76"/>
      <c r="N34" s="76"/>
    </row>
    <row r="35" spans="1:14" x14ac:dyDescent="0.2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6"/>
      <c r="K35" s="76"/>
      <c r="L35" s="76"/>
      <c r="M35" s="76"/>
      <c r="N35" s="76"/>
    </row>
    <row r="36" spans="1:14" x14ac:dyDescent="0.2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6"/>
      <c r="K36" s="76"/>
      <c r="L36" s="76"/>
      <c r="M36" s="76"/>
      <c r="N36" s="76"/>
    </row>
    <row r="37" spans="1:14" x14ac:dyDescent="0.2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6"/>
      <c r="K37" s="76"/>
      <c r="L37" s="76"/>
      <c r="M37" s="76"/>
      <c r="N37" s="76"/>
    </row>
    <row r="38" spans="1:14" x14ac:dyDescent="0.2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6"/>
      <c r="K38" s="76"/>
      <c r="L38" s="76"/>
      <c r="M38" s="76"/>
      <c r="N38" s="76"/>
    </row>
    <row r="39" spans="1:14" x14ac:dyDescent="0.2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6"/>
      <c r="K39" s="76"/>
      <c r="L39" s="76"/>
      <c r="M39" s="76"/>
      <c r="N39" s="76"/>
    </row>
    <row r="40" spans="1:14" x14ac:dyDescent="0.2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6"/>
      <c r="K40" s="76"/>
      <c r="L40" s="76"/>
      <c r="M40" s="76"/>
      <c r="N40" s="76"/>
    </row>
    <row r="41" spans="1:14" x14ac:dyDescent="0.2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6"/>
      <c r="K41" s="76"/>
      <c r="L41" s="76"/>
      <c r="M41" s="76"/>
      <c r="N41" s="76"/>
    </row>
    <row r="42" spans="1:14" x14ac:dyDescent="0.2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6"/>
      <c r="K42" s="76"/>
      <c r="L42" s="76"/>
      <c r="M42" s="76"/>
      <c r="N42" s="76"/>
    </row>
    <row r="43" spans="1:14" x14ac:dyDescent="0.2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6"/>
      <c r="K43" s="76"/>
      <c r="L43" s="76"/>
      <c r="M43" s="76"/>
      <c r="N43" s="76"/>
    </row>
    <row r="44" spans="1:14" x14ac:dyDescent="0.2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6"/>
      <c r="K44" s="76"/>
      <c r="L44" s="76"/>
      <c r="M44" s="76"/>
      <c r="N44" s="76"/>
    </row>
    <row r="45" spans="1:14" x14ac:dyDescent="0.2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6"/>
      <c r="K45" s="76"/>
      <c r="L45" s="76"/>
      <c r="M45" s="76"/>
      <c r="N45" s="76"/>
    </row>
    <row r="46" spans="1:14" x14ac:dyDescent="0.2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6"/>
      <c r="K46" s="76"/>
      <c r="L46" s="76"/>
      <c r="M46" s="76"/>
      <c r="N46" s="76"/>
    </row>
    <row r="47" spans="1:14" x14ac:dyDescent="0.2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6"/>
      <c r="K47" s="76"/>
      <c r="L47" s="76"/>
      <c r="M47" s="76"/>
      <c r="N47" s="76"/>
    </row>
    <row r="48" spans="1:14" x14ac:dyDescent="0.2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6"/>
      <c r="K48" s="76"/>
      <c r="L48" s="76"/>
      <c r="M48" s="76"/>
      <c r="N48" s="76"/>
    </row>
    <row r="49" spans="1:14" x14ac:dyDescent="0.2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6"/>
      <c r="K49" s="76"/>
      <c r="L49" s="76"/>
      <c r="M49" s="76"/>
      <c r="N49" s="76"/>
    </row>
    <row r="50" spans="1:14" x14ac:dyDescent="0.2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6"/>
      <c r="K50" s="76"/>
      <c r="L50" s="76"/>
      <c r="M50" s="76"/>
      <c r="N50" s="76"/>
    </row>
    <row r="51" spans="1:14" x14ac:dyDescent="0.2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6"/>
      <c r="K51" s="76"/>
      <c r="L51" s="76"/>
      <c r="M51" s="76"/>
      <c r="N51" s="76"/>
    </row>
    <row r="52" spans="1:14" x14ac:dyDescent="0.2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6"/>
      <c r="K52" s="76"/>
      <c r="L52" s="76"/>
      <c r="M52" s="76"/>
      <c r="N52" s="76"/>
    </row>
    <row r="53" spans="1:14" x14ac:dyDescent="0.2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6"/>
      <c r="K53" s="76"/>
      <c r="L53" s="76"/>
      <c r="M53" s="76"/>
      <c r="N53" s="76"/>
    </row>
    <row r="54" spans="1:14" x14ac:dyDescent="0.2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6"/>
      <c r="K54" s="76"/>
      <c r="L54" s="76"/>
      <c r="M54" s="76"/>
      <c r="N54" s="76"/>
    </row>
    <row r="55" spans="1:14" x14ac:dyDescent="0.2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6"/>
      <c r="K55" s="76"/>
      <c r="L55" s="76"/>
      <c r="M55" s="76"/>
      <c r="N55" s="76"/>
    </row>
    <row r="56" spans="1:14" x14ac:dyDescent="0.2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6"/>
      <c r="K56" s="76"/>
      <c r="L56" s="76"/>
      <c r="M56" s="76"/>
      <c r="N56" s="76"/>
    </row>
    <row r="57" spans="1:14" x14ac:dyDescent="0.2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6"/>
      <c r="K57" s="76"/>
      <c r="L57" s="76"/>
      <c r="M57" s="76"/>
      <c r="N57" s="76"/>
    </row>
    <row r="58" spans="1:14" x14ac:dyDescent="0.2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6"/>
      <c r="K58" s="76"/>
      <c r="L58" s="76"/>
      <c r="M58" s="76"/>
      <c r="N58" s="76"/>
    </row>
    <row r="59" spans="1:14" x14ac:dyDescent="0.2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6"/>
      <c r="K59" s="76"/>
      <c r="L59" s="76"/>
      <c r="M59" s="76"/>
      <c r="N59" s="76"/>
    </row>
    <row r="60" spans="1:14" x14ac:dyDescent="0.2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6"/>
      <c r="K60" s="76"/>
      <c r="L60" s="76"/>
      <c r="M60" s="76"/>
      <c r="N60" s="76"/>
    </row>
    <row r="61" spans="1:14" x14ac:dyDescent="0.2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6"/>
      <c r="K61" s="76"/>
      <c r="L61" s="76"/>
      <c r="M61" s="76"/>
      <c r="N61" s="76"/>
    </row>
    <row r="62" spans="1:14" x14ac:dyDescent="0.2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6"/>
      <c r="K62" s="76"/>
      <c r="L62" s="76"/>
      <c r="M62" s="76"/>
      <c r="N62" s="76"/>
    </row>
    <row r="63" spans="1:14" x14ac:dyDescent="0.2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6"/>
      <c r="K63" s="76"/>
      <c r="L63" s="76"/>
      <c r="M63" s="76"/>
      <c r="N63" s="76"/>
    </row>
    <row r="64" spans="1:14" x14ac:dyDescent="0.2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6"/>
      <c r="K64" s="76"/>
      <c r="L64" s="76"/>
      <c r="M64" s="76"/>
      <c r="N64" s="76"/>
    </row>
    <row r="65" spans="1:14" x14ac:dyDescent="0.2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6"/>
      <c r="K65" s="76"/>
      <c r="L65" s="76"/>
      <c r="M65" s="76"/>
      <c r="N65" s="76"/>
    </row>
    <row r="66" spans="1:14" x14ac:dyDescent="0.2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6"/>
      <c r="K66" s="76"/>
      <c r="L66" s="76"/>
      <c r="M66" s="76"/>
      <c r="N66" s="76"/>
    </row>
    <row r="67" spans="1:14" x14ac:dyDescent="0.2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6"/>
      <c r="K67" s="76"/>
      <c r="L67" s="76"/>
      <c r="M67" s="76"/>
      <c r="N67" s="76"/>
    </row>
    <row r="68" spans="1:14" x14ac:dyDescent="0.2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6"/>
      <c r="K68" s="76"/>
      <c r="L68" s="76"/>
      <c r="M68" s="76"/>
      <c r="N68" s="76"/>
    </row>
    <row r="69" spans="1:14" x14ac:dyDescent="0.2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6"/>
      <c r="K69" s="76"/>
      <c r="L69" s="76"/>
      <c r="M69" s="76"/>
      <c r="N69" s="76"/>
    </row>
    <row r="70" spans="1:14" x14ac:dyDescent="0.2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6"/>
      <c r="K70" s="76"/>
      <c r="L70" s="76"/>
      <c r="M70" s="76"/>
      <c r="N70" s="76"/>
    </row>
    <row r="71" spans="1:14" x14ac:dyDescent="0.2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6"/>
      <c r="K71" s="76"/>
      <c r="L71" s="76"/>
      <c r="M71" s="76"/>
      <c r="N71" s="76"/>
    </row>
    <row r="72" spans="1:14" x14ac:dyDescent="0.2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6"/>
      <c r="K72" s="76"/>
      <c r="L72" s="76"/>
      <c r="M72" s="76"/>
      <c r="N72" s="76"/>
    </row>
    <row r="73" spans="1:14" x14ac:dyDescent="0.2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6"/>
      <c r="K73" s="76"/>
      <c r="L73" s="76"/>
      <c r="M73" s="76"/>
      <c r="N73" s="76"/>
    </row>
    <row r="74" spans="1:14" x14ac:dyDescent="0.2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6"/>
      <c r="K74" s="76"/>
      <c r="L74" s="76"/>
      <c r="M74" s="76"/>
      <c r="N74" s="76"/>
    </row>
    <row r="75" spans="1:14" x14ac:dyDescent="0.2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6"/>
      <c r="K75" s="76"/>
      <c r="L75" s="76"/>
      <c r="M75" s="76"/>
      <c r="N75" s="76"/>
    </row>
    <row r="76" spans="1:14" x14ac:dyDescent="0.2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6"/>
      <c r="K76" s="76"/>
      <c r="L76" s="76"/>
      <c r="M76" s="76"/>
      <c r="N76" s="76"/>
    </row>
    <row r="77" spans="1:14" x14ac:dyDescent="0.2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6"/>
      <c r="K77" s="76"/>
      <c r="L77" s="76"/>
      <c r="M77" s="76"/>
      <c r="N77" s="76"/>
    </row>
    <row r="78" spans="1:14" x14ac:dyDescent="0.2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6"/>
      <c r="K78" s="76"/>
      <c r="L78" s="76"/>
      <c r="M78" s="76"/>
      <c r="N78" s="76"/>
    </row>
    <row r="79" spans="1:14" x14ac:dyDescent="0.2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6"/>
      <c r="K79" s="76"/>
      <c r="L79" s="76"/>
      <c r="M79" s="76"/>
      <c r="N79" s="76"/>
    </row>
    <row r="80" spans="1:14" x14ac:dyDescent="0.2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6"/>
      <c r="K80" s="76"/>
      <c r="L80" s="76"/>
      <c r="M80" s="76"/>
      <c r="N80" s="76"/>
    </row>
    <row r="81" spans="1:14" x14ac:dyDescent="0.2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6"/>
      <c r="K81" s="76"/>
      <c r="L81" s="76"/>
      <c r="M81" s="76"/>
      <c r="N81" s="76"/>
    </row>
    <row r="82" spans="1:14" x14ac:dyDescent="0.2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6"/>
      <c r="K82" s="76"/>
      <c r="L82" s="76"/>
      <c r="M82" s="76"/>
      <c r="N82" s="76"/>
    </row>
    <row r="83" spans="1:14" x14ac:dyDescent="0.2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6"/>
      <c r="K83" s="76"/>
      <c r="L83" s="76"/>
      <c r="M83" s="76"/>
      <c r="N83" s="76"/>
    </row>
    <row r="84" spans="1:14" x14ac:dyDescent="0.2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6"/>
      <c r="K84" s="76"/>
      <c r="L84" s="76"/>
      <c r="M84" s="76"/>
      <c r="N84" s="76"/>
    </row>
    <row r="85" spans="1:14" x14ac:dyDescent="0.2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6"/>
      <c r="K85" s="76"/>
      <c r="L85" s="76"/>
      <c r="M85" s="76"/>
      <c r="N85" s="76"/>
    </row>
    <row r="86" spans="1:14" x14ac:dyDescent="0.2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6"/>
      <c r="K86" s="76"/>
      <c r="L86" s="76"/>
      <c r="M86" s="76"/>
      <c r="N86" s="76"/>
    </row>
    <row r="87" spans="1:14" x14ac:dyDescent="0.2">
      <c r="A87" s="248" t="s">
        <v>321</v>
      </c>
      <c r="B87" s="249" t="s">
        <v>322</v>
      </c>
      <c r="C87" s="250">
        <v>0.41</v>
      </c>
      <c r="D87" s="250" t="s">
        <v>323</v>
      </c>
      <c r="E87" s="250">
        <v>1.56</v>
      </c>
      <c r="F87" s="251" t="s">
        <v>274</v>
      </c>
      <c r="G87" s="252">
        <v>0.43</v>
      </c>
      <c r="H87" s="250" t="s">
        <v>278</v>
      </c>
      <c r="I87" s="253">
        <v>0.25</v>
      </c>
      <c r="J87" s="76"/>
      <c r="K87" s="76"/>
      <c r="L87" s="76"/>
      <c r="M87" s="76"/>
      <c r="N87" s="76"/>
    </row>
    <row r="88" spans="1:14" x14ac:dyDescent="0.2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6" thickBot="1" x14ac:dyDescent="0.2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2">
      <c r="A93" s="120" t="s">
        <v>208</v>
      </c>
    </row>
    <row r="94" spans="1:14" x14ac:dyDescent="0.2">
      <c r="A94" s="120" t="s">
        <v>209</v>
      </c>
    </row>
    <row r="95" spans="1:14" x14ac:dyDescent="0.2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P1" zoomScale="90" zoomScaleNormal="90" workbookViewId="0">
      <selection activeCell="L19" sqref="L19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0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2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3" t="str">
        <f>IF('Données projet'!$B$9="","",'Données projet'!$B$9)</f>
        <v>Chêne sessile</v>
      </c>
      <c r="B6" s="144">
        <f>'Données projet'!D9</f>
        <v>1.74</v>
      </c>
      <c r="C6" s="145">
        <f ca="1">IF(OR('Données projet'!B9="",'Données projet'!C9="",'Données projet'!C9=0%),0,Calculateur!S3)</f>
        <v>373.45926089889866</v>
      </c>
      <c r="D6" s="145">
        <f>IF(OR('Données projet'!B9="",'Données projet'!C9="",'Données projet'!C9=0%),0,Calculateur!T3)</f>
        <v>231.36959598460686</v>
      </c>
      <c r="E6" s="145">
        <f ca="1">MIN(C6,D6)</f>
        <v>231.36959598460686</v>
      </c>
      <c r="F6" s="145">
        <f ca="1">E6*B6</f>
        <v>402.58309701321593</v>
      </c>
      <c r="G6" s="145">
        <f ca="1">F6*(100%-'Données projet'!$C$24)*(100%-'Données projet'!$C$25)*(100%-'Données projet'!$C$26)*(100%-'Données projet'!$C$27)</f>
        <v>307.97606921511016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9.1349999999999998</v>
      </c>
      <c r="K6" s="149">
        <f>J6*(100%-'Données projet'!$C$24)*(100%-'Données projet'!$C$25)*(100%-'Données projet'!$C$26)*(100%-'Données projet'!$C$27)</f>
        <v>6.9882750000000007</v>
      </c>
      <c r="L6" s="150">
        <f ca="1">G6+I6+K6</f>
        <v>314.96434421511015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1" t="str">
        <f>IF('Données projet'!$B$10="","",'Données projet'!$B$10)</f>
        <v>Charme</v>
      </c>
      <c r="B7" s="152">
        <f>'Données projet'!D10</f>
        <v>0.57999999999999996</v>
      </c>
      <c r="C7" s="145">
        <f ca="1">IF(OR('Données projet'!B10="",'Données projet'!C10="",'Données projet'!C10=0%),0,Calculateur!AN3)</f>
        <v>390.70240761116355</v>
      </c>
      <c r="D7" s="145">
        <f>IF(OR('Données projet'!B10="",'Données projet'!C10="",'Données projet'!C10=0%),0,Calculateur!AO3)</f>
        <v>241.18285512887638</v>
      </c>
      <c r="E7" s="145">
        <f t="shared" ref="E7:E15" ca="1" si="0">MIN(C7,D7)</f>
        <v>241.18285512887638</v>
      </c>
      <c r="F7" s="145">
        <f t="shared" ref="F7:F15" ca="1" si="1">E7*B7</f>
        <v>139.8860559747483</v>
      </c>
      <c r="G7" s="145">
        <f ca="1">F7*(100%-'Données projet'!$C$24)*(100%-'Données projet'!$C$25)*(100%-'Données projet'!$C$26)*(100%-'Données projet'!$C$27)</f>
        <v>107.01283282068245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3.0449999999999999</v>
      </c>
      <c r="K7" s="149">
        <f>J7*(100%-'Données projet'!$C$24)*(100%-'Données projet'!$C$25)*(100%-'Données projet'!$C$26)*(100%-'Données projet'!$C$27)</f>
        <v>2.3294250000000001</v>
      </c>
      <c r="L7" s="150">
        <f t="shared" ref="L7:L15" ca="1" si="2">G7+I7+K7</f>
        <v>109.34225782068245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1" t="str">
        <f>IF('Données projet'!$B$11="","",'Données projet'!$B$11)</f>
        <v>Alisier torminal</v>
      </c>
      <c r="B8" s="152">
        <f>'Données projet'!D11</f>
        <v>0.14499999999999999</v>
      </c>
      <c r="C8" s="145">
        <f ca="1">IF(OR('Données projet'!B11="",'Données projet'!C11="",'Données projet'!C11=0%),0,Calculateur!BI3)</f>
        <v>396.44612884768748</v>
      </c>
      <c r="D8" s="145">
        <f>IF(OR('Données projet'!B11="",'Données projet'!C11="",'Données projet'!C11=0%),0,Calculateur!BJ3)</f>
        <v>244.451492444461</v>
      </c>
      <c r="E8" s="145">
        <f t="shared" ca="1" si="0"/>
        <v>244.451492444461</v>
      </c>
      <c r="F8" s="145">
        <f t="shared" ca="1" si="1"/>
        <v>35.44546640444684</v>
      </c>
      <c r="G8" s="145">
        <f ca="1">F8*(100%-'Données projet'!$C$24)*(100%-'Données projet'!$C$25)*(100%-'Données projet'!$C$26)*(100%-'Données projet'!$C$27)</f>
        <v>27.115781799401834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0.76124999999999998</v>
      </c>
      <c r="K8" s="149">
        <f>J8*(100%-'Données projet'!$C$24)*(100%-'Données projet'!$C$25)*(100%-'Données projet'!$C$26)*(100%-'Données projet'!$C$27)</f>
        <v>0.58235625000000002</v>
      </c>
      <c r="L8" s="150">
        <f t="shared" ca="1" si="2"/>
        <v>27.698138049401834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1" t="str">
        <f>IF('Données projet'!$B$12="","",'Données projet'!$B$12)</f>
        <v>Pin laricio</v>
      </c>
      <c r="B9" s="152">
        <f>'Données projet'!D12</f>
        <v>0.14499999999999999</v>
      </c>
      <c r="C9" s="145">
        <f ca="1">IF(OR('Données projet'!B12="",'Données projet'!C12="",'Données projet'!C12=0%),0,Calculateur!CD3)</f>
        <v>259.64096626089821</v>
      </c>
      <c r="D9" s="145">
        <f>IF(OR('Données projet'!B12="",'Données projet'!C12="",'Données projet'!C12=0%),0,Calculateur!CE3)</f>
        <v>258.1415293081597</v>
      </c>
      <c r="E9" s="145">
        <f t="shared" ca="1" si="0"/>
        <v>258.1415293081597</v>
      </c>
      <c r="F9" s="145">
        <f t="shared" ca="1" si="1"/>
        <v>37.430521749683152</v>
      </c>
      <c r="G9" s="145">
        <f ca="1">F9*(100%-'Données projet'!$C$24)*(100%-'Données projet'!$C$25)*(100%-'Données projet'!$C$26)*(100%-'Données projet'!$C$27)</f>
        <v>28.634349138507613</v>
      </c>
      <c r="H9" s="153">
        <f>IF(OR('Données projet'!B12="",'Données projet'!C12="",'Données projet'!C12=0%),0,AVERAGE(Calculateur!$CN$3:$CN$33)*B9)</f>
        <v>0.89278695667976826</v>
      </c>
      <c r="I9" s="147">
        <f>H9*(100%-'Données projet'!$C$24)*(100%-'Données projet'!$C$25)*(100%-'Données projet'!$C$26)*(100%-'Données projet'!$C$27)</f>
        <v>0.68298202186002266</v>
      </c>
      <c r="J9" s="148">
        <f>IF(OR('Données projet'!B12="",'Données projet'!C12="",'Données projet'!C12=0%),0,SUM(Calculateur!$CG$3:$CG$33)*VLOOKUP('Données projet'!$B$12,Paramètres!$A$1:$I$89,9,0)*B9)</f>
        <v>5.6015239999999995</v>
      </c>
      <c r="K9" s="149">
        <f>J9*(100%-'Données projet'!$C$24)*(100%-'Données projet'!$C$25)*(100%-'Données projet'!$C$26)*(100%-'Données projet'!$C$27)</f>
        <v>4.2851658599999993</v>
      </c>
      <c r="L9" s="150">
        <f t="shared" ca="1" si="2"/>
        <v>33.602497020367636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1" t="str">
        <f>IF('Données projet'!$B$13="","",'Données projet'!$B$13)</f>
        <v>Cormier</v>
      </c>
      <c r="B10" s="152">
        <f>'Données projet'!D13</f>
        <v>0.14499999999999999</v>
      </c>
      <c r="C10" s="145">
        <f ca="1">IF(OR('Données projet'!B13="",'Données projet'!C13="",'Données projet'!C13=0%),0,Calculateur!CY3)</f>
        <v>436.59978658837537</v>
      </c>
      <c r="D10" s="145">
        <f>IF(OR('Données projet'!B13="",'Données projet'!C13="",'Données projet'!C13=0%),0,Calculateur!CZ3)</f>
        <v>267.2998309535638</v>
      </c>
      <c r="E10" s="145">
        <f t="shared" ca="1" si="0"/>
        <v>267.2998309535638</v>
      </c>
      <c r="F10" s="145">
        <f t="shared" ca="1" si="1"/>
        <v>38.758475488266747</v>
      </c>
      <c r="G10" s="145">
        <f ca="1">F10*(100%-'Données projet'!$C$24)*(100%-'Données projet'!$C$25)*(100%-'Données projet'!$C$26)*(100%-'Données projet'!$C$27)</f>
        <v>29.650233748524059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0.76124999999999998</v>
      </c>
      <c r="K10" s="149">
        <f>J10*(100%-'Données projet'!$C$24)*(100%-'Données projet'!$C$25)*(100%-'Données projet'!$C$26)*(100%-'Données projet'!$C$27)</f>
        <v>0.58235625000000002</v>
      </c>
      <c r="L10" s="150">
        <f t="shared" ca="1" si="2"/>
        <v>30.232589998524059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1" t="str">
        <f>IF('Données projet'!$B$14="","",'Données projet'!$B$14)</f>
        <v>Charme</v>
      </c>
      <c r="B11" s="152">
        <f>'Données projet'!D14</f>
        <v>0.14499999999999999</v>
      </c>
      <c r="C11" s="145">
        <f ca="1">IF(OR('Données projet'!B14="",'Données projet'!C14="",'Données projet'!C14=0%),0,Calculateur!DT3)</f>
        <v>292.95981568144879</v>
      </c>
      <c r="D11" s="145">
        <f>IF(OR('Données projet'!B14="",'Données projet'!C14="",'Données projet'!C14=0%),0,Calculateur!DU3)</f>
        <v>152.23954167722536</v>
      </c>
      <c r="E11" s="145">
        <f t="shared" ca="1" si="0"/>
        <v>152.23954167722536</v>
      </c>
      <c r="F11" s="145">
        <f t="shared" ca="1" si="1"/>
        <v>22.074733543197677</v>
      </c>
      <c r="G11" s="145">
        <f ca="1">F11*(100%-'Données projet'!$C$24)*(100%-'Données projet'!$C$25)*(100%-'Données projet'!$C$26)*(100%-'Données projet'!$C$27)</f>
        <v>16.887171160546224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ca="1" si="2"/>
        <v>16.887171160546224</v>
      </c>
      <c r="M11" s="254" t="s">
        <v>324</v>
      </c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6"/>
      <c r="B16" s="210"/>
      <c r="C16" s="211"/>
      <c r="D16" s="23"/>
      <c r="E16" s="23"/>
      <c r="F16" s="163">
        <f t="shared" ref="F16:L16" ca="1" si="3">SUM(F6:F15)</f>
        <v>676.17835017355867</v>
      </c>
      <c r="G16" s="164">
        <f t="shared" ca="1" si="3"/>
        <v>517.27643788277226</v>
      </c>
      <c r="H16" s="165">
        <f t="shared" si="3"/>
        <v>0.89278695667976826</v>
      </c>
      <c r="I16" s="165">
        <f t="shared" si="3"/>
        <v>0.68298202186002266</v>
      </c>
      <c r="J16" s="166">
        <f t="shared" si="3"/>
        <v>19.304024000000002</v>
      </c>
      <c r="K16" s="166">
        <f t="shared" si="3"/>
        <v>14.76757836</v>
      </c>
      <c r="L16" s="167">
        <f t="shared" ca="1" si="3"/>
        <v>532.72699826463236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6"/>
      <c r="B17" s="210"/>
      <c r="C17" s="211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6"/>
      <c r="B18" s="210"/>
      <c r="C18" s="211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68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68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68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68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" zoomScale="84" zoomScaleNormal="80" workbookViewId="0">
      <selection activeCell="P25" sqref="P2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0" t="s">
        <v>315</v>
      </c>
      <c r="I4" s="260"/>
      <c r="K4" s="284" t="s">
        <v>253</v>
      </c>
      <c r="L4" s="285"/>
      <c r="M4" s="234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39"/>
      <c r="B7" s="240"/>
      <c r="C7" s="240"/>
      <c r="D7" s="240"/>
      <c r="E7" s="241"/>
      <c r="F7" s="241" t="s">
        <v>192</v>
      </c>
      <c r="G7" s="242"/>
      <c r="H7" s="240"/>
      <c r="I7" s="240"/>
      <c r="J7" s="243"/>
      <c r="K7" s="237"/>
      <c r="L7" s="238"/>
      <c r="M7" s="238"/>
      <c r="N7" s="244" t="s">
        <v>191</v>
      </c>
      <c r="O7" s="244"/>
      <c r="P7" s="245"/>
      <c r="Q7" s="246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7"/>
      <c r="K8" s="205"/>
      <c r="L8" s="23"/>
      <c r="M8" s="23"/>
      <c r="N8" s="23"/>
      <c r="O8" s="23"/>
      <c r="P8" s="23"/>
      <c r="Q8" s="231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1" t="s">
        <v>311</v>
      </c>
      <c r="C9" s="23"/>
      <c r="D9" s="23"/>
      <c r="E9" s="23"/>
      <c r="F9" s="227"/>
      <c r="G9" s="91" t="s">
        <v>314</v>
      </c>
      <c r="J9" s="197"/>
      <c r="K9" s="205"/>
      <c r="O9" s="23"/>
      <c r="P9" s="23"/>
      <c r="Q9" s="231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1" t="s">
        <v>317</v>
      </c>
      <c r="C10" s="23"/>
      <c r="D10" s="23"/>
      <c r="E10" s="23"/>
      <c r="F10" s="227"/>
      <c r="G10" s="91" t="s">
        <v>316</v>
      </c>
      <c r="J10" s="197"/>
      <c r="K10" s="205"/>
      <c r="O10" s="23"/>
      <c r="P10" s="23"/>
      <c r="Q10" s="231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-2728.2320302121152</v>
      </c>
      <c r="U10" s="176">
        <f>'Données projet'!D9</f>
        <v>1.74</v>
      </c>
      <c r="V10" s="175">
        <f>U10*T10</f>
        <v>-4747.1237325690809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1" t="s">
        <v>312</v>
      </c>
      <c r="B11" s="23"/>
      <c r="C11" s="23"/>
      <c r="D11" s="23"/>
      <c r="E11" s="23"/>
      <c r="F11" s="227"/>
      <c r="G11" s="91" t="s">
        <v>313</v>
      </c>
      <c r="J11" s="197"/>
      <c r="K11" s="205"/>
      <c r="M11" s="4"/>
      <c r="N11" s="4"/>
      <c r="O11" s="23"/>
      <c r="P11" s="23"/>
      <c r="Q11" s="231"/>
      <c r="R11" s="23"/>
      <c r="S11" s="36" t="str">
        <f>B45</f>
        <v>Charme</v>
      </c>
      <c r="T11" s="23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-2489.9827863780383</v>
      </c>
      <c r="U11" s="176">
        <f>'Données projet'!D10</f>
        <v>0.57999999999999996</v>
      </c>
      <c r="V11" s="175">
        <f t="shared" ref="V11" si="0">U11*T11</f>
        <v>-1444.190016099262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7"/>
      <c r="J12" s="197"/>
      <c r="K12" s="205"/>
      <c r="L12" s="199"/>
      <c r="M12" s="23"/>
      <c r="N12" s="23"/>
      <c r="O12" s="23"/>
      <c r="P12" s="23"/>
      <c r="Q12" s="231"/>
      <c r="R12" s="23"/>
      <c r="S12" s="36" t="str">
        <f>B76</f>
        <v>Alisier torminal</v>
      </c>
      <c r="T12" s="23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-5022.4419036589488</v>
      </c>
      <c r="U12" s="176">
        <f>'Données projet'!D11</f>
        <v>0.14499999999999999</v>
      </c>
      <c r="V12" s="175">
        <f t="shared" ref="V12:V19" si="1">U12*T12</f>
        <v>-728.25407603054748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7"/>
      <c r="J13" s="23"/>
      <c r="K13" s="205"/>
      <c r="L13" s="91" t="s">
        <v>257</v>
      </c>
      <c r="M13" s="23"/>
      <c r="N13" s="23"/>
      <c r="O13" s="23"/>
      <c r="P13" s="23"/>
      <c r="Q13" s="231"/>
      <c r="R13" s="23"/>
      <c r="S13" s="36" t="str">
        <f>B107</f>
        <v>Pin laricio</v>
      </c>
      <c r="T13" s="23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-394.20222181898146</v>
      </c>
      <c r="U13" s="176">
        <f>'Données projet'!D12</f>
        <v>0.14499999999999999</v>
      </c>
      <c r="V13" s="175">
        <f t="shared" si="1"/>
        <v>-57.159322163752307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7"/>
      <c r="G14" s="23"/>
      <c r="H14" s="36" t="s">
        <v>178</v>
      </c>
      <c r="I14" s="36" t="s">
        <v>290</v>
      </c>
      <c r="J14" s="198"/>
      <c r="K14" s="171"/>
      <c r="L14" s="199"/>
      <c r="M14" s="23"/>
      <c r="N14" s="23"/>
      <c r="O14" s="4"/>
      <c r="P14" s="4"/>
      <c r="Q14" s="232"/>
      <c r="R14" s="4"/>
      <c r="S14" s="36" t="str">
        <f>B138</f>
        <v>Cormier</v>
      </c>
      <c r="T14" s="23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-5189.9827863780374</v>
      </c>
      <c r="U14" s="176">
        <f>'Données projet'!D13</f>
        <v>0.14499999999999999</v>
      </c>
      <c r="V14" s="175">
        <f t="shared" si="1"/>
        <v>-752.54750402481534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7"/>
      <c r="G15" s="287" t="s">
        <v>318</v>
      </c>
      <c r="H15" s="188">
        <v>1</v>
      </c>
      <c r="I15" s="189"/>
      <c r="J15" s="199"/>
      <c r="K15" s="205"/>
      <c r="L15" s="199"/>
      <c r="M15" s="23"/>
      <c r="N15" s="23"/>
      <c r="O15" s="23"/>
      <c r="P15" s="23"/>
      <c r="Q15" s="231"/>
      <c r="R15" s="23"/>
      <c r="S15" s="36" t="str">
        <f>B169</f>
        <v>Charme</v>
      </c>
      <c r="T15" s="23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-3799.9017519919435</v>
      </c>
      <c r="U15" s="176">
        <f>'Données projet'!D14</f>
        <v>0.14499999999999999</v>
      </c>
      <c r="V15" s="175">
        <f t="shared" si="1"/>
        <v>-550.98575403883171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7"/>
      <c r="G16" s="287"/>
      <c r="H16" s="188"/>
      <c r="I16" s="189"/>
      <c r="J16" s="199"/>
      <c r="K16" s="205"/>
      <c r="L16" s="284" t="s">
        <v>254</v>
      </c>
      <c r="M16" s="285"/>
      <c r="N16" s="2"/>
      <c r="O16" s="23"/>
      <c r="P16" s="23"/>
      <c r="Q16" s="231"/>
      <c r="R16" s="23"/>
      <c r="S16" s="36" t="str">
        <f>B200</f>
        <v/>
      </c>
      <c r="T16" s="23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6" t="s">
        <v>132</v>
      </c>
      <c r="C17" s="195" t="s">
        <v>132</v>
      </c>
      <c r="D17" s="194" t="s">
        <v>132</v>
      </c>
      <c r="E17" s="191">
        <v>4200</v>
      </c>
      <c r="F17" s="227"/>
      <c r="G17" s="287"/>
      <c r="J17" s="199"/>
      <c r="K17" s="205"/>
      <c r="L17" s="257" t="s">
        <v>289</v>
      </c>
      <c r="M17" s="259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1"/>
      <c r="R17" s="23"/>
      <c r="S17" s="36" t="str">
        <f>B231</f>
        <v/>
      </c>
      <c r="T17" s="23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6" t="s">
        <v>132</v>
      </c>
      <c r="C18" s="195" t="s">
        <v>132</v>
      </c>
      <c r="D18" s="194" t="s">
        <v>132</v>
      </c>
      <c r="E18" s="191"/>
      <c r="F18" s="227"/>
      <c r="G18" s="287"/>
      <c r="J18" s="199"/>
      <c r="K18" s="205"/>
      <c r="L18" s="257" t="s">
        <v>255</v>
      </c>
      <c r="M18" s="259"/>
      <c r="N18" s="190"/>
      <c r="O18" s="23"/>
      <c r="P18" s="23"/>
      <c r="Q18" s="231"/>
      <c r="R18" s="23"/>
      <c r="S18" s="36" t="str">
        <f>B262</f>
        <v/>
      </c>
      <c r="T18" s="23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6" t="s">
        <v>132</v>
      </c>
      <c r="C19" s="195" t="s">
        <v>132</v>
      </c>
      <c r="D19" s="194" t="s">
        <v>132</v>
      </c>
      <c r="E19" s="191"/>
      <c r="F19" s="227"/>
      <c r="G19" s="287"/>
      <c r="H19" s="209" t="s">
        <v>178</v>
      </c>
      <c r="I19" s="209" t="s">
        <v>287</v>
      </c>
      <c r="J19" s="91"/>
      <c r="K19" s="171"/>
      <c r="L19" s="284" t="s">
        <v>288</v>
      </c>
      <c r="M19" s="285"/>
      <c r="N19" s="177">
        <f>N17*N18</f>
        <v>0</v>
      </c>
      <c r="O19" s="23"/>
      <c r="P19" s="4"/>
      <c r="Q19" s="232"/>
      <c r="R19" s="4"/>
      <c r="S19" s="36" t="str">
        <f>B293</f>
        <v/>
      </c>
      <c r="T19" s="23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6" t="s">
        <v>132</v>
      </c>
      <c r="C20" s="195" t="s">
        <v>132</v>
      </c>
      <c r="D20" s="194" t="s">
        <v>132</v>
      </c>
      <c r="E20" s="191"/>
      <c r="F20" s="227"/>
      <c r="G20" s="287"/>
      <c r="H20" s="188">
        <v>0</v>
      </c>
      <c r="I20" s="189">
        <v>1570</v>
      </c>
      <c r="J20" s="4"/>
      <c r="K20" s="171"/>
      <c r="O20" s="23"/>
      <c r="P20" s="4"/>
      <c r="Q20" s="232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6" t="s">
        <v>132</v>
      </c>
      <c r="C21" s="195" t="s">
        <v>132</v>
      </c>
      <c r="D21" s="194" t="s">
        <v>132</v>
      </c>
      <c r="E21" s="191"/>
      <c r="F21" s="227"/>
      <c r="H21" s="188">
        <v>1</v>
      </c>
      <c r="I21" s="189">
        <v>30</v>
      </c>
      <c r="K21" s="171"/>
      <c r="O21" s="23"/>
      <c r="P21" s="4"/>
      <c r="Q21" s="232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6" t="s">
        <v>132</v>
      </c>
      <c r="C22" s="195" t="s">
        <v>132</v>
      </c>
      <c r="D22" s="194" t="s">
        <v>132</v>
      </c>
      <c r="E22" s="191"/>
      <c r="F22" s="227"/>
      <c r="H22" s="188">
        <v>2</v>
      </c>
      <c r="I22" s="189">
        <v>30</v>
      </c>
      <c r="K22" s="171"/>
      <c r="O22" s="23"/>
      <c r="P22" s="4"/>
      <c r="Q22" s="232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78">
        <f>'Données projet'!A36</f>
        <v>20</v>
      </c>
      <c r="B23" s="179">
        <f>'Données projet'!D36</f>
        <v>0</v>
      </c>
      <c r="C23" s="191">
        <f>200*'Données projet'!E36+13.8*('Données projet'!F36+'Données projet'!G36)+10*'Données projet'!G36</f>
        <v>0</v>
      </c>
      <c r="D23" s="180">
        <f>B23*C23</f>
        <v>0</v>
      </c>
      <c r="E23" s="191"/>
      <c r="F23" s="227"/>
      <c r="H23" s="188">
        <v>3</v>
      </c>
      <c r="I23" s="189"/>
      <c r="K23" s="205"/>
      <c r="L23" s="286" t="s">
        <v>260</v>
      </c>
      <c r="M23" s="286"/>
      <c r="N23" s="286"/>
      <c r="O23" s="23"/>
      <c r="P23" s="23"/>
      <c r="Q23" s="231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-12996.182499200688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78">
        <f>'Données projet'!A37</f>
        <v>25</v>
      </c>
      <c r="B24" s="179">
        <f>'Données projet'!D37</f>
        <v>0</v>
      </c>
      <c r="C24" s="191">
        <f>200*'Données projet'!E37+13.8*('Données projet'!F37+'Données projet'!G37)+10*'Données projet'!G37</f>
        <v>0</v>
      </c>
      <c r="D24" s="180">
        <f t="shared" ref="D24:D42" si="2">B24*C24</f>
        <v>0</v>
      </c>
      <c r="E24" s="191"/>
      <c r="F24" s="230"/>
      <c r="H24" s="188">
        <v>4</v>
      </c>
      <c r="I24" s="189"/>
      <c r="K24" s="205"/>
      <c r="O24" s="23"/>
      <c r="P24" s="23"/>
      <c r="Q24" s="231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78">
        <f>'Données projet'!A38</f>
        <v>30</v>
      </c>
      <c r="B25" s="179">
        <f>'Données projet'!D38</f>
        <v>21</v>
      </c>
      <c r="C25" s="191">
        <f>200*'Données projet'!E38+13.8*('Données projet'!F38+'Données projet'!G38)+10*'Données projet'!G38</f>
        <v>0</v>
      </c>
      <c r="D25" s="180">
        <f t="shared" si="2"/>
        <v>0</v>
      </c>
      <c r="E25" s="191"/>
      <c r="F25" s="230"/>
      <c r="H25" s="188">
        <v>5</v>
      </c>
      <c r="I25" s="189"/>
      <c r="K25" s="205"/>
      <c r="L25" s="128" t="s">
        <v>285</v>
      </c>
      <c r="M25" s="128"/>
      <c r="N25" s="128"/>
      <c r="O25" s="128"/>
      <c r="P25" s="190">
        <v>0</v>
      </c>
      <c r="Q25" s="231"/>
      <c r="R25" s="23"/>
      <c r="S25" s="184" t="s">
        <v>266</v>
      </c>
      <c r="T25" s="301">
        <f ca="1">T23-T24</f>
        <v>-12996.182499200688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78">
        <f>'Données projet'!A39</f>
        <v>35</v>
      </c>
      <c r="B26" s="179">
        <f>'Données projet'!D39</f>
        <v>21</v>
      </c>
      <c r="C26" s="191">
        <f>200*'Données projet'!E39+13.8*('Données projet'!F39+'Données projet'!G39)+10*'Données projet'!G39</f>
        <v>0</v>
      </c>
      <c r="D26" s="180">
        <f t="shared" si="2"/>
        <v>0</v>
      </c>
      <c r="E26" s="191"/>
      <c r="F26" s="230"/>
      <c r="G26" s="226"/>
      <c r="H26" s="188"/>
      <c r="I26" s="189"/>
      <c r="K26" s="205"/>
      <c r="L26" s="288" t="s">
        <v>258</v>
      </c>
      <c r="M26" s="289"/>
      <c r="N26" s="289"/>
      <c r="O26" s="289"/>
      <c r="P26" s="290"/>
      <c r="Q26" s="231"/>
      <c r="R26" s="23"/>
      <c r="S26" s="184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78">
        <f>'Données projet'!A40</f>
        <v>40</v>
      </c>
      <c r="B27" s="179">
        <f>'Données projet'!D40</f>
        <v>21</v>
      </c>
      <c r="C27" s="191">
        <f>200*'Données projet'!E40+13.8*('Données projet'!F40+'Données projet'!G40)+10*'Données projet'!G40</f>
        <v>40</v>
      </c>
      <c r="D27" s="180">
        <f t="shared" si="2"/>
        <v>840</v>
      </c>
      <c r="E27" s="191"/>
      <c r="F27" s="230"/>
      <c r="G27" s="226"/>
      <c r="H27" s="188"/>
      <c r="I27" s="189"/>
      <c r="K27" s="205"/>
      <c r="L27" s="291"/>
      <c r="M27" s="292"/>
      <c r="N27" s="292"/>
      <c r="O27" s="292"/>
      <c r="P27" s="293"/>
      <c r="Q27" s="231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78">
        <f>'Données projet'!A41</f>
        <v>45</v>
      </c>
      <c r="B28" s="179">
        <f>'Données projet'!D41</f>
        <v>21</v>
      </c>
      <c r="C28" s="191">
        <f>200*'Données projet'!E41+13.8*('Données projet'!F41+'Données projet'!G41)+10*'Données projet'!G41</f>
        <v>40</v>
      </c>
      <c r="D28" s="180">
        <f t="shared" si="2"/>
        <v>840</v>
      </c>
      <c r="E28" s="191"/>
      <c r="F28" s="230"/>
      <c r="G28" s="202"/>
      <c r="H28" s="188"/>
      <c r="I28" s="189"/>
      <c r="K28" s="205"/>
      <c r="Q28" s="231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78">
        <f>'Données projet'!A42</f>
        <v>50</v>
      </c>
      <c r="B29" s="179">
        <f>'Données projet'!D42</f>
        <v>21</v>
      </c>
      <c r="C29" s="191">
        <f>200*'Données projet'!E42+13.8*('Données projet'!F42+'Données projet'!G42)+10*'Données projet'!G42</f>
        <v>60</v>
      </c>
      <c r="D29" s="180">
        <f t="shared" si="2"/>
        <v>1260</v>
      </c>
      <c r="E29" s="191"/>
      <c r="F29" s="230"/>
      <c r="G29" s="200"/>
      <c r="H29" s="188"/>
      <c r="I29" s="189"/>
      <c r="K29" s="205"/>
      <c r="O29" s="23"/>
      <c r="P29" s="23"/>
      <c r="Q29" s="231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78">
        <f>'Données projet'!A43</f>
        <v>55</v>
      </c>
      <c r="B30" s="179">
        <f>'Données projet'!D43</f>
        <v>21</v>
      </c>
      <c r="C30" s="191">
        <f>200*'Données projet'!E43+13.8*('Données projet'!F43+'Données projet'!G43)+10*'Données projet'!G43</f>
        <v>60</v>
      </c>
      <c r="D30" s="180">
        <f t="shared" si="2"/>
        <v>1260</v>
      </c>
      <c r="E30" s="191"/>
      <c r="F30" s="230"/>
      <c r="G30" s="200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2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78">
        <f>'Données projet'!A44</f>
        <v>60</v>
      </c>
      <c r="B31" s="179">
        <f>'Données projet'!D44</f>
        <v>21</v>
      </c>
      <c r="C31" s="191">
        <f>200*'Données projet'!E44+13.8*('Données projet'!F44+'Données projet'!G44)+10*'Données projet'!G44</f>
        <v>80</v>
      </c>
      <c r="D31" s="180">
        <f t="shared" si="2"/>
        <v>1680</v>
      </c>
      <c r="E31" s="191"/>
      <c r="F31" s="230"/>
      <c r="G31" s="200"/>
      <c r="H31" s="188"/>
      <c r="I31" s="189"/>
      <c r="K31" s="171"/>
      <c r="Q31" s="231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78">
        <f>'Données projet'!A45</f>
        <v>65</v>
      </c>
      <c r="B32" s="179">
        <f>'Données projet'!D45</f>
        <v>21</v>
      </c>
      <c r="C32" s="191">
        <f>200*'Données projet'!E45+13.8*('Données projet'!F45+'Données projet'!G45)+10*'Données projet'!G45</f>
        <v>80</v>
      </c>
      <c r="D32" s="180">
        <f t="shared" si="2"/>
        <v>1680</v>
      </c>
      <c r="E32" s="191"/>
      <c r="F32" s="230"/>
      <c r="G32" s="200"/>
      <c r="H32" s="188"/>
      <c r="I32" s="189"/>
      <c r="K32" s="171"/>
      <c r="N32" s="4"/>
      <c r="O32" s="83" t="s">
        <v>178</v>
      </c>
      <c r="P32" s="83" t="s">
        <v>252</v>
      </c>
      <c r="Q32" s="231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78">
        <f>'Données projet'!A46</f>
        <v>70</v>
      </c>
      <c r="B33" s="179">
        <f>'Données projet'!D46</f>
        <v>21</v>
      </c>
      <c r="C33" s="191">
        <f>200*'Données projet'!E46+13.8*('Données projet'!F46+'Données projet'!G46)+10*'Données projet'!G46</f>
        <v>100</v>
      </c>
      <c r="D33" s="180">
        <f t="shared" si="2"/>
        <v>2100</v>
      </c>
      <c r="E33" s="191"/>
      <c r="F33" s="230"/>
      <c r="G33" s="200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1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78">
        <f>'Données projet'!A47</f>
        <v>75</v>
      </c>
      <c r="B34" s="179">
        <f>'Données projet'!D47</f>
        <v>21</v>
      </c>
      <c r="C34" s="191">
        <f>200*'Données projet'!E47+13.8*('Données projet'!F47+'Données projet'!G47)+10*'Données projet'!G47</f>
        <v>100</v>
      </c>
      <c r="D34" s="180">
        <f t="shared" si="2"/>
        <v>2100</v>
      </c>
      <c r="E34" s="191"/>
      <c r="F34" s="230"/>
      <c r="G34" s="200"/>
      <c r="H34" s="188"/>
      <c r="I34" s="189"/>
      <c r="K34" s="171"/>
      <c r="L34" s="96"/>
      <c r="M34" s="96"/>
      <c r="N34" s="247"/>
      <c r="O34" s="192">
        <f>IF(O33+1&lt;=MIN('Données projet'!$E$9:$E$18),O33+1,"STOP")</f>
        <v>1</v>
      </c>
      <c r="P34" s="183">
        <f t="shared" si="3"/>
        <v>0</v>
      </c>
      <c r="Q34" s="231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78">
        <f>'Données projet'!A48</f>
        <v>80</v>
      </c>
      <c r="B35" s="179">
        <f>'Données projet'!D48</f>
        <v>21</v>
      </c>
      <c r="C35" s="191">
        <f>200*'Données projet'!E48+13.8*('Données projet'!F48+'Données projet'!G48)+10*'Données projet'!G48</f>
        <v>120</v>
      </c>
      <c r="D35" s="180">
        <f t="shared" si="2"/>
        <v>2520</v>
      </c>
      <c r="E35" s="191"/>
      <c r="F35" s="230"/>
      <c r="G35" s="200"/>
      <c r="H35" s="188"/>
      <c r="I35" s="189"/>
      <c r="K35" s="171"/>
      <c r="L35" s="96"/>
      <c r="M35" s="96"/>
      <c r="N35" s="247"/>
      <c r="O35" s="192">
        <f>IF(O34+1&lt;=MIN('Données projet'!$E$9:$E$18),O34+1,"STOP")</f>
        <v>2</v>
      </c>
      <c r="P35" s="183">
        <f t="shared" si="3"/>
        <v>0</v>
      </c>
      <c r="Q35" s="231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78">
        <f>'Données projet'!A49</f>
        <v>85</v>
      </c>
      <c r="B36" s="179">
        <f>'Données projet'!D49</f>
        <v>21</v>
      </c>
      <c r="C36" s="191">
        <f>200*'Données projet'!E49+13.8*('Données projet'!F49+'Données projet'!G49)+10*'Données projet'!G49</f>
        <v>120</v>
      </c>
      <c r="D36" s="180">
        <f t="shared" si="2"/>
        <v>2520</v>
      </c>
      <c r="E36" s="191"/>
      <c r="F36" s="230"/>
      <c r="G36" s="200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1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78">
        <f>'Données projet'!A50</f>
        <v>90</v>
      </c>
      <c r="B37" s="179">
        <f>'Données projet'!D50</f>
        <v>21</v>
      </c>
      <c r="C37" s="191">
        <f>200*'Données projet'!E50+13.8*('Données projet'!F50+'Données projet'!G50)+10*'Données projet'!G50</f>
        <v>140</v>
      </c>
      <c r="D37" s="180">
        <f t="shared" si="2"/>
        <v>2940</v>
      </c>
      <c r="E37" s="191"/>
      <c r="F37" s="230"/>
      <c r="G37" s="200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1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78">
        <f>'Données projet'!A51</f>
        <v>95</v>
      </c>
      <c r="B38" s="179">
        <f>'Données projet'!D51</f>
        <v>21</v>
      </c>
      <c r="C38" s="191">
        <f>200*'Données projet'!E51+13.8*('Données projet'!F51+'Données projet'!G51)+10*'Données projet'!G51</f>
        <v>140</v>
      </c>
      <c r="D38" s="180">
        <f t="shared" si="2"/>
        <v>2940</v>
      </c>
      <c r="E38" s="191"/>
      <c r="F38" s="230"/>
      <c r="G38" s="200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1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78">
        <f>'Données projet'!A52</f>
        <v>100</v>
      </c>
      <c r="B39" s="179">
        <f>'Données projet'!D52</f>
        <v>21</v>
      </c>
      <c r="C39" s="191">
        <f>200*'Données projet'!E52+13.8*('Données projet'!F52+'Données projet'!G52)+10*'Données projet'!G52</f>
        <v>140</v>
      </c>
      <c r="D39" s="180">
        <f t="shared" si="2"/>
        <v>2940</v>
      </c>
      <c r="E39" s="191"/>
      <c r="F39" s="230"/>
      <c r="G39" s="200"/>
      <c r="H39" s="188"/>
      <c r="I39" s="189"/>
      <c r="K39" s="205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1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78">
        <f>'Données projet'!A53</f>
        <v>110</v>
      </c>
      <c r="B40" s="179">
        <f>'Données projet'!D53</f>
        <v>39</v>
      </c>
      <c r="C40" s="191">
        <f>200*'Données projet'!E53+13.8*('Données projet'!F53+'Données projet'!G53)+10*'Données projet'!G53</f>
        <v>160</v>
      </c>
      <c r="D40" s="180">
        <f t="shared" si="2"/>
        <v>6240</v>
      </c>
      <c r="E40" s="191"/>
      <c r="F40" s="230"/>
      <c r="G40" s="200"/>
      <c r="H40" s="188"/>
      <c r="I40" s="189"/>
      <c r="K40" s="205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1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78">
        <f>'Données projet'!A54</f>
        <v>115</v>
      </c>
      <c r="B41" s="179">
        <f>'Données projet'!D54</f>
        <v>18</v>
      </c>
      <c r="C41" s="191">
        <f>200*'Données projet'!E54+13.8*('Données projet'!F54+'Données projet'!G54)+10*'Données projet'!G54</f>
        <v>160</v>
      </c>
      <c r="D41" s="180">
        <f t="shared" si="2"/>
        <v>2880</v>
      </c>
      <c r="E41" s="191"/>
      <c r="F41" s="230"/>
      <c r="G41" s="200"/>
      <c r="H41" s="188"/>
      <c r="I41" s="189"/>
      <c r="K41" s="205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1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78">
        <f>'Données projet'!A55</f>
        <v>120</v>
      </c>
      <c r="B42" s="179">
        <f>'Données projet'!D55</f>
        <v>285</v>
      </c>
      <c r="C42" s="191">
        <f>200*'Données projet'!E55+13.8*('Données projet'!F55+'Données projet'!G55)+10*'Données projet'!G55</f>
        <v>160</v>
      </c>
      <c r="D42" s="180">
        <f t="shared" si="2"/>
        <v>45600</v>
      </c>
      <c r="E42" s="191"/>
      <c r="F42" s="230"/>
      <c r="G42" s="200"/>
      <c r="H42" s="188"/>
      <c r="I42" s="189"/>
      <c r="K42" s="205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1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5"/>
      <c r="B43" s="185"/>
      <c r="C43" s="185"/>
      <c r="D43" s="224"/>
      <c r="E43" s="224"/>
      <c r="F43" s="235"/>
      <c r="G43" s="200"/>
      <c r="H43" s="188"/>
      <c r="I43" s="189"/>
      <c r="K43" s="205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2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7"/>
      <c r="G44" s="200"/>
      <c r="H44" s="188"/>
      <c r="I44" s="189"/>
      <c r="K44" s="205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2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7"/>
      <c r="G45" s="200"/>
      <c r="H45" s="188"/>
      <c r="I45" s="189"/>
      <c r="J45" s="23"/>
      <c r="K45" s="205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7"/>
      <c r="G46" s="200"/>
      <c r="H46" s="188"/>
      <c r="I46" s="189"/>
      <c r="J46" s="23"/>
      <c r="K46" s="205"/>
      <c r="L46" s="201"/>
      <c r="M46" s="201"/>
      <c r="N46" s="201"/>
      <c r="O46" s="192">
        <f>IF(O45+1&lt;=MIN('Données projet'!$E$9:$E$18),O45+1,"STOP")</f>
        <v>13</v>
      </c>
      <c r="P46" s="186">
        <f t="shared" si="3"/>
        <v>0</v>
      </c>
      <c r="Q46" s="23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8"/>
      <c r="G47" s="200"/>
      <c r="H47" s="188"/>
      <c r="I47" s="189"/>
      <c r="J47" s="23"/>
      <c r="K47" s="205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6" t="s">
        <v>132</v>
      </c>
      <c r="C48" s="195" t="s">
        <v>132</v>
      </c>
      <c r="D48" s="194" t="s">
        <v>132</v>
      </c>
      <c r="E48" s="191">
        <v>3150</v>
      </c>
      <c r="F48" s="228"/>
      <c r="G48" s="200"/>
      <c r="H48" s="188"/>
      <c r="I48" s="189"/>
      <c r="J48" s="23"/>
      <c r="K48" s="205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2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2">
      <c r="A49" s="49">
        <v>1</v>
      </c>
      <c r="B49" s="196" t="s">
        <v>132</v>
      </c>
      <c r="C49" s="195" t="s">
        <v>132</v>
      </c>
      <c r="D49" s="194" t="s">
        <v>132</v>
      </c>
      <c r="E49" s="191"/>
      <c r="F49" s="228"/>
      <c r="G49" s="201"/>
      <c r="H49" s="188"/>
      <c r="I49" s="189"/>
      <c r="J49" s="201"/>
      <c r="K49" s="207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3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ht="16" x14ac:dyDescent="0.2">
      <c r="A50" s="49">
        <v>2</v>
      </c>
      <c r="B50" s="196" t="s">
        <v>132</v>
      </c>
      <c r="C50" s="195" t="s">
        <v>132</v>
      </c>
      <c r="D50" s="194" t="s">
        <v>132</v>
      </c>
      <c r="E50" s="191"/>
      <c r="F50" s="228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6" t="s">
        <v>132</v>
      </c>
      <c r="C51" s="195" t="s">
        <v>132</v>
      </c>
      <c r="D51" s="194" t="s">
        <v>132</v>
      </c>
      <c r="E51" s="191"/>
      <c r="F51" s="228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6" t="s">
        <v>132</v>
      </c>
      <c r="C52" s="195" t="s">
        <v>132</v>
      </c>
      <c r="D52" s="194" t="s">
        <v>132</v>
      </c>
      <c r="E52" s="191"/>
      <c r="F52" s="228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6" t="s">
        <v>132</v>
      </c>
      <c r="C53" s="195" t="s">
        <v>132</v>
      </c>
      <c r="D53" s="194" t="s">
        <v>132</v>
      </c>
      <c r="E53" s="191"/>
      <c r="F53" s="228"/>
      <c r="G53" s="202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78">
        <f>'Données projet'!A62</f>
        <v>20</v>
      </c>
      <c r="B54" s="179">
        <f>'Données projet'!D62</f>
        <v>0</v>
      </c>
      <c r="C54" s="189">
        <f>60*'Données projet'!E62+13.8*('Données projet'!F62+'Données projet'!G62)+10*'Données projet'!H62</f>
        <v>10</v>
      </c>
      <c r="D54" s="177">
        <f>B54*C54</f>
        <v>0</v>
      </c>
      <c r="E54" s="191"/>
      <c r="F54" s="229"/>
      <c r="G54" s="202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78">
        <f>'Données projet'!A63</f>
        <v>25</v>
      </c>
      <c r="B55" s="179">
        <f>'Données projet'!D63</f>
        <v>0</v>
      </c>
      <c r="C55" s="189">
        <f>60*'Données projet'!E63+13.8*('Données projet'!F63+'Données projet'!G63)+10*'Données projet'!H63</f>
        <v>10</v>
      </c>
      <c r="D55" s="177">
        <f t="shared" ref="D55:D73" si="4">B55*C55</f>
        <v>0</v>
      </c>
      <c r="E55" s="191"/>
      <c r="F55" s="229"/>
      <c r="G55" s="202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2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78">
        <f>'Données projet'!A64</f>
        <v>30</v>
      </c>
      <c r="B56" s="179">
        <f>'Données projet'!D64</f>
        <v>21</v>
      </c>
      <c r="C56" s="189">
        <f>60*'Données projet'!E64+13.8*('Données projet'!F64+'Données projet'!G64)+10*'Données projet'!H64</f>
        <v>10</v>
      </c>
      <c r="D56" s="177">
        <f t="shared" si="4"/>
        <v>210</v>
      </c>
      <c r="E56" s="191"/>
      <c r="F56" s="229"/>
      <c r="G56" s="202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78">
        <f>'Données projet'!A65</f>
        <v>35</v>
      </c>
      <c r="B57" s="179">
        <f>'Données projet'!D65</f>
        <v>21</v>
      </c>
      <c r="C57" s="189">
        <f>60*'Données projet'!E65+13.8*('Données projet'!F65+'Données projet'!G65)+10*'Données projet'!H65</f>
        <v>10</v>
      </c>
      <c r="D57" s="177">
        <f t="shared" si="4"/>
        <v>210</v>
      </c>
      <c r="E57" s="191"/>
      <c r="F57" s="229"/>
      <c r="G57" s="202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78">
        <f>'Données projet'!A66</f>
        <v>40</v>
      </c>
      <c r="B58" s="179">
        <f>'Données projet'!D66</f>
        <v>21</v>
      </c>
      <c r="C58" s="189">
        <f>60*'Données projet'!E66+13.8*('Données projet'!F66+'Données projet'!G66)+10*'Données projet'!H66</f>
        <v>20</v>
      </c>
      <c r="D58" s="177">
        <f t="shared" si="4"/>
        <v>420</v>
      </c>
      <c r="E58" s="191"/>
      <c r="F58" s="229"/>
      <c r="G58" s="202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2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78">
        <f>'Données projet'!A67</f>
        <v>45</v>
      </c>
      <c r="B59" s="179">
        <f>'Données projet'!D67</f>
        <v>21</v>
      </c>
      <c r="C59" s="189">
        <f>60*'Données projet'!E67+13.8*('Données projet'!F67+'Données projet'!G67)+10*'Données projet'!H67</f>
        <v>20</v>
      </c>
      <c r="D59" s="177">
        <f t="shared" si="4"/>
        <v>420</v>
      </c>
      <c r="E59" s="191"/>
      <c r="F59" s="229"/>
      <c r="G59" s="202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78">
        <f>'Données projet'!A68</f>
        <v>50</v>
      </c>
      <c r="B60" s="179">
        <f>'Données projet'!D68</f>
        <v>21</v>
      </c>
      <c r="C60" s="189">
        <f>60*'Données projet'!E68+13.8*('Données projet'!F68+'Données projet'!G68)+10*'Données projet'!H68</f>
        <v>25</v>
      </c>
      <c r="D60" s="177">
        <f t="shared" si="4"/>
        <v>525</v>
      </c>
      <c r="E60" s="191"/>
      <c r="F60" s="229"/>
      <c r="G60" s="203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78">
        <f>'Données projet'!A69</f>
        <v>55</v>
      </c>
      <c r="B61" s="179">
        <f>'Données projet'!D69</f>
        <v>21</v>
      </c>
      <c r="C61" s="189">
        <f>60*'Données projet'!E69+13.8*('Données projet'!F69+'Données projet'!G69)+10*'Données projet'!H69</f>
        <v>25</v>
      </c>
      <c r="D61" s="177">
        <f t="shared" si="4"/>
        <v>525</v>
      </c>
      <c r="E61" s="191"/>
      <c r="F61" s="229"/>
      <c r="G61" s="203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2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78">
        <f>'Données projet'!A70</f>
        <v>60</v>
      </c>
      <c r="B62" s="179">
        <f>'Données projet'!D70</f>
        <v>21</v>
      </c>
      <c r="C62" s="189">
        <f>60*'Données projet'!E70+13.8*('Données projet'!F70+'Données projet'!G70)+10*'Données projet'!H70</f>
        <v>30</v>
      </c>
      <c r="D62" s="177">
        <f t="shared" si="4"/>
        <v>630</v>
      </c>
      <c r="E62" s="191"/>
      <c r="F62" s="229"/>
      <c r="G62" s="203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2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78">
        <f>'Données projet'!A71</f>
        <v>65</v>
      </c>
      <c r="B63" s="179">
        <f>'Données projet'!D71</f>
        <v>21</v>
      </c>
      <c r="C63" s="189">
        <f>60*'Données projet'!E71+13.8*('Données projet'!F71+'Données projet'!G71)+10*'Données projet'!H71</f>
        <v>30</v>
      </c>
      <c r="D63" s="177">
        <f t="shared" si="4"/>
        <v>630</v>
      </c>
      <c r="E63" s="191"/>
      <c r="F63" s="229"/>
      <c r="G63" s="203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78">
        <f>'Données projet'!A72</f>
        <v>70</v>
      </c>
      <c r="B64" s="179">
        <f>'Données projet'!D72</f>
        <v>21</v>
      </c>
      <c r="C64" s="189">
        <f>60*'Données projet'!E72+13.8*('Données projet'!F72+'Données projet'!G72)+10*'Données projet'!H72</f>
        <v>35</v>
      </c>
      <c r="D64" s="177">
        <f t="shared" si="4"/>
        <v>735</v>
      </c>
      <c r="E64" s="191"/>
      <c r="F64" s="229"/>
      <c r="G64" s="203"/>
      <c r="H64" s="188"/>
      <c r="I64" s="189"/>
      <c r="J64" s="204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78">
        <f>'Données projet'!A73</f>
        <v>75</v>
      </c>
      <c r="B65" s="179">
        <f>'Données projet'!D73</f>
        <v>21</v>
      </c>
      <c r="C65" s="189">
        <f>60*'Données projet'!E73+13.8*('Données projet'!F73+'Données projet'!G73)+10*'Données projet'!H73</f>
        <v>35</v>
      </c>
      <c r="D65" s="177">
        <f t="shared" si="4"/>
        <v>735</v>
      </c>
      <c r="E65" s="191"/>
      <c r="F65" s="229"/>
      <c r="G65" s="203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78">
        <f>'Données projet'!A74</f>
        <v>80</v>
      </c>
      <c r="B66" s="179">
        <f>'Données projet'!D74</f>
        <v>21</v>
      </c>
      <c r="C66" s="189">
        <f>60*'Données projet'!E74+13.8*('Données projet'!F74+'Données projet'!G74)+10*'Données projet'!H74</f>
        <v>40</v>
      </c>
      <c r="D66" s="177">
        <f t="shared" si="4"/>
        <v>840</v>
      </c>
      <c r="E66" s="191"/>
      <c r="F66" s="229"/>
      <c r="G66" s="203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2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78">
        <f>'Données projet'!A75</f>
        <v>85</v>
      </c>
      <c r="B67" s="179">
        <f>'Données projet'!D75</f>
        <v>21</v>
      </c>
      <c r="C67" s="189">
        <f>60*'Données projet'!E75+13.8*('Données projet'!F75+'Données projet'!G75)+10*'Données projet'!H75</f>
        <v>40</v>
      </c>
      <c r="D67" s="177">
        <f t="shared" si="4"/>
        <v>840</v>
      </c>
      <c r="E67" s="191"/>
      <c r="F67" s="229"/>
      <c r="G67" s="203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78">
        <f>'Données projet'!A76</f>
        <v>90</v>
      </c>
      <c r="B68" s="179">
        <f>'Données projet'!D76</f>
        <v>21</v>
      </c>
      <c r="C68" s="189">
        <f>60*'Données projet'!E76+13.8*('Données projet'!F76+'Données projet'!G76)+10*'Données projet'!H76</f>
        <v>45</v>
      </c>
      <c r="D68" s="177">
        <f t="shared" si="4"/>
        <v>945</v>
      </c>
      <c r="E68" s="191"/>
      <c r="F68" s="229"/>
      <c r="G68" s="203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2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78">
        <f>'Données projet'!A77</f>
        <v>95</v>
      </c>
      <c r="B69" s="179">
        <f>'Données projet'!D77</f>
        <v>21</v>
      </c>
      <c r="C69" s="189">
        <f>60*'Données projet'!E77+13.8*('Données projet'!F77+'Données projet'!G77)+10*'Données projet'!H77</f>
        <v>45</v>
      </c>
      <c r="D69" s="177">
        <f t="shared" si="4"/>
        <v>945</v>
      </c>
      <c r="E69" s="191"/>
      <c r="F69" s="229"/>
      <c r="G69" s="203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2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78">
        <f>'Données projet'!A78</f>
        <v>100</v>
      </c>
      <c r="B70" s="179">
        <f>'Données projet'!D78</f>
        <v>21</v>
      </c>
      <c r="C70" s="189">
        <f>60*'Données projet'!E78+13.8*('Données projet'!F78+'Données projet'!G78)+10*'Données projet'!H78</f>
        <v>45</v>
      </c>
      <c r="D70" s="177">
        <f t="shared" si="4"/>
        <v>945</v>
      </c>
      <c r="E70" s="191"/>
      <c r="F70" s="229"/>
      <c r="G70" s="203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2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78">
        <f>'Données projet'!A79</f>
        <v>110</v>
      </c>
      <c r="B71" s="179">
        <f>'Données projet'!D79</f>
        <v>39</v>
      </c>
      <c r="C71" s="189">
        <f>60*'Données projet'!E79+13.8*('Données projet'!F79+'Données projet'!G79)+10*'Données projet'!H79</f>
        <v>50</v>
      </c>
      <c r="D71" s="177">
        <f t="shared" si="4"/>
        <v>1950</v>
      </c>
      <c r="E71" s="191"/>
      <c r="F71" s="229"/>
      <c r="G71" s="203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2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78">
        <f>'Données projet'!A80</f>
        <v>115</v>
      </c>
      <c r="B72" s="179">
        <f>'Données projet'!D80</f>
        <v>18</v>
      </c>
      <c r="C72" s="189">
        <f>60*'Données projet'!E80+13.8*('Données projet'!F80+'Données projet'!G80)+10*'Données projet'!H80</f>
        <v>50</v>
      </c>
      <c r="D72" s="177">
        <f t="shared" si="4"/>
        <v>900</v>
      </c>
      <c r="E72" s="191"/>
      <c r="F72" s="229"/>
      <c r="G72" s="203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2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78">
        <f>'Données projet'!A81</f>
        <v>120</v>
      </c>
      <c r="B73" s="179">
        <f>'Données projet'!D81</f>
        <v>285</v>
      </c>
      <c r="C73" s="189">
        <f>60*'Données projet'!E81+13.8*('Données projet'!F81+'Données projet'!G81)+10*'Données projet'!H81</f>
        <v>50</v>
      </c>
      <c r="D73" s="177">
        <f t="shared" si="4"/>
        <v>14250</v>
      </c>
      <c r="E73" s="191"/>
      <c r="F73" s="229"/>
      <c r="G73" s="203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2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7"/>
      <c r="G74" s="203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2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7"/>
      <c r="G75" s="203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2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2" t="str">
        <f>IF('Données projet'!B11="","",'Données projet'!B11)</f>
        <v>Alisier torminal</v>
      </c>
      <c r="C76" s="4"/>
      <c r="D76" s="4"/>
      <c r="E76" s="4"/>
      <c r="F76" s="227"/>
      <c r="G76" s="203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2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7"/>
      <c r="G77" s="203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2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8"/>
      <c r="G78" s="203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2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6" t="s">
        <v>132</v>
      </c>
      <c r="C79" s="195" t="s">
        <v>132</v>
      </c>
      <c r="D79" s="194" t="s">
        <v>132</v>
      </c>
      <c r="E79" s="191">
        <v>5550</v>
      </c>
      <c r="F79" s="228"/>
      <c r="G79" s="203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2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6" t="s">
        <v>132</v>
      </c>
      <c r="C80" s="195" t="s">
        <v>132</v>
      </c>
      <c r="D80" s="194" t="s">
        <v>132</v>
      </c>
      <c r="E80" s="191"/>
      <c r="F80" s="228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2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6" t="s">
        <v>132</v>
      </c>
      <c r="C81" s="195" t="s">
        <v>132</v>
      </c>
      <c r="D81" s="194" t="s">
        <v>132</v>
      </c>
      <c r="E81" s="191"/>
      <c r="F81" s="228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2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6" t="s">
        <v>132</v>
      </c>
      <c r="C82" s="195" t="s">
        <v>132</v>
      </c>
      <c r="D82" s="194" t="s">
        <v>132</v>
      </c>
      <c r="E82" s="191"/>
      <c r="F82" s="228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2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6" t="s">
        <v>132</v>
      </c>
      <c r="C83" s="195" t="s">
        <v>132</v>
      </c>
      <c r="D83" s="194" t="s">
        <v>132</v>
      </c>
      <c r="E83" s="191"/>
      <c r="F83" s="228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2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6" t="s">
        <v>132</v>
      </c>
      <c r="C84" s="195" t="s">
        <v>132</v>
      </c>
      <c r="D84" s="194" t="s">
        <v>132</v>
      </c>
      <c r="E84" s="191"/>
      <c r="F84" s="228"/>
      <c r="G84" s="202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2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78">
        <f>'Données projet'!A88</f>
        <v>20</v>
      </c>
      <c r="B85" s="179">
        <f>'Données projet'!D88</f>
        <v>0</v>
      </c>
      <c r="C85" s="189">
        <f>42*'Données projet'!E88+13.8*('Données projet'!F88+'Données projet'!G88)+10*'Données projet'!H88</f>
        <v>10</v>
      </c>
      <c r="D85" s="177">
        <f>B85*C85</f>
        <v>0</v>
      </c>
      <c r="E85" s="191"/>
      <c r="F85" s="229"/>
      <c r="G85" s="202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2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78">
        <f>'Données projet'!A89</f>
        <v>25</v>
      </c>
      <c r="B86" s="179">
        <f>'Données projet'!D89</f>
        <v>0</v>
      </c>
      <c r="C86" s="189">
        <f>42*'Données projet'!E89+13.8*('Données projet'!F89+'Données projet'!G89)+10*'Données projet'!H89</f>
        <v>10</v>
      </c>
      <c r="D86" s="177">
        <f t="shared" ref="D86:D104" si="6">B86*C86</f>
        <v>0</v>
      </c>
      <c r="E86" s="191"/>
      <c r="F86" s="229"/>
      <c r="G86" s="202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2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78">
        <f>'Données projet'!A90</f>
        <v>30</v>
      </c>
      <c r="B87" s="179">
        <f>'Données projet'!D90</f>
        <v>21</v>
      </c>
      <c r="C87" s="189">
        <f>42*'Données projet'!E90+13.8*('Données projet'!F90+'Données projet'!G90)+10*'Données projet'!H90</f>
        <v>10</v>
      </c>
      <c r="D87" s="177">
        <f t="shared" si="6"/>
        <v>210</v>
      </c>
      <c r="E87" s="191"/>
      <c r="F87" s="229"/>
      <c r="G87" s="202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2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78">
        <f>'Données projet'!A91</f>
        <v>35</v>
      </c>
      <c r="B88" s="179">
        <f>'Données projet'!D91</f>
        <v>21</v>
      </c>
      <c r="C88" s="189">
        <f>42*'Données projet'!E91+13.8*('Données projet'!F91+'Données projet'!G91)+10*'Données projet'!H91</f>
        <v>10</v>
      </c>
      <c r="D88" s="177">
        <f t="shared" si="6"/>
        <v>210</v>
      </c>
      <c r="E88" s="191"/>
      <c r="F88" s="229"/>
      <c r="G88" s="202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2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78">
        <f>'Données projet'!A92</f>
        <v>40</v>
      </c>
      <c r="B89" s="179">
        <f>'Données projet'!D92</f>
        <v>21</v>
      </c>
      <c r="C89" s="189">
        <f>42*'Données projet'!E92+13.8*('Données projet'!F92+'Données projet'!G92)+10*'Données projet'!H92</f>
        <v>16.399999999999999</v>
      </c>
      <c r="D89" s="177">
        <f t="shared" si="6"/>
        <v>344.4</v>
      </c>
      <c r="E89" s="191"/>
      <c r="F89" s="229"/>
      <c r="G89" s="202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2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78">
        <f>'Données projet'!A93</f>
        <v>45</v>
      </c>
      <c r="B90" s="179">
        <f>'Données projet'!D93</f>
        <v>21</v>
      </c>
      <c r="C90" s="189">
        <f>42*'Données projet'!E93+13.8*('Données projet'!F93+'Données projet'!G93)+10*'Données projet'!H93</f>
        <v>16.399999999999999</v>
      </c>
      <c r="D90" s="177">
        <f t="shared" si="6"/>
        <v>344.4</v>
      </c>
      <c r="E90" s="191"/>
      <c r="F90" s="229"/>
      <c r="G90" s="202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2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78">
        <f>'Données projet'!A94</f>
        <v>50</v>
      </c>
      <c r="B91" s="179">
        <f>'Données projet'!D94</f>
        <v>21</v>
      </c>
      <c r="C91" s="189">
        <f>42*'Données projet'!E94+13.8*('Données projet'!F94+'Données projet'!G94)+10*'Données projet'!H94</f>
        <v>19.600000000000001</v>
      </c>
      <c r="D91" s="177">
        <f t="shared" si="6"/>
        <v>411.6</v>
      </c>
      <c r="E91" s="191"/>
      <c r="F91" s="229"/>
      <c r="G91" s="203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2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78">
        <f>'Données projet'!A95</f>
        <v>55</v>
      </c>
      <c r="B92" s="179">
        <f>'Données projet'!D95</f>
        <v>21</v>
      </c>
      <c r="C92" s="189">
        <f>42*'Données projet'!E95+13.8*('Données projet'!F95+'Données projet'!G95)+10*'Données projet'!H95</f>
        <v>19.600000000000001</v>
      </c>
      <c r="D92" s="177">
        <f t="shared" si="6"/>
        <v>411.6</v>
      </c>
      <c r="E92" s="191"/>
      <c r="F92" s="229"/>
      <c r="G92" s="203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2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78">
        <f>'Données projet'!A96</f>
        <v>60</v>
      </c>
      <c r="B93" s="179">
        <f>'Données projet'!D96</f>
        <v>21</v>
      </c>
      <c r="C93" s="189">
        <f>42*'Données projet'!E96+13.8*('Données projet'!F96+'Données projet'!G96)+10*'Données projet'!H96</f>
        <v>22.8</v>
      </c>
      <c r="D93" s="177">
        <f t="shared" si="6"/>
        <v>478.8</v>
      </c>
      <c r="E93" s="191"/>
      <c r="F93" s="229"/>
      <c r="G93" s="203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2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78">
        <f>'Données projet'!A97</f>
        <v>65</v>
      </c>
      <c r="B94" s="179">
        <f>'Données projet'!D97</f>
        <v>21</v>
      </c>
      <c r="C94" s="189">
        <f>42*'Données projet'!E97+13.8*('Données projet'!F97+'Données projet'!G97)+10*'Données projet'!H97</f>
        <v>22.8</v>
      </c>
      <c r="D94" s="177">
        <f t="shared" si="6"/>
        <v>478.8</v>
      </c>
      <c r="E94" s="191"/>
      <c r="F94" s="229"/>
      <c r="G94" s="203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2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78">
        <f>'Données projet'!A98</f>
        <v>70</v>
      </c>
      <c r="B95" s="179">
        <f>'Données projet'!D98</f>
        <v>21</v>
      </c>
      <c r="C95" s="189">
        <f>42*'Données projet'!E98+13.8*('Données projet'!F98+'Données projet'!G98)+10*'Données projet'!H98</f>
        <v>26</v>
      </c>
      <c r="D95" s="177">
        <f t="shared" si="6"/>
        <v>546</v>
      </c>
      <c r="E95" s="191"/>
      <c r="F95" s="229"/>
      <c r="G95" s="203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2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78">
        <f>'Données projet'!A99</f>
        <v>75</v>
      </c>
      <c r="B96" s="179">
        <f>'Données projet'!D99</f>
        <v>21</v>
      </c>
      <c r="C96" s="189">
        <f>42*'Données projet'!E99+13.8*('Données projet'!F99+'Données projet'!G99)+10*'Données projet'!H99</f>
        <v>26</v>
      </c>
      <c r="D96" s="177">
        <f t="shared" si="6"/>
        <v>546</v>
      </c>
      <c r="E96" s="191"/>
      <c r="F96" s="229"/>
      <c r="G96" s="203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2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78">
        <f>'Données projet'!A100</f>
        <v>80</v>
      </c>
      <c r="B97" s="179">
        <f>'Données projet'!D100</f>
        <v>21</v>
      </c>
      <c r="C97" s="189">
        <f>42*'Données projet'!E100+13.8*('Données projet'!F100+'Données projet'!G100)+10*'Données projet'!H100</f>
        <v>29.2</v>
      </c>
      <c r="D97" s="177">
        <f t="shared" si="6"/>
        <v>613.19999999999993</v>
      </c>
      <c r="E97" s="191"/>
      <c r="F97" s="229"/>
      <c r="G97" s="203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2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78">
        <f>'Données projet'!A101</f>
        <v>85</v>
      </c>
      <c r="B98" s="179">
        <f>'Données projet'!D101</f>
        <v>21</v>
      </c>
      <c r="C98" s="189">
        <f>42*'Données projet'!E101+13.8*('Données projet'!F101+'Données projet'!G101)+10*'Données projet'!H101</f>
        <v>29.2</v>
      </c>
      <c r="D98" s="177">
        <f t="shared" si="6"/>
        <v>613.19999999999993</v>
      </c>
      <c r="E98" s="191"/>
      <c r="F98" s="229"/>
      <c r="G98" s="203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2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78">
        <f>'Données projet'!A102</f>
        <v>90</v>
      </c>
      <c r="B99" s="179">
        <f>'Données projet'!D102</f>
        <v>21</v>
      </c>
      <c r="C99" s="189">
        <f>42*'Données projet'!E102+13.8*('Données projet'!F102+'Données projet'!G102)+10*'Données projet'!H102</f>
        <v>32.4</v>
      </c>
      <c r="D99" s="177">
        <f t="shared" si="6"/>
        <v>680.4</v>
      </c>
      <c r="E99" s="191"/>
      <c r="F99" s="229"/>
      <c r="G99" s="203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2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78">
        <f>'Données projet'!A103</f>
        <v>95</v>
      </c>
      <c r="B100" s="179">
        <f>'Données projet'!D103</f>
        <v>21</v>
      </c>
      <c r="C100" s="189">
        <f>42*'Données projet'!E103+13.8*('Données projet'!F103+'Données projet'!G103)+10*'Données projet'!H103</f>
        <v>32.4</v>
      </c>
      <c r="D100" s="177">
        <f t="shared" si="6"/>
        <v>680.4</v>
      </c>
      <c r="E100" s="191"/>
      <c r="F100" s="229"/>
      <c r="G100" s="203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2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78">
        <f>'Données projet'!A104</f>
        <v>100</v>
      </c>
      <c r="B101" s="179">
        <f>'Données projet'!D104</f>
        <v>21</v>
      </c>
      <c r="C101" s="189">
        <f>42*'Données projet'!E104+13.8*('Données projet'!F104+'Données projet'!G104)+10*'Données projet'!H104</f>
        <v>32.4</v>
      </c>
      <c r="D101" s="177">
        <f t="shared" si="6"/>
        <v>680.4</v>
      </c>
      <c r="E101" s="191"/>
      <c r="F101" s="229"/>
      <c r="G101" s="203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2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78">
        <f>'Données projet'!A105</f>
        <v>110</v>
      </c>
      <c r="B102" s="179">
        <f>'Données projet'!D105</f>
        <v>39</v>
      </c>
      <c r="C102" s="189">
        <f>42*'Données projet'!E105+13.8*('Données projet'!F105+'Données projet'!G105)+10*'Données projet'!H105</f>
        <v>35.6</v>
      </c>
      <c r="D102" s="177">
        <f t="shared" si="6"/>
        <v>1388.4</v>
      </c>
      <c r="E102" s="191"/>
      <c r="F102" s="229"/>
      <c r="G102" s="203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2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78">
        <f>'Données projet'!A106</f>
        <v>115</v>
      </c>
      <c r="B103" s="179">
        <f>'Données projet'!D106</f>
        <v>18</v>
      </c>
      <c r="C103" s="189">
        <f>42*'Données projet'!E106+13.8*('Données projet'!F106+'Données projet'!G106)+10*'Données projet'!H106</f>
        <v>35.6</v>
      </c>
      <c r="D103" s="177">
        <f t="shared" si="6"/>
        <v>640.80000000000007</v>
      </c>
      <c r="E103" s="191"/>
      <c r="F103" s="229"/>
      <c r="G103" s="203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2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78">
        <f>'Données projet'!A107</f>
        <v>120</v>
      </c>
      <c r="B104" s="179">
        <f>'Données projet'!D107</f>
        <v>285</v>
      </c>
      <c r="C104" s="189">
        <f>42*'Données projet'!E107+13.8*('Données projet'!F107+'Données projet'!G107)+10*'Données projet'!H107</f>
        <v>35.6</v>
      </c>
      <c r="D104" s="177">
        <f t="shared" si="6"/>
        <v>10146</v>
      </c>
      <c r="E104" s="191"/>
      <c r="F104" s="229"/>
      <c r="G104" s="203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2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7"/>
      <c r="G105" s="203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2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7"/>
      <c r="G106" s="203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2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2" t="str">
        <f>IF('Données projet'!B12="","",'Données projet'!B12)</f>
        <v>Pin laricio</v>
      </c>
      <c r="C107" s="4"/>
      <c r="D107" s="4"/>
      <c r="E107" s="4"/>
      <c r="F107" s="227"/>
      <c r="G107" s="203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2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7"/>
      <c r="G108" s="203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2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8"/>
      <c r="G109" s="203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2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6" t="s">
        <v>132</v>
      </c>
      <c r="C110" s="195" t="s">
        <v>132</v>
      </c>
      <c r="D110" s="194" t="s">
        <v>132</v>
      </c>
      <c r="E110" s="191">
        <v>2700</v>
      </c>
      <c r="F110" s="228"/>
      <c r="G110" s="203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2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6" t="s">
        <v>132</v>
      </c>
      <c r="C111" s="195" t="s">
        <v>132</v>
      </c>
      <c r="D111" s="194" t="s">
        <v>132</v>
      </c>
      <c r="E111" s="191"/>
      <c r="F111" s="228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2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6" t="s">
        <v>132</v>
      </c>
      <c r="C112" s="195" t="s">
        <v>132</v>
      </c>
      <c r="D112" s="194" t="s">
        <v>132</v>
      </c>
      <c r="E112" s="191"/>
      <c r="F112" s="228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2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6" t="s">
        <v>132</v>
      </c>
      <c r="C113" s="195" t="s">
        <v>132</v>
      </c>
      <c r="D113" s="194" t="s">
        <v>132</v>
      </c>
      <c r="E113" s="191"/>
      <c r="F113" s="228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2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6" t="s">
        <v>132</v>
      </c>
      <c r="C114" s="195" t="s">
        <v>132</v>
      </c>
      <c r="D114" s="194" t="s">
        <v>132</v>
      </c>
      <c r="E114" s="191"/>
      <c r="F114" s="228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2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6" t="s">
        <v>132</v>
      </c>
      <c r="C115" s="195" t="s">
        <v>132</v>
      </c>
      <c r="D115" s="194" t="s">
        <v>132</v>
      </c>
      <c r="E115" s="191"/>
      <c r="F115" s="228"/>
      <c r="G115" s="202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2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78">
        <f>'Données projet'!A114</f>
        <v>15</v>
      </c>
      <c r="B116" s="179">
        <f>'Données projet'!D114</f>
        <v>0</v>
      </c>
      <c r="C116" s="189">
        <f>31*'Données projet'!E114+19.4*('Données projet'!F114+'Données projet'!G114)+10*'Données projet'!H114</f>
        <v>19.399999999999999</v>
      </c>
      <c r="D116" s="177">
        <f>B116*C116</f>
        <v>0</v>
      </c>
      <c r="E116" s="191"/>
      <c r="F116" s="229"/>
      <c r="G116" s="202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2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78">
        <f>'Données projet'!A115</f>
        <v>21</v>
      </c>
      <c r="B117" s="179">
        <f>'Données projet'!D115</f>
        <v>0</v>
      </c>
      <c r="C117" s="189">
        <f>31*'Données projet'!E115+19.4*('Données projet'!F115+'Données projet'!G115)+10*'Données projet'!H115</f>
        <v>19.399999999999999</v>
      </c>
      <c r="D117" s="177">
        <f t="shared" ref="D117:D135" si="8">B117*C117</f>
        <v>0</v>
      </c>
      <c r="E117" s="191"/>
      <c r="F117" s="229"/>
      <c r="G117" s="202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2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78">
        <f>'Données projet'!A116</f>
        <v>22</v>
      </c>
      <c r="B118" s="179">
        <f>'Données projet'!D116</f>
        <v>52</v>
      </c>
      <c r="C118" s="189">
        <f>31*'Données projet'!E116+19.4*('Données projet'!F116+'Données projet'!G116)+10*'Données projet'!H116</f>
        <v>19.399999999999999</v>
      </c>
      <c r="D118" s="177">
        <f t="shared" si="8"/>
        <v>1008.8</v>
      </c>
      <c r="E118" s="191"/>
      <c r="F118" s="229"/>
      <c r="G118" s="202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2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78">
        <f>'Données projet'!A117</f>
        <v>24</v>
      </c>
      <c r="B119" s="179">
        <f>'Données projet'!D117</f>
        <v>0</v>
      </c>
      <c r="C119" s="189">
        <f>31*'Données projet'!E117+19.4*('Données projet'!F117+'Données projet'!G117)+10*'Données projet'!H117</f>
        <v>21.72</v>
      </c>
      <c r="D119" s="177">
        <f t="shared" si="8"/>
        <v>0</v>
      </c>
      <c r="E119" s="191"/>
      <c r="F119" s="229"/>
      <c r="G119" s="202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2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78">
        <f>'Données projet'!A118</f>
        <v>27</v>
      </c>
      <c r="B120" s="179">
        <f>'Données projet'!D118</f>
        <v>37.840000000000003</v>
      </c>
      <c r="C120" s="189">
        <f>31*'Données projet'!E118+19.4*('Données projet'!F118+'Données projet'!G118)+10*'Données projet'!H118</f>
        <v>21.72</v>
      </c>
      <c r="D120" s="177">
        <f t="shared" si="8"/>
        <v>821.88480000000004</v>
      </c>
      <c r="E120" s="191"/>
      <c r="F120" s="229"/>
      <c r="G120" s="202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2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78">
        <f>'Données projet'!A119</f>
        <v>33</v>
      </c>
      <c r="B121" s="179">
        <f>'Données projet'!D119</f>
        <v>50</v>
      </c>
      <c r="C121" s="189">
        <f>31*'Données projet'!E119+19.4*('Données projet'!F119+'Données projet'!G119)+10*'Données projet'!H119</f>
        <v>24.04</v>
      </c>
      <c r="D121" s="177">
        <f t="shared" si="8"/>
        <v>1202</v>
      </c>
      <c r="E121" s="191"/>
      <c r="F121" s="229"/>
      <c r="G121" s="202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2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78">
        <f>'Données projet'!A120</f>
        <v>41</v>
      </c>
      <c r="B122" s="179">
        <f>'Données projet'!D120</f>
        <v>72.13</v>
      </c>
      <c r="C122" s="189">
        <f>31*'Données projet'!E120+19.4*('Données projet'!F120+'Données projet'!G120)+10*'Données projet'!H120</f>
        <v>24.04</v>
      </c>
      <c r="D122" s="177">
        <f t="shared" si="8"/>
        <v>1734.0051999999998</v>
      </c>
      <c r="E122" s="191"/>
      <c r="F122" s="229"/>
      <c r="G122" s="203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2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78">
        <f>'Données projet'!A121</f>
        <v>50</v>
      </c>
      <c r="B123" s="179">
        <f>'Données projet'!D121</f>
        <v>70</v>
      </c>
      <c r="C123" s="189">
        <f>31*'Données projet'!E121+19.4*('Données projet'!F121+'Données projet'!G121)+10*'Données projet'!H121</f>
        <v>26.36</v>
      </c>
      <c r="D123" s="177">
        <f t="shared" si="8"/>
        <v>1845.2</v>
      </c>
      <c r="E123" s="191"/>
      <c r="F123" s="229"/>
      <c r="G123" s="203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2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78">
        <f>'Données projet'!A122</f>
        <v>60</v>
      </c>
      <c r="B124" s="179">
        <f>'Données projet'!D122</f>
        <v>440.94</v>
      </c>
      <c r="C124" s="189">
        <f>31*'Données projet'!E122+19.4*('Données projet'!F122+'Données projet'!G122)+10*'Données projet'!H122</f>
        <v>28.68</v>
      </c>
      <c r="D124" s="177">
        <f t="shared" si="8"/>
        <v>12646.1592</v>
      </c>
      <c r="E124" s="191"/>
      <c r="F124" s="229"/>
      <c r="G124" s="203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2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78">
        <f>'Données projet'!A123</f>
        <v>0</v>
      </c>
      <c r="B125" s="179">
        <f>'Données projet'!D123</f>
        <v>0</v>
      </c>
      <c r="C125" s="189">
        <f>31*'Données projet'!E123+19.4*('Données projet'!F123+'Données projet'!G123)+10*'Données projet'!H123</f>
        <v>0</v>
      </c>
      <c r="D125" s="177">
        <f t="shared" si="8"/>
        <v>0</v>
      </c>
      <c r="E125" s="191"/>
      <c r="F125" s="229"/>
      <c r="G125" s="203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2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78">
        <f>'Données projet'!A124</f>
        <v>0</v>
      </c>
      <c r="B126" s="179">
        <f>'Données projet'!D124</f>
        <v>0</v>
      </c>
      <c r="C126" s="189">
        <f>31*'Données projet'!E124+19.4*('Données projet'!F124+'Données projet'!G124)+10*'Données projet'!H124</f>
        <v>0</v>
      </c>
      <c r="D126" s="177">
        <f t="shared" si="8"/>
        <v>0</v>
      </c>
      <c r="E126" s="191"/>
      <c r="F126" s="229"/>
      <c r="G126" s="203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2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78">
        <f>'Données projet'!A125</f>
        <v>0</v>
      </c>
      <c r="B127" s="179">
        <f>'Données projet'!D125</f>
        <v>0</v>
      </c>
      <c r="C127" s="189">
        <f>31*'Données projet'!E125+19.4*('Données projet'!F125+'Données projet'!G125)+10*'Données projet'!H125</f>
        <v>0</v>
      </c>
      <c r="D127" s="177">
        <f t="shared" si="8"/>
        <v>0</v>
      </c>
      <c r="E127" s="191"/>
      <c r="F127" s="229"/>
      <c r="G127" s="203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2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78">
        <f>'Données projet'!A126</f>
        <v>0</v>
      </c>
      <c r="B128" s="179">
        <f>'Données projet'!D126</f>
        <v>0</v>
      </c>
      <c r="C128" s="189">
        <f>31*'Données projet'!E126+19.4*('Données projet'!F126+'Données projet'!G126)+10*'Données projet'!H126</f>
        <v>0</v>
      </c>
      <c r="D128" s="177">
        <f t="shared" si="8"/>
        <v>0</v>
      </c>
      <c r="E128" s="191"/>
      <c r="F128" s="229"/>
      <c r="G128" s="203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2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78">
        <f>'Données projet'!A127</f>
        <v>0</v>
      </c>
      <c r="B129" s="179">
        <f>'Données projet'!D127</f>
        <v>0</v>
      </c>
      <c r="C129" s="189">
        <f>31*'Données projet'!E127+19.4*('Données projet'!F127+'Données projet'!G127)+10*'Données projet'!H127</f>
        <v>0</v>
      </c>
      <c r="D129" s="177">
        <f t="shared" si="8"/>
        <v>0</v>
      </c>
      <c r="E129" s="191"/>
      <c r="F129" s="229"/>
      <c r="G129" s="203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2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78">
        <f>'Données projet'!A128</f>
        <v>0</v>
      </c>
      <c r="B130" s="179">
        <f>'Données projet'!D128</f>
        <v>0</v>
      </c>
      <c r="C130" s="189">
        <f>31*'Données projet'!E128+19.4*('Données projet'!F128+'Données projet'!G128)+10*'Données projet'!H128</f>
        <v>0</v>
      </c>
      <c r="D130" s="177">
        <f t="shared" si="8"/>
        <v>0</v>
      </c>
      <c r="E130" s="191"/>
      <c r="F130" s="229"/>
      <c r="G130" s="203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2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78">
        <f>'Données projet'!A129</f>
        <v>0</v>
      </c>
      <c r="B131" s="179">
        <f>'Données projet'!D129</f>
        <v>0</v>
      </c>
      <c r="C131" s="189">
        <f>31*'Données projet'!E129+19.4*('Données projet'!F129+'Données projet'!G129)+10*'Données projet'!H129</f>
        <v>0</v>
      </c>
      <c r="D131" s="177">
        <f t="shared" si="8"/>
        <v>0</v>
      </c>
      <c r="E131" s="191"/>
      <c r="F131" s="229"/>
      <c r="G131" s="203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2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78">
        <f>'Données projet'!A130</f>
        <v>0</v>
      </c>
      <c r="B132" s="179">
        <f>'Données projet'!D130</f>
        <v>0</v>
      </c>
      <c r="C132" s="189">
        <f>31*'Données projet'!E130+19.4*('Données projet'!F130+'Données projet'!G130)+10*'Données projet'!H130</f>
        <v>0</v>
      </c>
      <c r="D132" s="177">
        <f t="shared" si="8"/>
        <v>0</v>
      </c>
      <c r="E132" s="191"/>
      <c r="F132" s="229"/>
      <c r="G132" s="203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2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78">
        <f>'Données projet'!A131</f>
        <v>0</v>
      </c>
      <c r="B133" s="179">
        <f>'Données projet'!D131</f>
        <v>0</v>
      </c>
      <c r="C133" s="189">
        <f>31*'Données projet'!E131+19.4*('Données projet'!F131+'Données projet'!G131)+10*'Données projet'!H131</f>
        <v>0</v>
      </c>
      <c r="D133" s="177">
        <f t="shared" si="8"/>
        <v>0</v>
      </c>
      <c r="E133" s="191"/>
      <c r="F133" s="229"/>
      <c r="G133" s="203"/>
      <c r="H133" s="188"/>
      <c r="I133" s="189"/>
      <c r="J133" s="4"/>
      <c r="K133" s="171"/>
      <c r="Q133" s="232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78">
        <f>'Données projet'!A132</f>
        <v>0</v>
      </c>
      <c r="B134" s="179">
        <f>'Données projet'!D132</f>
        <v>0</v>
      </c>
      <c r="C134" s="189">
        <f>31*'Données projet'!E132+19.4*('Données projet'!F132+'Données projet'!G132)+10*'Données projet'!H132</f>
        <v>0</v>
      </c>
      <c r="D134" s="177">
        <f t="shared" si="8"/>
        <v>0</v>
      </c>
      <c r="E134" s="191"/>
      <c r="F134" s="229"/>
      <c r="G134" s="203"/>
      <c r="H134" s="188"/>
      <c r="I134" s="189"/>
      <c r="J134" s="4"/>
      <c r="K134" s="171"/>
      <c r="Q134" s="232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78">
        <f>'Données projet'!A133</f>
        <v>0</v>
      </c>
      <c r="B135" s="179">
        <f>'Données projet'!D133</f>
        <v>0</v>
      </c>
      <c r="C135" s="189">
        <f>31*'Données projet'!E133+19.4*('Données projet'!F133+'Données projet'!G133)+10*'Données projet'!H133</f>
        <v>0</v>
      </c>
      <c r="D135" s="177">
        <f t="shared" si="8"/>
        <v>0</v>
      </c>
      <c r="E135" s="191"/>
      <c r="F135" s="229"/>
      <c r="G135" s="203"/>
      <c r="H135" s="188"/>
      <c r="I135" s="189"/>
      <c r="J135" s="4"/>
      <c r="K135" s="171"/>
      <c r="Q135" s="232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7"/>
      <c r="G136" s="203"/>
      <c r="H136" s="188"/>
      <c r="I136" s="189"/>
      <c r="J136" s="4"/>
      <c r="K136" s="171"/>
      <c r="L136" s="4"/>
      <c r="M136" s="4"/>
      <c r="N136" s="4"/>
      <c r="Q136" s="232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7"/>
      <c r="G137" s="203"/>
      <c r="H137" s="188"/>
      <c r="I137" s="189"/>
      <c r="J137" s="4"/>
      <c r="K137" s="171"/>
      <c r="L137" s="4"/>
      <c r="M137" s="4"/>
      <c r="N137" s="4"/>
      <c r="Q137" s="232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2" t="str">
        <f>IF('Données projet'!B13="","",'Données projet'!B13)</f>
        <v>Cormier</v>
      </c>
      <c r="C138" s="4"/>
      <c r="D138" s="4"/>
      <c r="E138" s="4"/>
      <c r="F138" s="227"/>
      <c r="G138" s="203"/>
      <c r="H138" s="188"/>
      <c r="I138" s="189"/>
      <c r="J138" s="4"/>
      <c r="K138" s="171"/>
      <c r="L138" s="4"/>
      <c r="M138" s="4"/>
      <c r="N138" s="4"/>
      <c r="Q138" s="232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7"/>
      <c r="G139" s="203"/>
      <c r="H139" s="188"/>
      <c r="I139" s="189"/>
      <c r="J139" s="4"/>
      <c r="K139" s="171"/>
      <c r="L139" s="4"/>
      <c r="M139" s="4"/>
      <c r="N139" s="4"/>
      <c r="Q139" s="232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8"/>
      <c r="G140" s="203"/>
      <c r="H140" s="188"/>
      <c r="I140" s="189"/>
      <c r="J140" s="4"/>
      <c r="K140" s="171"/>
      <c r="L140" s="4"/>
      <c r="M140" s="4"/>
      <c r="N140" s="4"/>
      <c r="Q140" s="232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6" t="s">
        <v>132</v>
      </c>
      <c r="C141" s="195" t="s">
        <v>132</v>
      </c>
      <c r="D141" s="194" t="s">
        <v>132</v>
      </c>
      <c r="E141" s="191">
        <v>5850</v>
      </c>
      <c r="F141" s="228"/>
      <c r="G141" s="203"/>
      <c r="H141" s="188"/>
      <c r="I141" s="189"/>
      <c r="J141" s="4"/>
      <c r="K141" s="171"/>
      <c r="L141" s="4"/>
      <c r="M141" s="4"/>
      <c r="N141" s="4"/>
      <c r="Q141" s="232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6" t="s">
        <v>132</v>
      </c>
      <c r="C142" s="195" t="s">
        <v>132</v>
      </c>
      <c r="D142" s="194" t="s">
        <v>132</v>
      </c>
      <c r="E142" s="191"/>
      <c r="F142" s="228"/>
      <c r="G142" s="23"/>
      <c r="H142" s="188"/>
      <c r="I142" s="189"/>
      <c r="J142" s="4"/>
      <c r="K142" s="171"/>
      <c r="L142" s="4"/>
      <c r="M142" s="4"/>
      <c r="N142" s="4"/>
      <c r="Q142" s="232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6" t="s">
        <v>132</v>
      </c>
      <c r="C143" s="195" t="s">
        <v>132</v>
      </c>
      <c r="D143" s="194" t="s">
        <v>132</v>
      </c>
      <c r="E143" s="191"/>
      <c r="F143" s="228"/>
      <c r="G143" s="23"/>
      <c r="H143" s="188"/>
      <c r="I143" s="189"/>
      <c r="J143" s="4"/>
      <c r="K143" s="171"/>
      <c r="L143" s="4"/>
      <c r="M143" s="4"/>
      <c r="N143" s="4"/>
      <c r="Q143" s="232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6" t="s">
        <v>132</v>
      </c>
      <c r="C144" s="195" t="s">
        <v>132</v>
      </c>
      <c r="D144" s="194" t="s">
        <v>132</v>
      </c>
      <c r="E144" s="191"/>
      <c r="F144" s="228"/>
      <c r="G144" s="23"/>
      <c r="H144" s="188"/>
      <c r="I144" s="189"/>
      <c r="J144" s="4"/>
      <c r="K144" s="171"/>
      <c r="L144" s="4"/>
      <c r="M144" s="4"/>
      <c r="N144" s="4"/>
      <c r="Q144" s="232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6" t="s">
        <v>132</v>
      </c>
      <c r="C145" s="195" t="s">
        <v>132</v>
      </c>
      <c r="D145" s="194" t="s">
        <v>132</v>
      </c>
      <c r="E145" s="191"/>
      <c r="F145" s="228"/>
      <c r="G145" s="23"/>
      <c r="H145" s="188"/>
      <c r="I145" s="189"/>
      <c r="J145" s="4"/>
      <c r="K145" s="171"/>
      <c r="L145" s="4"/>
      <c r="M145" s="4"/>
      <c r="N145" s="4"/>
      <c r="Q145" s="232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6" t="s">
        <v>132</v>
      </c>
      <c r="C146" s="195" t="s">
        <v>132</v>
      </c>
      <c r="D146" s="194" t="s">
        <v>132</v>
      </c>
      <c r="E146" s="191"/>
      <c r="F146" s="228"/>
      <c r="G146" s="202"/>
      <c r="H146" s="188"/>
      <c r="I146" s="189"/>
      <c r="J146" s="4"/>
      <c r="K146" s="171"/>
      <c r="L146" s="4"/>
      <c r="M146" s="4"/>
      <c r="N146" s="4"/>
      <c r="Q146" s="232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20</v>
      </c>
      <c r="B147" s="173">
        <f>'Données projet'!D140</f>
        <v>0</v>
      </c>
      <c r="C147" s="189">
        <f>60*'Données projet'!E140+13.8*('Données projet'!F140+'Données projet'!G140)+10*'Données projet'!H140</f>
        <v>10</v>
      </c>
      <c r="D147" s="180">
        <f>B147*C147</f>
        <v>0</v>
      </c>
      <c r="E147" s="191"/>
      <c r="F147" s="230"/>
      <c r="G147" s="202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25</v>
      </c>
      <c r="B148" s="173">
        <f>'Données projet'!D141</f>
        <v>0</v>
      </c>
      <c r="C148" s="189">
        <f>60*'Données projet'!E141+13.8*('Données projet'!F141+'Données projet'!G141)+10*'Données projet'!H141</f>
        <v>10</v>
      </c>
      <c r="D148" s="180">
        <f t="shared" ref="D148:D166" si="10">B148*C148</f>
        <v>0</v>
      </c>
      <c r="E148" s="191"/>
      <c r="F148" s="230"/>
      <c r="G148" s="202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30</v>
      </c>
      <c r="B149" s="173">
        <f>'Données projet'!D142</f>
        <v>21</v>
      </c>
      <c r="C149" s="189">
        <f>60*'Données projet'!E142+13.8*('Données projet'!F142+'Données projet'!G142)+10*'Données projet'!H142</f>
        <v>10</v>
      </c>
      <c r="D149" s="180">
        <f t="shared" si="10"/>
        <v>210</v>
      </c>
      <c r="E149" s="191"/>
      <c r="F149" s="230"/>
      <c r="G149" s="202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35</v>
      </c>
      <c r="B150" s="173">
        <f>'Données projet'!D143</f>
        <v>21</v>
      </c>
      <c r="C150" s="189">
        <f>60*'Données projet'!E143+13.8*('Données projet'!F143+'Données projet'!G143)+10*'Données projet'!H143</f>
        <v>10</v>
      </c>
      <c r="D150" s="180">
        <f t="shared" si="10"/>
        <v>210</v>
      </c>
      <c r="E150" s="191"/>
      <c r="F150" s="230"/>
      <c r="G150" s="202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40</v>
      </c>
      <c r="B151" s="173">
        <f>'Données projet'!D144</f>
        <v>21</v>
      </c>
      <c r="C151" s="189">
        <f>60*'Données projet'!E144+13.8*('Données projet'!F144+'Données projet'!G144)+10*'Données projet'!H144</f>
        <v>20</v>
      </c>
      <c r="D151" s="180">
        <f t="shared" si="10"/>
        <v>420</v>
      </c>
      <c r="E151" s="191"/>
      <c r="F151" s="230"/>
      <c r="G151" s="202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45</v>
      </c>
      <c r="B152" s="173">
        <f>'Données projet'!D145</f>
        <v>21</v>
      </c>
      <c r="C152" s="189">
        <f>60*'Données projet'!E145+13.8*('Données projet'!F145+'Données projet'!G145)+10*'Données projet'!H145</f>
        <v>20</v>
      </c>
      <c r="D152" s="180">
        <f t="shared" si="10"/>
        <v>420</v>
      </c>
      <c r="E152" s="191"/>
      <c r="F152" s="230"/>
      <c r="G152" s="202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50</v>
      </c>
      <c r="B153" s="173">
        <f>'Données projet'!D146</f>
        <v>21</v>
      </c>
      <c r="C153" s="189">
        <f>60*'Données projet'!E146+13.8*('Données projet'!F146+'Données projet'!G146)+10*'Données projet'!H146</f>
        <v>25</v>
      </c>
      <c r="D153" s="180">
        <f t="shared" si="10"/>
        <v>525</v>
      </c>
      <c r="E153" s="191"/>
      <c r="F153" s="230"/>
      <c r="G153" s="200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55</v>
      </c>
      <c r="B154" s="173">
        <f>'Données projet'!D147</f>
        <v>21</v>
      </c>
      <c r="C154" s="189">
        <f>60*'Données projet'!E147+13.8*('Données projet'!F147+'Données projet'!G147)+10*'Données projet'!H147</f>
        <v>25</v>
      </c>
      <c r="D154" s="180">
        <f t="shared" si="10"/>
        <v>525</v>
      </c>
      <c r="E154" s="191"/>
      <c r="F154" s="230"/>
      <c r="G154" s="200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60</v>
      </c>
      <c r="B155" s="173">
        <f>'Données projet'!D148</f>
        <v>21</v>
      </c>
      <c r="C155" s="189">
        <f>60*'Données projet'!E148+13.8*('Données projet'!F148+'Données projet'!G148)+10*'Données projet'!H148</f>
        <v>30</v>
      </c>
      <c r="D155" s="180">
        <f t="shared" si="10"/>
        <v>630</v>
      </c>
      <c r="E155" s="191"/>
      <c r="F155" s="230"/>
      <c r="G155" s="200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65</v>
      </c>
      <c r="B156" s="173">
        <f>'Données projet'!D149</f>
        <v>21</v>
      </c>
      <c r="C156" s="189">
        <f>60*'Données projet'!E149+13.8*('Données projet'!F149+'Données projet'!G149)+10*'Données projet'!H149</f>
        <v>30</v>
      </c>
      <c r="D156" s="180">
        <f t="shared" si="10"/>
        <v>630</v>
      </c>
      <c r="E156" s="191"/>
      <c r="F156" s="230"/>
      <c r="G156" s="200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70</v>
      </c>
      <c r="B157" s="173">
        <f>'Données projet'!D150</f>
        <v>21</v>
      </c>
      <c r="C157" s="189">
        <f>60*'Données projet'!E150+13.8*('Données projet'!F150+'Données projet'!G150)+10*'Données projet'!H150</f>
        <v>35</v>
      </c>
      <c r="D157" s="180">
        <f t="shared" si="10"/>
        <v>735</v>
      </c>
      <c r="E157" s="191"/>
      <c r="F157" s="230"/>
      <c r="G157" s="200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75</v>
      </c>
      <c r="B158" s="173">
        <f>'Données projet'!D151</f>
        <v>21</v>
      </c>
      <c r="C158" s="189">
        <f>60*'Données projet'!E151+13.8*('Données projet'!F151+'Données projet'!G151)+10*'Données projet'!H151</f>
        <v>35</v>
      </c>
      <c r="D158" s="180">
        <f t="shared" si="10"/>
        <v>735</v>
      </c>
      <c r="E158" s="191"/>
      <c r="F158" s="230"/>
      <c r="G158" s="200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80</v>
      </c>
      <c r="B159" s="173">
        <f>'Données projet'!D152</f>
        <v>21</v>
      </c>
      <c r="C159" s="189">
        <f>60*'Données projet'!E152+13.8*('Données projet'!F152+'Données projet'!G152)+10*'Données projet'!H152</f>
        <v>40</v>
      </c>
      <c r="D159" s="180">
        <f t="shared" si="10"/>
        <v>840</v>
      </c>
      <c r="E159" s="191"/>
      <c r="F159" s="230"/>
      <c r="G159" s="200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85</v>
      </c>
      <c r="B160" s="173">
        <f>'Données projet'!D153</f>
        <v>21</v>
      </c>
      <c r="C160" s="189">
        <f>60*'Données projet'!E153+13.8*('Données projet'!F153+'Données projet'!G153)+10*'Données projet'!H153</f>
        <v>40</v>
      </c>
      <c r="D160" s="180">
        <f t="shared" si="10"/>
        <v>840</v>
      </c>
      <c r="E160" s="191"/>
      <c r="F160" s="230"/>
      <c r="G160" s="200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90</v>
      </c>
      <c r="B161" s="173">
        <f>'Données projet'!D154</f>
        <v>21</v>
      </c>
      <c r="C161" s="189">
        <f>60*'Données projet'!E154+13.8*('Données projet'!F154+'Données projet'!G154)+10*'Données projet'!H154</f>
        <v>45</v>
      </c>
      <c r="D161" s="180">
        <f t="shared" si="10"/>
        <v>945</v>
      </c>
      <c r="E161" s="191"/>
      <c r="F161" s="230"/>
      <c r="G161" s="200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95</v>
      </c>
      <c r="B162" s="173">
        <f>'Données projet'!D155</f>
        <v>21</v>
      </c>
      <c r="C162" s="189">
        <f>60*'Données projet'!E155+13.8*('Données projet'!F155+'Données projet'!G155)+10*'Données projet'!H155</f>
        <v>45</v>
      </c>
      <c r="D162" s="180">
        <f t="shared" si="10"/>
        <v>945</v>
      </c>
      <c r="E162" s="191"/>
      <c r="F162" s="230"/>
      <c r="G162" s="200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100</v>
      </c>
      <c r="B163" s="173">
        <f>'Données projet'!D156</f>
        <v>21</v>
      </c>
      <c r="C163" s="189">
        <f>60*'Données projet'!E156+13.8*('Données projet'!F156+'Données projet'!G156)+10*'Données projet'!H156</f>
        <v>45</v>
      </c>
      <c r="D163" s="180">
        <f t="shared" si="10"/>
        <v>945</v>
      </c>
      <c r="E163" s="191"/>
      <c r="F163" s="230"/>
      <c r="G163" s="200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110</v>
      </c>
      <c r="B164" s="173">
        <f>'Données projet'!D157</f>
        <v>39</v>
      </c>
      <c r="C164" s="189">
        <f>60*'Données projet'!E157+13.8*('Données projet'!F157+'Données projet'!G157)+10*'Données projet'!H157</f>
        <v>50</v>
      </c>
      <c r="D164" s="180">
        <f t="shared" si="10"/>
        <v>1950</v>
      </c>
      <c r="E164" s="191"/>
      <c r="F164" s="230"/>
      <c r="G164" s="200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115</v>
      </c>
      <c r="B165" s="173">
        <f>'Données projet'!D158</f>
        <v>18</v>
      </c>
      <c r="C165" s="189">
        <f>60*'Données projet'!E158+13.8*('Données projet'!F158+'Données projet'!G158)+10*'Données projet'!H158</f>
        <v>50</v>
      </c>
      <c r="D165" s="180">
        <f t="shared" si="10"/>
        <v>900</v>
      </c>
      <c r="E165" s="191"/>
      <c r="F165" s="230"/>
      <c r="G165" s="200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120</v>
      </c>
      <c r="B166" s="173">
        <f>'Données projet'!D159</f>
        <v>285</v>
      </c>
      <c r="C166" s="189">
        <f>60*'Données projet'!E159+13.8*('Données projet'!F159+'Données projet'!G159)+10*'Données projet'!H159</f>
        <v>50</v>
      </c>
      <c r="D166" s="180">
        <f t="shared" si="10"/>
        <v>14250</v>
      </c>
      <c r="E166" s="191"/>
      <c r="F166" s="230"/>
      <c r="G166" s="200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7"/>
      <c r="G167" s="200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7"/>
      <c r="G168" s="200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2" t="str">
        <f>IF('Données projet'!B14="","",'Données projet'!B14)</f>
        <v>Charme</v>
      </c>
      <c r="C169" s="4"/>
      <c r="D169" s="4"/>
      <c r="E169" s="4"/>
      <c r="F169" s="227"/>
      <c r="G169" s="200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7"/>
      <c r="G170" s="200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8"/>
      <c r="G171" s="200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6" t="s">
        <v>132</v>
      </c>
      <c r="C172" s="195" t="s">
        <v>132</v>
      </c>
      <c r="D172" s="194" t="s">
        <v>132</v>
      </c>
      <c r="E172" s="191">
        <v>4050</v>
      </c>
      <c r="F172" s="254" t="s">
        <v>324</v>
      </c>
      <c r="G172" s="200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6" t="s">
        <v>132</v>
      </c>
      <c r="C173" s="195" t="s">
        <v>132</v>
      </c>
      <c r="D173" s="194" t="s">
        <v>132</v>
      </c>
      <c r="E173" s="191"/>
      <c r="F173" s="228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6" t="s">
        <v>132</v>
      </c>
      <c r="C174" s="195" t="s">
        <v>132</v>
      </c>
      <c r="D174" s="194" t="s">
        <v>132</v>
      </c>
      <c r="E174" s="191"/>
      <c r="F174" s="228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6" t="s">
        <v>132</v>
      </c>
      <c r="C175" s="195" t="s">
        <v>132</v>
      </c>
      <c r="D175" s="194" t="s">
        <v>132</v>
      </c>
      <c r="E175" s="191"/>
      <c r="F175" s="228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6" t="s">
        <v>132</v>
      </c>
      <c r="C176" s="195" t="s">
        <v>132</v>
      </c>
      <c r="D176" s="194" t="s">
        <v>132</v>
      </c>
      <c r="E176" s="191"/>
      <c r="F176" s="228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6" t="s">
        <v>132</v>
      </c>
      <c r="C177" s="195" t="s">
        <v>132</v>
      </c>
      <c r="D177" s="194" t="s">
        <v>132</v>
      </c>
      <c r="E177" s="191"/>
      <c r="F177" s="228"/>
      <c r="G177" s="202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78">
        <f>'Données projet'!A166</f>
        <v>25</v>
      </c>
      <c r="B178" s="179">
        <f>'Données projet'!D166</f>
        <v>0</v>
      </c>
      <c r="C178" s="191">
        <f>30*'Données projet'!E166+13.8*('Données projet'!F166+'Données projet'!G168)+10*'Données projet'!H166</f>
        <v>10</v>
      </c>
      <c r="D178" s="177">
        <f>B178*C178</f>
        <v>0</v>
      </c>
      <c r="E178" s="191"/>
      <c r="F178" s="229"/>
      <c r="G178" s="202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78">
        <f>'Données projet'!A167</f>
        <v>30</v>
      </c>
      <c r="B179" s="179">
        <f>'Données projet'!D167</f>
        <v>0</v>
      </c>
      <c r="C179" s="191">
        <f>30*'Données projet'!E167+13.8*('Données projet'!F167+'Données projet'!G169)+10*'Données projet'!H167</f>
        <v>10</v>
      </c>
      <c r="D179" s="177">
        <f t="shared" ref="D179:D197" si="11">B179*C179</f>
        <v>0</v>
      </c>
      <c r="E179" s="191"/>
      <c r="F179" s="229"/>
      <c r="G179" s="202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78">
        <f>'Données projet'!A168</f>
        <v>35</v>
      </c>
      <c r="B180" s="179">
        <f>'Données projet'!D168</f>
        <v>13</v>
      </c>
      <c r="C180" s="191">
        <f>30*'Données projet'!E168+13.8*('Données projet'!F168+'Données projet'!G170)+10*'Données projet'!H168</f>
        <v>10</v>
      </c>
      <c r="D180" s="177">
        <f t="shared" si="11"/>
        <v>130</v>
      </c>
      <c r="E180" s="191"/>
      <c r="F180" s="229"/>
      <c r="G180" s="202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78">
        <f>'Données projet'!A169</f>
        <v>40</v>
      </c>
      <c r="B181" s="179">
        <f>'Données projet'!D169</f>
        <v>14</v>
      </c>
      <c r="C181" s="191">
        <f>30*'Données projet'!E169+13.8*('Données projet'!F169+'Données projet'!G171)+10*'Données projet'!H169</f>
        <v>14</v>
      </c>
      <c r="D181" s="177">
        <f t="shared" si="11"/>
        <v>196</v>
      </c>
      <c r="E181" s="191"/>
      <c r="F181" s="229"/>
      <c r="G181" s="202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78">
        <f>'Données projet'!A170</f>
        <v>45</v>
      </c>
      <c r="B182" s="179">
        <f>'Données projet'!D170</f>
        <v>14</v>
      </c>
      <c r="C182" s="191">
        <f>30*'Données projet'!E170+13.8*('Données projet'!F170+'Données projet'!G172)+10*'Données projet'!H170</f>
        <v>14</v>
      </c>
      <c r="D182" s="177">
        <f t="shared" si="11"/>
        <v>196</v>
      </c>
      <c r="E182" s="191"/>
      <c r="F182" s="229"/>
      <c r="G182" s="202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78">
        <f>'Données projet'!A171</f>
        <v>50</v>
      </c>
      <c r="B183" s="179">
        <f>'Données projet'!D171</f>
        <v>14</v>
      </c>
      <c r="C183" s="191">
        <f>30*'Données projet'!E171+13.8*('Données projet'!F171+'Données projet'!G173)+10*'Données projet'!H171</f>
        <v>14</v>
      </c>
      <c r="D183" s="177">
        <f t="shared" si="11"/>
        <v>196</v>
      </c>
      <c r="E183" s="191"/>
      <c r="F183" s="229"/>
      <c r="G183" s="202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78">
        <f>'Données projet'!A172</f>
        <v>55</v>
      </c>
      <c r="B184" s="179">
        <f>'Données projet'!D172</f>
        <v>14</v>
      </c>
      <c r="C184" s="191">
        <f>30*'Données projet'!E172+13.8*('Données projet'!F172+'Données projet'!G174)+10*'Données projet'!H172</f>
        <v>16</v>
      </c>
      <c r="D184" s="177">
        <f t="shared" si="11"/>
        <v>224</v>
      </c>
      <c r="E184" s="191"/>
      <c r="F184" s="229"/>
      <c r="G184" s="203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78">
        <f>'Données projet'!A173</f>
        <v>60</v>
      </c>
      <c r="B185" s="179">
        <f>'Données projet'!D173</f>
        <v>14</v>
      </c>
      <c r="C185" s="191">
        <f>30*'Données projet'!E173+13.8*('Données projet'!F173+'Données projet'!G175)+10*'Données projet'!H173</f>
        <v>16</v>
      </c>
      <c r="D185" s="177">
        <f t="shared" si="11"/>
        <v>224</v>
      </c>
      <c r="E185" s="191"/>
      <c r="F185" s="229"/>
      <c r="G185" s="203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78">
        <f>'Données projet'!A174</f>
        <v>65</v>
      </c>
      <c r="B186" s="179">
        <f>'Données projet'!D174</f>
        <v>14</v>
      </c>
      <c r="C186" s="191">
        <f>30*'Données projet'!E174+13.8*('Données projet'!F174+'Données projet'!G176)+10*'Données projet'!H174</f>
        <v>18</v>
      </c>
      <c r="D186" s="177">
        <f t="shared" si="11"/>
        <v>252</v>
      </c>
      <c r="E186" s="191"/>
      <c r="F186" s="229"/>
      <c r="G186" s="203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78">
        <f>'Données projet'!A175</f>
        <v>70</v>
      </c>
      <c r="B187" s="179">
        <f>'Données projet'!D175</f>
        <v>14</v>
      </c>
      <c r="C187" s="191">
        <f>30*'Données projet'!E175+13.8*('Données projet'!F175+'Données projet'!G177)+10*'Données projet'!H175</f>
        <v>18</v>
      </c>
      <c r="D187" s="177">
        <f t="shared" si="11"/>
        <v>252</v>
      </c>
      <c r="E187" s="191"/>
      <c r="F187" s="229"/>
      <c r="G187" s="203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78">
        <f>'Données projet'!A176</f>
        <v>75</v>
      </c>
      <c r="B188" s="179">
        <f>'Données projet'!D176</f>
        <v>14</v>
      </c>
      <c r="C188" s="191">
        <f>30*'Données projet'!E176+13.8*('Données projet'!F176+'Données projet'!G178)+10*'Données projet'!H176</f>
        <v>20</v>
      </c>
      <c r="D188" s="177">
        <f t="shared" si="11"/>
        <v>280</v>
      </c>
      <c r="E188" s="191"/>
      <c r="F188" s="229"/>
      <c r="G188" s="203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78">
        <f>'Données projet'!A177</f>
        <v>80</v>
      </c>
      <c r="B189" s="179">
        <f>'Données projet'!D177</f>
        <v>14</v>
      </c>
      <c r="C189" s="191">
        <f>30*'Données projet'!E177+13.8*('Données projet'!F177+'Données projet'!G179)+10*'Données projet'!H177</f>
        <v>20</v>
      </c>
      <c r="D189" s="177">
        <f t="shared" si="11"/>
        <v>280</v>
      </c>
      <c r="E189" s="191"/>
      <c r="F189" s="229"/>
      <c r="G189" s="203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78">
        <f>'Données projet'!A178</f>
        <v>85</v>
      </c>
      <c r="B190" s="179">
        <f>'Données projet'!D178</f>
        <v>14</v>
      </c>
      <c r="C190" s="191">
        <f>30*'Données projet'!E178+13.8*('Données projet'!F178+'Données projet'!G180)+10*'Données projet'!H178</f>
        <v>22</v>
      </c>
      <c r="D190" s="177">
        <f t="shared" si="11"/>
        <v>308</v>
      </c>
      <c r="E190" s="191"/>
      <c r="F190" s="229"/>
      <c r="G190" s="203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78">
        <f>'Données projet'!A179</f>
        <v>90</v>
      </c>
      <c r="B191" s="179">
        <f>'Données projet'!D179</f>
        <v>14</v>
      </c>
      <c r="C191" s="191">
        <f>30*'Données projet'!E179+13.8*('Données projet'!F179+'Données projet'!G181)+10*'Données projet'!H179</f>
        <v>22</v>
      </c>
      <c r="D191" s="177">
        <f t="shared" si="11"/>
        <v>308</v>
      </c>
      <c r="E191" s="191"/>
      <c r="F191" s="229"/>
      <c r="G191" s="203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78">
        <f>'Données projet'!A180</f>
        <v>95</v>
      </c>
      <c r="B192" s="179">
        <f>'Données projet'!D180</f>
        <v>14</v>
      </c>
      <c r="C192" s="191">
        <f>30*'Données projet'!E180+13.8*('Données projet'!F180+'Données projet'!G182)+10*'Données projet'!H180</f>
        <v>24</v>
      </c>
      <c r="D192" s="177">
        <f t="shared" si="11"/>
        <v>336</v>
      </c>
      <c r="E192" s="191"/>
      <c r="F192" s="229"/>
      <c r="G192" s="203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78">
        <f>'Données projet'!A181</f>
        <v>100</v>
      </c>
      <c r="B193" s="179">
        <f>'Données projet'!D181</f>
        <v>14</v>
      </c>
      <c r="C193" s="191">
        <f>30*'Données projet'!E181+13.8*('Données projet'!F181+'Données projet'!G183)+10*'Données projet'!H181</f>
        <v>24</v>
      </c>
      <c r="D193" s="177">
        <f t="shared" si="11"/>
        <v>336</v>
      </c>
      <c r="E193" s="191"/>
      <c r="F193" s="229"/>
      <c r="G193" s="203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78">
        <f>'Données projet'!A182</f>
        <v>105</v>
      </c>
      <c r="B194" s="179">
        <f>'Données projet'!D182</f>
        <v>14</v>
      </c>
      <c r="C194" s="191">
        <f>30*'Données projet'!E182+13.8*('Données projet'!F182+'Données projet'!G184)+10*'Données projet'!H182</f>
        <v>24</v>
      </c>
      <c r="D194" s="177">
        <f t="shared" si="11"/>
        <v>336</v>
      </c>
      <c r="E194" s="191"/>
      <c r="F194" s="229"/>
      <c r="G194" s="203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78">
        <f>'Données projet'!A183</f>
        <v>110</v>
      </c>
      <c r="B195" s="179">
        <f>'Données projet'!D183</f>
        <v>13</v>
      </c>
      <c r="C195" s="191">
        <f>30*'Données projet'!E183+13.8*('Données projet'!F183+'Données projet'!G185)+10*'Données projet'!H183</f>
        <v>24</v>
      </c>
      <c r="D195" s="177">
        <f t="shared" si="11"/>
        <v>312</v>
      </c>
      <c r="E195" s="191"/>
      <c r="F195" s="229"/>
      <c r="G195" s="203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78">
        <f>'Données projet'!A184</f>
        <v>115</v>
      </c>
      <c r="B196" s="179">
        <f>'Données projet'!D184</f>
        <v>13</v>
      </c>
      <c r="C196" s="191">
        <f>30*'Données projet'!E184+13.8*('Données projet'!F184+'Données projet'!G186)+10*'Données projet'!H184</f>
        <v>24</v>
      </c>
      <c r="D196" s="177">
        <f t="shared" si="11"/>
        <v>312</v>
      </c>
      <c r="E196" s="191"/>
      <c r="F196" s="229"/>
      <c r="G196" s="203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78">
        <f>'Données projet'!A185</f>
        <v>120</v>
      </c>
      <c r="B197" s="179">
        <f>'Données projet'!D185</f>
        <v>221</v>
      </c>
      <c r="C197" s="191">
        <f>30*'Données projet'!E185+13.8*('Données projet'!F185+'Données projet'!G187)+10*'Données projet'!H185</f>
        <v>26</v>
      </c>
      <c r="D197" s="177">
        <f t="shared" si="11"/>
        <v>5746</v>
      </c>
      <c r="E197" s="191"/>
      <c r="F197" s="229"/>
      <c r="G197" s="203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7"/>
      <c r="G198" s="203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7"/>
      <c r="G199" s="203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7"/>
      <c r="G200" s="203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7"/>
      <c r="G201" s="203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8"/>
      <c r="G202" s="203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6" t="s">
        <v>132</v>
      </c>
      <c r="C203" s="195" t="s">
        <v>132</v>
      </c>
      <c r="D203" s="194" t="s">
        <v>132</v>
      </c>
      <c r="E203" s="191"/>
      <c r="F203" s="228"/>
      <c r="G203" s="203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6" t="s">
        <v>132</v>
      </c>
      <c r="C204" s="195" t="s">
        <v>132</v>
      </c>
      <c r="D204" s="194" t="s">
        <v>132</v>
      </c>
      <c r="E204" s="191"/>
      <c r="F204" s="228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6" t="s">
        <v>132</v>
      </c>
      <c r="C205" s="195" t="s">
        <v>132</v>
      </c>
      <c r="D205" s="194" t="s">
        <v>132</v>
      </c>
      <c r="E205" s="191"/>
      <c r="F205" s="228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6" t="s">
        <v>132</v>
      </c>
      <c r="C206" s="195" t="s">
        <v>132</v>
      </c>
      <c r="D206" s="194" t="s">
        <v>132</v>
      </c>
      <c r="E206" s="191"/>
      <c r="F206" s="228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6" t="s">
        <v>132</v>
      </c>
      <c r="C207" s="195" t="s">
        <v>132</v>
      </c>
      <c r="D207" s="194" t="s">
        <v>132</v>
      </c>
      <c r="E207" s="191"/>
      <c r="F207" s="228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6" t="s">
        <v>132</v>
      </c>
      <c r="C208" s="195" t="s">
        <v>132</v>
      </c>
      <c r="D208" s="194" t="s">
        <v>132</v>
      </c>
      <c r="E208" s="191"/>
      <c r="F208" s="228"/>
      <c r="G208" s="202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78">
        <f>'Données projet'!A192</f>
        <v>0</v>
      </c>
      <c r="B209" s="179">
        <f>'Données projet'!D192</f>
        <v>0</v>
      </c>
      <c r="C209" s="191">
        <f>150*'Données projet'!E192+13.8*('Données projet'!F192+'Données projet'!G192)+10*'Données projet'!H192</f>
        <v>0</v>
      </c>
      <c r="D209" s="177">
        <f>B209*C209</f>
        <v>0</v>
      </c>
      <c r="E209" s="191"/>
      <c r="F209" s="229"/>
      <c r="G209" s="202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78">
        <f>'Données projet'!A193</f>
        <v>0</v>
      </c>
      <c r="B210" s="179">
        <f>'Données projet'!D193</f>
        <v>0</v>
      </c>
      <c r="C210" s="191">
        <f>150*'Données projet'!E193+13.8*('Données projet'!F193+'Données projet'!G193)+10*'Données projet'!H193</f>
        <v>0</v>
      </c>
      <c r="D210" s="177">
        <f t="shared" ref="D210:D228" si="12">B210*C210</f>
        <v>0</v>
      </c>
      <c r="E210" s="191"/>
      <c r="F210" s="229"/>
      <c r="G210" s="202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78">
        <f>'Données projet'!A194</f>
        <v>0</v>
      </c>
      <c r="B211" s="179">
        <f>'Données projet'!D194</f>
        <v>0</v>
      </c>
      <c r="C211" s="191">
        <f>150*'Données projet'!E194+13.8*('Données projet'!F194+'Données projet'!G194)+10*'Données projet'!H194</f>
        <v>0</v>
      </c>
      <c r="D211" s="177">
        <f t="shared" si="12"/>
        <v>0</v>
      </c>
      <c r="E211" s="191"/>
      <c r="F211" s="229"/>
      <c r="G211" s="202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78">
        <f>'Données projet'!A195</f>
        <v>0</v>
      </c>
      <c r="B212" s="179">
        <f>'Données projet'!D195</f>
        <v>0</v>
      </c>
      <c r="C212" s="191">
        <f>150*'Données projet'!E195+13.8*('Données projet'!F195+'Données projet'!G195)+10*'Données projet'!H195</f>
        <v>0</v>
      </c>
      <c r="D212" s="177">
        <f t="shared" si="12"/>
        <v>0</v>
      </c>
      <c r="E212" s="191"/>
      <c r="F212" s="229"/>
      <c r="G212" s="202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78">
        <f>'Données projet'!A196</f>
        <v>0</v>
      </c>
      <c r="B213" s="179">
        <f>'Données projet'!D196</f>
        <v>0</v>
      </c>
      <c r="C213" s="191">
        <f>150*'Données projet'!E196+13.8*('Données projet'!F196+'Données projet'!G196)+10*'Données projet'!H196</f>
        <v>0</v>
      </c>
      <c r="D213" s="177">
        <f t="shared" si="12"/>
        <v>0</v>
      </c>
      <c r="E213" s="191"/>
      <c r="F213" s="229"/>
      <c r="G213" s="202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78">
        <f>'Données projet'!A197</f>
        <v>0</v>
      </c>
      <c r="B214" s="179">
        <f>'Données projet'!D197</f>
        <v>0</v>
      </c>
      <c r="C214" s="191">
        <f>150*'Données projet'!E197+13.8*('Données projet'!F197+'Données projet'!G197)+10*'Données projet'!H197</f>
        <v>0</v>
      </c>
      <c r="D214" s="177">
        <f t="shared" si="12"/>
        <v>0</v>
      </c>
      <c r="E214" s="191"/>
      <c r="F214" s="229"/>
      <c r="G214" s="202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78">
        <f>'Données projet'!A198</f>
        <v>0</v>
      </c>
      <c r="B215" s="179">
        <f>'Données projet'!D198</f>
        <v>0</v>
      </c>
      <c r="C215" s="191">
        <f>150*'Données projet'!E198+13.8*('Données projet'!F198+'Données projet'!G198)+10*'Données projet'!H198</f>
        <v>0</v>
      </c>
      <c r="D215" s="177">
        <f t="shared" si="12"/>
        <v>0</v>
      </c>
      <c r="E215" s="191"/>
      <c r="F215" s="229"/>
      <c r="G215" s="203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78">
        <f>'Données projet'!A199</f>
        <v>0</v>
      </c>
      <c r="B216" s="179">
        <f>'Données projet'!D199</f>
        <v>0</v>
      </c>
      <c r="C216" s="191">
        <f>150*'Données projet'!E199+13.8*('Données projet'!F199+'Données projet'!G199)+10*'Données projet'!H199</f>
        <v>0</v>
      </c>
      <c r="D216" s="177">
        <f t="shared" si="12"/>
        <v>0</v>
      </c>
      <c r="E216" s="191"/>
      <c r="F216" s="229"/>
      <c r="G216" s="203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78">
        <f>'Données projet'!A200</f>
        <v>0</v>
      </c>
      <c r="B217" s="179">
        <f>'Données projet'!D200</f>
        <v>0</v>
      </c>
      <c r="C217" s="191">
        <f>150*'Données projet'!E200+13.8*('Données projet'!F200+'Données projet'!G200)+10*'Données projet'!H200</f>
        <v>0</v>
      </c>
      <c r="D217" s="177">
        <f t="shared" si="12"/>
        <v>0</v>
      </c>
      <c r="E217" s="191"/>
      <c r="F217" s="229"/>
      <c r="G217" s="203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78">
        <f>'Données projet'!A201</f>
        <v>0</v>
      </c>
      <c r="B218" s="179">
        <f>'Données projet'!D201</f>
        <v>0</v>
      </c>
      <c r="C218" s="191">
        <f>150*'Données projet'!E201+13.8*('Données projet'!F201+'Données projet'!G201)+10*'Données projet'!H201</f>
        <v>0</v>
      </c>
      <c r="D218" s="177">
        <f t="shared" si="12"/>
        <v>0</v>
      </c>
      <c r="E218" s="191"/>
      <c r="F218" s="229"/>
      <c r="G218" s="203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78">
        <f>'Données projet'!A202</f>
        <v>0</v>
      </c>
      <c r="B219" s="179">
        <f>'Données projet'!D202</f>
        <v>0</v>
      </c>
      <c r="C219" s="191">
        <f>150*'Données projet'!E202+13.8*('Données projet'!F202+'Données projet'!G202)+10*'Données projet'!H202</f>
        <v>0</v>
      </c>
      <c r="D219" s="177">
        <f t="shared" si="12"/>
        <v>0</v>
      </c>
      <c r="E219" s="191"/>
      <c r="F219" s="229"/>
      <c r="G219" s="203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78">
        <f>'Données projet'!A203</f>
        <v>0</v>
      </c>
      <c r="B220" s="179">
        <f>'Données projet'!D203</f>
        <v>0</v>
      </c>
      <c r="C220" s="191">
        <f>150*'Données projet'!E203+13.8*('Données projet'!F203+'Données projet'!G203)+10*'Données projet'!H203</f>
        <v>0</v>
      </c>
      <c r="D220" s="177">
        <f t="shared" si="12"/>
        <v>0</v>
      </c>
      <c r="E220" s="191"/>
      <c r="F220" s="229"/>
      <c r="G220" s="203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78">
        <f>'Données projet'!A204</f>
        <v>0</v>
      </c>
      <c r="B221" s="179">
        <f>'Données projet'!D204</f>
        <v>0</v>
      </c>
      <c r="C221" s="191">
        <f>150*'Données projet'!E204+13.8*('Données projet'!F204+'Données projet'!G204)+10*'Données projet'!H204</f>
        <v>0</v>
      </c>
      <c r="D221" s="177">
        <f t="shared" si="12"/>
        <v>0</v>
      </c>
      <c r="E221" s="191"/>
      <c r="F221" s="229"/>
      <c r="G221" s="203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78">
        <f>'Données projet'!A205</f>
        <v>0</v>
      </c>
      <c r="B222" s="179">
        <f>'Données projet'!D205</f>
        <v>0</v>
      </c>
      <c r="C222" s="191">
        <f>150*'Données projet'!E205+13.8*('Données projet'!F205+'Données projet'!G205)+10*'Données projet'!H205</f>
        <v>0</v>
      </c>
      <c r="D222" s="177">
        <f t="shared" si="12"/>
        <v>0</v>
      </c>
      <c r="E222" s="191"/>
      <c r="F222" s="229"/>
      <c r="G222" s="203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78">
        <f>'Données projet'!A206</f>
        <v>0</v>
      </c>
      <c r="B223" s="179">
        <f>'Données projet'!D206</f>
        <v>0</v>
      </c>
      <c r="C223" s="191">
        <f>150*'Données projet'!E206+13.8*('Données projet'!F206+'Données projet'!G206)+10*'Données projet'!H206</f>
        <v>0</v>
      </c>
      <c r="D223" s="177">
        <f t="shared" si="12"/>
        <v>0</v>
      </c>
      <c r="E223" s="191"/>
      <c r="F223" s="229"/>
      <c r="G223" s="203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78">
        <f>'Données projet'!A207</f>
        <v>0</v>
      </c>
      <c r="B224" s="179">
        <f>'Données projet'!D207</f>
        <v>0</v>
      </c>
      <c r="C224" s="191">
        <f>150*'Données projet'!E207+13.8*('Données projet'!F207+'Données projet'!G207)+10*'Données projet'!H207</f>
        <v>0</v>
      </c>
      <c r="D224" s="177">
        <f t="shared" si="12"/>
        <v>0</v>
      </c>
      <c r="E224" s="191"/>
      <c r="F224" s="229"/>
      <c r="G224" s="203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78">
        <f>'Données projet'!A208</f>
        <v>0</v>
      </c>
      <c r="B225" s="179">
        <f>'Données projet'!D208</f>
        <v>0</v>
      </c>
      <c r="C225" s="191">
        <f>150*'Données projet'!E208+13.8*('Données projet'!F208+'Données projet'!G208)+10*'Données projet'!H208</f>
        <v>0</v>
      </c>
      <c r="D225" s="177">
        <f t="shared" si="12"/>
        <v>0</v>
      </c>
      <c r="E225" s="191"/>
      <c r="F225" s="229"/>
      <c r="G225" s="203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78">
        <f>'Données projet'!A209</f>
        <v>0</v>
      </c>
      <c r="B226" s="179">
        <f>'Données projet'!D209</f>
        <v>0</v>
      </c>
      <c r="C226" s="191">
        <f>150*'Données projet'!E209+13.8*('Données projet'!F209+'Données projet'!G209)+10*'Données projet'!H209</f>
        <v>0</v>
      </c>
      <c r="D226" s="177">
        <f t="shared" si="12"/>
        <v>0</v>
      </c>
      <c r="E226" s="191"/>
      <c r="F226" s="229"/>
      <c r="G226" s="203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78">
        <f>'Données projet'!A210</f>
        <v>0</v>
      </c>
      <c r="B227" s="179">
        <f>'Données projet'!D210</f>
        <v>0</v>
      </c>
      <c r="C227" s="191">
        <f>150*'Données projet'!E210+13.8*('Données projet'!F210+'Données projet'!G210)+10*'Données projet'!H210</f>
        <v>0</v>
      </c>
      <c r="D227" s="177">
        <f t="shared" si="12"/>
        <v>0</v>
      </c>
      <c r="E227" s="191"/>
      <c r="F227" s="229"/>
      <c r="G227" s="203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78">
        <f>'Données projet'!A211</f>
        <v>0</v>
      </c>
      <c r="B228" s="179">
        <f>'Données projet'!D211</f>
        <v>0</v>
      </c>
      <c r="C228" s="191">
        <f>150*'Données projet'!E211+13.8*('Données projet'!F211+'Données projet'!G211)+10*'Données projet'!H211</f>
        <v>0</v>
      </c>
      <c r="D228" s="177">
        <f t="shared" si="12"/>
        <v>0</v>
      </c>
      <c r="E228" s="191"/>
      <c r="F228" s="229"/>
      <c r="G228" s="203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7"/>
      <c r="G229" s="203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7"/>
      <c r="G230" s="203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7"/>
      <c r="G231" s="203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7"/>
      <c r="G232" s="203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8"/>
      <c r="G233" s="203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6" t="s">
        <v>132</v>
      </c>
      <c r="C234" s="195" t="s">
        <v>132</v>
      </c>
      <c r="D234" s="194" t="s">
        <v>132</v>
      </c>
      <c r="E234" s="191"/>
      <c r="F234" s="228"/>
      <c r="G234" s="203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6" t="s">
        <v>132</v>
      </c>
      <c r="C235" s="195" t="s">
        <v>132</v>
      </c>
      <c r="D235" s="194" t="s">
        <v>132</v>
      </c>
      <c r="E235" s="191"/>
      <c r="F235" s="228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6" t="s">
        <v>132</v>
      </c>
      <c r="C236" s="195" t="s">
        <v>132</v>
      </c>
      <c r="D236" s="194" t="s">
        <v>132</v>
      </c>
      <c r="E236" s="191"/>
      <c r="F236" s="228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6" t="s">
        <v>132</v>
      </c>
      <c r="C237" s="195" t="s">
        <v>132</v>
      </c>
      <c r="D237" s="194" t="s">
        <v>132</v>
      </c>
      <c r="E237" s="191"/>
      <c r="F237" s="228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6" t="s">
        <v>132</v>
      </c>
      <c r="C238" s="195" t="s">
        <v>132</v>
      </c>
      <c r="D238" s="194" t="s">
        <v>132</v>
      </c>
      <c r="E238" s="191"/>
      <c r="F238" s="228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6" t="s">
        <v>132</v>
      </c>
      <c r="C239" s="195" t="s">
        <v>132</v>
      </c>
      <c r="D239" s="194" t="s">
        <v>132</v>
      </c>
      <c r="E239" s="191"/>
      <c r="F239" s="228"/>
      <c r="G239" s="202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78">
        <f>'Données projet'!A218</f>
        <v>0</v>
      </c>
      <c r="B240" s="179">
        <f>'Données projet'!D218</f>
        <v>0</v>
      </c>
      <c r="C240" s="191">
        <f>60*'Données projet'!E218+13.8*('Données projet'!F218+'Données projet'!G218)+10*'Données projet'!H218</f>
        <v>0</v>
      </c>
      <c r="D240" s="177">
        <f>B240*C240</f>
        <v>0</v>
      </c>
      <c r="E240" s="191"/>
      <c r="F240" s="229"/>
      <c r="G240" s="202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78">
        <f>'Données projet'!A219</f>
        <v>0</v>
      </c>
      <c r="B241" s="179">
        <f>'Données projet'!D219</f>
        <v>0</v>
      </c>
      <c r="C241" s="191">
        <f>60*'Données projet'!E219+13.8*('Données projet'!F219+'Données projet'!G219)+10*'Données projet'!H219</f>
        <v>0</v>
      </c>
      <c r="D241" s="177">
        <f t="shared" ref="D241:D259" si="13">B241*C241</f>
        <v>0</v>
      </c>
      <c r="E241" s="191"/>
      <c r="F241" s="229"/>
      <c r="G241" s="202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78">
        <f>'Données projet'!A220</f>
        <v>0</v>
      </c>
      <c r="B242" s="179">
        <f>'Données projet'!D220</f>
        <v>0</v>
      </c>
      <c r="C242" s="191">
        <f>60*'Données projet'!E220+13.8*('Données projet'!F220+'Données projet'!G220)+10*'Données projet'!H220</f>
        <v>0</v>
      </c>
      <c r="D242" s="177">
        <f t="shared" si="13"/>
        <v>0</v>
      </c>
      <c r="E242" s="191"/>
      <c r="F242" s="229"/>
      <c r="G242" s="202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78">
        <f>'Données projet'!A221</f>
        <v>0</v>
      </c>
      <c r="B243" s="179">
        <f>'Données projet'!D221</f>
        <v>0</v>
      </c>
      <c r="C243" s="191">
        <f>60*'Données projet'!E221+13.8*('Données projet'!F221+'Données projet'!G221)+10*'Données projet'!H221</f>
        <v>0</v>
      </c>
      <c r="D243" s="177">
        <f t="shared" si="13"/>
        <v>0</v>
      </c>
      <c r="E243" s="191"/>
      <c r="F243" s="229"/>
      <c r="G243" s="202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78">
        <f>'Données projet'!A222</f>
        <v>0</v>
      </c>
      <c r="B244" s="179">
        <f>'Données projet'!D222</f>
        <v>0</v>
      </c>
      <c r="C244" s="191">
        <f>60*'Données projet'!E222+13.8*('Données projet'!F222+'Données projet'!G222)+10*'Données projet'!H222</f>
        <v>0</v>
      </c>
      <c r="D244" s="177">
        <f t="shared" si="13"/>
        <v>0</v>
      </c>
      <c r="E244" s="191"/>
      <c r="F244" s="229"/>
      <c r="G244" s="202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78">
        <f>'Données projet'!A223</f>
        <v>0</v>
      </c>
      <c r="B245" s="179">
        <f>'Données projet'!D223</f>
        <v>0</v>
      </c>
      <c r="C245" s="191">
        <f>60*'Données projet'!E223+13.8*('Données projet'!F223+'Données projet'!G223)+10*'Données projet'!H223</f>
        <v>0</v>
      </c>
      <c r="D245" s="177">
        <f t="shared" si="13"/>
        <v>0</v>
      </c>
      <c r="E245" s="191"/>
      <c r="F245" s="229"/>
      <c r="G245" s="202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78">
        <f>'Données projet'!A224</f>
        <v>0</v>
      </c>
      <c r="B246" s="179">
        <f>'Données projet'!D224</f>
        <v>0</v>
      </c>
      <c r="C246" s="191">
        <f>60*'Données projet'!E224+13.8*('Données projet'!F224+'Données projet'!G224)+10*'Données projet'!H224</f>
        <v>0</v>
      </c>
      <c r="D246" s="177">
        <f t="shared" si="13"/>
        <v>0</v>
      </c>
      <c r="E246" s="191"/>
      <c r="F246" s="229"/>
      <c r="G246" s="203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78">
        <f>'Données projet'!A225</f>
        <v>0</v>
      </c>
      <c r="B247" s="179">
        <f>'Données projet'!D225</f>
        <v>0</v>
      </c>
      <c r="C247" s="191">
        <f>60*'Données projet'!E225+13.8*('Données projet'!F225+'Données projet'!G225)+10*'Données projet'!H225</f>
        <v>0</v>
      </c>
      <c r="D247" s="177">
        <f t="shared" si="13"/>
        <v>0</v>
      </c>
      <c r="E247" s="191"/>
      <c r="F247" s="229"/>
      <c r="G247" s="203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78">
        <f>'Données projet'!A226</f>
        <v>0</v>
      </c>
      <c r="B248" s="179">
        <f>'Données projet'!D226</f>
        <v>0</v>
      </c>
      <c r="C248" s="191">
        <f>60*'Données projet'!E226+13.8*('Données projet'!F226+'Données projet'!G226)+10*'Données projet'!H226</f>
        <v>0</v>
      </c>
      <c r="D248" s="177">
        <f t="shared" si="13"/>
        <v>0</v>
      </c>
      <c r="E248" s="191"/>
      <c r="F248" s="229"/>
      <c r="G248" s="203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78">
        <f>'Données projet'!A227</f>
        <v>0</v>
      </c>
      <c r="B249" s="179">
        <f>'Données projet'!D227</f>
        <v>0</v>
      </c>
      <c r="C249" s="191">
        <f>60*'Données projet'!E227+13.8*('Données projet'!F227+'Données projet'!G227)+10*'Données projet'!H227</f>
        <v>0</v>
      </c>
      <c r="D249" s="177">
        <f t="shared" si="13"/>
        <v>0</v>
      </c>
      <c r="E249" s="191"/>
      <c r="F249" s="229"/>
      <c r="G249" s="203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78">
        <f>'Données projet'!A228</f>
        <v>0</v>
      </c>
      <c r="B250" s="179">
        <f>'Données projet'!D228</f>
        <v>0</v>
      </c>
      <c r="C250" s="191">
        <f>60*'Données projet'!E228+13.8*('Données projet'!F228+'Données projet'!G228)+10*'Données projet'!H228</f>
        <v>0</v>
      </c>
      <c r="D250" s="177">
        <f t="shared" si="13"/>
        <v>0</v>
      </c>
      <c r="E250" s="191"/>
      <c r="F250" s="229"/>
      <c r="G250" s="203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78">
        <f>'Données projet'!A229</f>
        <v>0</v>
      </c>
      <c r="B251" s="179">
        <f>'Données projet'!D229</f>
        <v>0</v>
      </c>
      <c r="C251" s="191">
        <f>60*'Données projet'!E229+13.8*('Données projet'!F229+'Données projet'!G229)+10*'Données projet'!H229</f>
        <v>0</v>
      </c>
      <c r="D251" s="177">
        <f t="shared" si="13"/>
        <v>0</v>
      </c>
      <c r="E251" s="191"/>
      <c r="F251" s="229"/>
      <c r="G251" s="203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78">
        <f>'Données projet'!A230</f>
        <v>0</v>
      </c>
      <c r="B252" s="179">
        <f>'Données projet'!D230</f>
        <v>0</v>
      </c>
      <c r="C252" s="191">
        <f>60*'Données projet'!E230+13.8*('Données projet'!F230+'Données projet'!G230)+10*'Données projet'!H230</f>
        <v>0</v>
      </c>
      <c r="D252" s="177">
        <f t="shared" si="13"/>
        <v>0</v>
      </c>
      <c r="E252" s="191"/>
      <c r="F252" s="229"/>
      <c r="G252" s="203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78">
        <f>'Données projet'!A231</f>
        <v>0</v>
      </c>
      <c r="B253" s="179">
        <f>'Données projet'!D231</f>
        <v>0</v>
      </c>
      <c r="C253" s="191">
        <f>60*'Données projet'!E231+13.8*('Données projet'!F231+'Données projet'!G231)+10*'Données projet'!H231</f>
        <v>0</v>
      </c>
      <c r="D253" s="177">
        <f t="shared" si="13"/>
        <v>0</v>
      </c>
      <c r="E253" s="191"/>
      <c r="F253" s="229"/>
      <c r="G253" s="203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78">
        <f>'Données projet'!A232</f>
        <v>0</v>
      </c>
      <c r="B254" s="179">
        <f>'Données projet'!D232</f>
        <v>0</v>
      </c>
      <c r="C254" s="191">
        <f>60*'Données projet'!E232+13.8*('Données projet'!F232+'Données projet'!G232)+10*'Données projet'!H232</f>
        <v>0</v>
      </c>
      <c r="D254" s="177">
        <f t="shared" si="13"/>
        <v>0</v>
      </c>
      <c r="E254" s="191"/>
      <c r="F254" s="229"/>
      <c r="G254" s="203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78">
        <f>'Données projet'!A233</f>
        <v>0</v>
      </c>
      <c r="B255" s="179">
        <f>'Données projet'!D233</f>
        <v>0</v>
      </c>
      <c r="C255" s="191">
        <f>60*'Données projet'!E233+13.8*('Données projet'!F233+'Données projet'!G233)+10*'Données projet'!H233</f>
        <v>0</v>
      </c>
      <c r="D255" s="177">
        <f t="shared" si="13"/>
        <v>0</v>
      </c>
      <c r="E255" s="191"/>
      <c r="F255" s="229"/>
      <c r="G255" s="203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78">
        <f>'Données projet'!A234</f>
        <v>0</v>
      </c>
      <c r="B256" s="179">
        <f>'Données projet'!D234</f>
        <v>0</v>
      </c>
      <c r="C256" s="191">
        <f>60*'Données projet'!E234+13.8*('Données projet'!F234+'Données projet'!G234)+10*'Données projet'!H234</f>
        <v>0</v>
      </c>
      <c r="D256" s="177">
        <f t="shared" si="13"/>
        <v>0</v>
      </c>
      <c r="E256" s="191"/>
      <c r="F256" s="229"/>
      <c r="G256" s="203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78">
        <f>'Données projet'!A235</f>
        <v>0</v>
      </c>
      <c r="B257" s="179">
        <f>'Données projet'!D235</f>
        <v>0</v>
      </c>
      <c r="C257" s="191">
        <f>60*'Données projet'!E235+13.8*('Données projet'!F235+'Données projet'!G235)+10*'Données projet'!H235</f>
        <v>0</v>
      </c>
      <c r="D257" s="177">
        <f t="shared" si="13"/>
        <v>0</v>
      </c>
      <c r="E257" s="191"/>
      <c r="F257" s="229"/>
      <c r="G257" s="203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78">
        <f>'Données projet'!A236</f>
        <v>0</v>
      </c>
      <c r="B258" s="179">
        <f>'Données projet'!D236</f>
        <v>0</v>
      </c>
      <c r="C258" s="191">
        <f>60*'Données projet'!E236+13.8*('Données projet'!F236+'Données projet'!G236)+10*'Données projet'!H236</f>
        <v>0</v>
      </c>
      <c r="D258" s="177">
        <f t="shared" si="13"/>
        <v>0</v>
      </c>
      <c r="E258" s="191"/>
      <c r="F258" s="229"/>
      <c r="G258" s="203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78">
        <f>'Données projet'!A237</f>
        <v>0</v>
      </c>
      <c r="B259" s="179">
        <f>'Données projet'!D237</f>
        <v>0</v>
      </c>
      <c r="C259" s="191">
        <f>60*'Données projet'!E237+13.8*('Données projet'!F237+'Données projet'!G237)+10*'Données projet'!H237</f>
        <v>0</v>
      </c>
      <c r="D259" s="177">
        <f t="shared" si="13"/>
        <v>0</v>
      </c>
      <c r="E259" s="191"/>
      <c r="F259" s="229"/>
      <c r="G259" s="203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7"/>
      <c r="G260" s="203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7"/>
      <c r="G261" s="203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7"/>
      <c r="G262" s="203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7"/>
      <c r="G263" s="203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8"/>
      <c r="G264" s="203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6" t="s">
        <v>132</v>
      </c>
      <c r="C265" s="195" t="s">
        <v>132</v>
      </c>
      <c r="D265" s="194" t="s">
        <v>132</v>
      </c>
      <c r="E265" s="191"/>
      <c r="F265" s="228"/>
      <c r="G265" s="203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6" t="s">
        <v>132</v>
      </c>
      <c r="C266" s="195" t="s">
        <v>132</v>
      </c>
      <c r="D266" s="194" t="s">
        <v>132</v>
      </c>
      <c r="E266" s="191"/>
      <c r="F266" s="228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6" t="s">
        <v>132</v>
      </c>
      <c r="C267" s="195" t="s">
        <v>132</v>
      </c>
      <c r="D267" s="194" t="s">
        <v>132</v>
      </c>
      <c r="E267" s="191"/>
      <c r="F267" s="228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6" t="s">
        <v>132</v>
      </c>
      <c r="C268" s="195" t="s">
        <v>132</v>
      </c>
      <c r="D268" s="194" t="s">
        <v>132</v>
      </c>
      <c r="E268" s="191"/>
      <c r="F268" s="228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6" t="s">
        <v>132</v>
      </c>
      <c r="C269" s="195" t="s">
        <v>132</v>
      </c>
      <c r="D269" s="194" t="s">
        <v>132</v>
      </c>
      <c r="E269" s="191"/>
      <c r="F269" s="228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6" t="s">
        <v>132</v>
      </c>
      <c r="C270" s="195" t="s">
        <v>132</v>
      </c>
      <c r="D270" s="194" t="s">
        <v>132</v>
      </c>
      <c r="E270" s="191"/>
      <c r="F270" s="228"/>
      <c r="G270" s="202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78">
        <f>'Données projet'!A244</f>
        <v>0</v>
      </c>
      <c r="B271" s="179">
        <f>'Données projet'!D244</f>
        <v>0</v>
      </c>
      <c r="C271" s="191">
        <f>60*'Données projet'!E244+13.8*('Données projet'!F244+'Données projet'!G244)+10*'Données projet'!H244</f>
        <v>0</v>
      </c>
      <c r="D271" s="177">
        <f>B271*C271</f>
        <v>0</v>
      </c>
      <c r="E271" s="191"/>
      <c r="F271" s="229"/>
      <c r="G271" s="202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78">
        <f>'Données projet'!A245</f>
        <v>0</v>
      </c>
      <c r="B272" s="179">
        <f>'Données projet'!D245</f>
        <v>0</v>
      </c>
      <c r="C272" s="191">
        <f>60*'Données projet'!E245+13.8*('Données projet'!F245+'Données projet'!G245)+10*'Données projet'!H245</f>
        <v>0</v>
      </c>
      <c r="D272" s="177">
        <f t="shared" ref="D272:D290" si="14">B272*C272</f>
        <v>0</v>
      </c>
      <c r="E272" s="191"/>
      <c r="F272" s="229"/>
      <c r="G272" s="202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78">
        <f>'Données projet'!A246</f>
        <v>0</v>
      </c>
      <c r="B273" s="179">
        <f>'Données projet'!D246</f>
        <v>0</v>
      </c>
      <c r="C273" s="191">
        <f>60*'Données projet'!E246+13.8*('Données projet'!F246+'Données projet'!G246)+10*'Données projet'!H246</f>
        <v>0</v>
      </c>
      <c r="D273" s="177">
        <f t="shared" si="14"/>
        <v>0</v>
      </c>
      <c r="E273" s="191"/>
      <c r="F273" s="229"/>
      <c r="G273" s="202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78">
        <f>'Données projet'!A247</f>
        <v>0</v>
      </c>
      <c r="B274" s="179">
        <f>'Données projet'!D247</f>
        <v>0</v>
      </c>
      <c r="C274" s="191">
        <f>60*'Données projet'!E247+13.8*('Données projet'!F247+'Données projet'!G247)+10*'Données projet'!H247</f>
        <v>0</v>
      </c>
      <c r="D274" s="177">
        <f t="shared" si="14"/>
        <v>0</v>
      </c>
      <c r="E274" s="191"/>
      <c r="F274" s="229"/>
      <c r="G274" s="202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78">
        <f>'Données projet'!A248</f>
        <v>0</v>
      </c>
      <c r="B275" s="179">
        <f>'Données projet'!D248</f>
        <v>0</v>
      </c>
      <c r="C275" s="191">
        <f>60*'Données projet'!E248+13.8*('Données projet'!F248+'Données projet'!G248)+10*'Données projet'!H248</f>
        <v>0</v>
      </c>
      <c r="D275" s="177">
        <f t="shared" si="14"/>
        <v>0</v>
      </c>
      <c r="E275" s="191"/>
      <c r="F275" s="229"/>
      <c r="G275" s="202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78">
        <f>'Données projet'!A249</f>
        <v>0</v>
      </c>
      <c r="B276" s="179">
        <f>'Données projet'!D249</f>
        <v>0</v>
      </c>
      <c r="C276" s="191">
        <f>60*'Données projet'!E249+13.8*('Données projet'!F249+'Données projet'!G249)+10*'Données projet'!H249</f>
        <v>0</v>
      </c>
      <c r="D276" s="177">
        <f t="shared" si="14"/>
        <v>0</v>
      </c>
      <c r="E276" s="191"/>
      <c r="F276" s="229"/>
      <c r="G276" s="202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78">
        <f>'Données projet'!A250</f>
        <v>0</v>
      </c>
      <c r="B277" s="179">
        <f>'Données projet'!D250</f>
        <v>0</v>
      </c>
      <c r="C277" s="191">
        <f>60*'Données projet'!E250+13.8*('Données projet'!F250+'Données projet'!G250)+10*'Données projet'!H250</f>
        <v>0</v>
      </c>
      <c r="D277" s="177">
        <f t="shared" si="14"/>
        <v>0</v>
      </c>
      <c r="E277" s="191"/>
      <c r="F277" s="229"/>
      <c r="G277" s="203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78">
        <f>'Données projet'!A251</f>
        <v>0</v>
      </c>
      <c r="B278" s="179">
        <f>'Données projet'!D251</f>
        <v>0</v>
      </c>
      <c r="C278" s="191">
        <f>60*'Données projet'!E251+13.8*('Données projet'!F251+'Données projet'!G251)+10*'Données projet'!H251</f>
        <v>0</v>
      </c>
      <c r="D278" s="177">
        <f t="shared" si="14"/>
        <v>0</v>
      </c>
      <c r="E278" s="191"/>
      <c r="F278" s="229"/>
      <c r="G278" s="203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78">
        <f>'Données projet'!A252</f>
        <v>0</v>
      </c>
      <c r="B279" s="179">
        <f>'Données projet'!D252</f>
        <v>0</v>
      </c>
      <c r="C279" s="191">
        <f>60*'Données projet'!E252+13.8*('Données projet'!F252+'Données projet'!G252)+10*'Données projet'!H252</f>
        <v>0</v>
      </c>
      <c r="D279" s="177">
        <f t="shared" si="14"/>
        <v>0</v>
      </c>
      <c r="E279" s="191"/>
      <c r="F279" s="229"/>
      <c r="G279" s="203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78">
        <f>'Données projet'!A253</f>
        <v>0</v>
      </c>
      <c r="B280" s="179">
        <f>'Données projet'!D253</f>
        <v>0</v>
      </c>
      <c r="C280" s="191">
        <f>60*'Données projet'!E253+13.8*('Données projet'!F253+'Données projet'!G253)+10*'Données projet'!H253</f>
        <v>0</v>
      </c>
      <c r="D280" s="177">
        <f t="shared" si="14"/>
        <v>0</v>
      </c>
      <c r="E280" s="191"/>
      <c r="F280" s="229"/>
      <c r="G280" s="203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78">
        <f>'Données projet'!A254</f>
        <v>0</v>
      </c>
      <c r="B281" s="179">
        <f>'Données projet'!D254</f>
        <v>0</v>
      </c>
      <c r="C281" s="191">
        <f>60*'Données projet'!E254+13.8*('Données projet'!F254+'Données projet'!G254)+10*'Données projet'!H254</f>
        <v>0</v>
      </c>
      <c r="D281" s="177">
        <f t="shared" si="14"/>
        <v>0</v>
      </c>
      <c r="E281" s="191"/>
      <c r="F281" s="229"/>
      <c r="G281" s="203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78">
        <f>'Données projet'!A255</f>
        <v>0</v>
      </c>
      <c r="B282" s="179">
        <f>'Données projet'!D255</f>
        <v>0</v>
      </c>
      <c r="C282" s="191">
        <f>60*'Données projet'!E255+13.8*('Données projet'!F255+'Données projet'!G255)+10*'Données projet'!H255</f>
        <v>0</v>
      </c>
      <c r="D282" s="177">
        <f t="shared" si="14"/>
        <v>0</v>
      </c>
      <c r="E282" s="191"/>
      <c r="F282" s="229"/>
      <c r="G282" s="203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78">
        <f>'Données projet'!A256</f>
        <v>0</v>
      </c>
      <c r="B283" s="179">
        <f>'Données projet'!D256</f>
        <v>0</v>
      </c>
      <c r="C283" s="191">
        <f>60*'Données projet'!E256+13.8*('Données projet'!F256+'Données projet'!G256)+10*'Données projet'!H256</f>
        <v>0</v>
      </c>
      <c r="D283" s="177">
        <f t="shared" si="14"/>
        <v>0</v>
      </c>
      <c r="E283" s="191"/>
      <c r="F283" s="229"/>
      <c r="G283" s="203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78">
        <f>'Données projet'!A257</f>
        <v>0</v>
      </c>
      <c r="B284" s="179">
        <f>'Données projet'!D257</f>
        <v>0</v>
      </c>
      <c r="C284" s="191">
        <f>60*'Données projet'!E257+13.8*('Données projet'!F257+'Données projet'!G257)+10*'Données projet'!H257</f>
        <v>0</v>
      </c>
      <c r="D284" s="177">
        <f t="shared" si="14"/>
        <v>0</v>
      </c>
      <c r="E284" s="191"/>
      <c r="F284" s="229"/>
      <c r="G284" s="203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78">
        <f>'Données projet'!A258</f>
        <v>0</v>
      </c>
      <c r="B285" s="179">
        <f>'Données projet'!D258</f>
        <v>0</v>
      </c>
      <c r="C285" s="191">
        <f>60*'Données projet'!E258+13.8*('Données projet'!F258+'Données projet'!G258)+10*'Données projet'!H258</f>
        <v>0</v>
      </c>
      <c r="D285" s="177">
        <f t="shared" si="14"/>
        <v>0</v>
      </c>
      <c r="E285" s="191"/>
      <c r="F285" s="229"/>
      <c r="G285" s="203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78">
        <f>'Données projet'!A259</f>
        <v>0</v>
      </c>
      <c r="B286" s="179">
        <f>'Données projet'!D259</f>
        <v>0</v>
      </c>
      <c r="C286" s="191">
        <f>60*'Données projet'!E259+13.8*('Données projet'!F259+'Données projet'!G259)+10*'Données projet'!H259</f>
        <v>0</v>
      </c>
      <c r="D286" s="177">
        <f t="shared" si="14"/>
        <v>0</v>
      </c>
      <c r="E286" s="191"/>
      <c r="F286" s="229"/>
      <c r="G286" s="203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78">
        <f>'Données projet'!A260</f>
        <v>0</v>
      </c>
      <c r="B287" s="179">
        <f>'Données projet'!D260</f>
        <v>0</v>
      </c>
      <c r="C287" s="191">
        <f>60*'Données projet'!E260+13.8*('Données projet'!F260+'Données projet'!G260)+10*'Données projet'!H260</f>
        <v>0</v>
      </c>
      <c r="D287" s="177">
        <f t="shared" si="14"/>
        <v>0</v>
      </c>
      <c r="E287" s="191"/>
      <c r="F287" s="229"/>
      <c r="G287" s="203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78">
        <f>'Données projet'!A261</f>
        <v>0</v>
      </c>
      <c r="B288" s="179">
        <f>'Données projet'!D261</f>
        <v>0</v>
      </c>
      <c r="C288" s="191">
        <f>60*'Données projet'!E261+13.8*('Données projet'!F261+'Données projet'!G261)+10*'Données projet'!H261</f>
        <v>0</v>
      </c>
      <c r="D288" s="177">
        <f t="shared" si="14"/>
        <v>0</v>
      </c>
      <c r="E288" s="191"/>
      <c r="F288" s="229"/>
      <c r="G288" s="203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78">
        <f>'Données projet'!A262</f>
        <v>0</v>
      </c>
      <c r="B289" s="179">
        <f>'Données projet'!D262</f>
        <v>0</v>
      </c>
      <c r="C289" s="191">
        <f>60*'Données projet'!E262+13.8*('Données projet'!F262+'Données projet'!G262)+10*'Données projet'!H262</f>
        <v>0</v>
      </c>
      <c r="D289" s="177">
        <f t="shared" si="14"/>
        <v>0</v>
      </c>
      <c r="E289" s="191"/>
      <c r="F289" s="229"/>
      <c r="G289" s="203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78">
        <f>'Données projet'!A263</f>
        <v>0</v>
      </c>
      <c r="B290" s="179">
        <f>'Données projet'!D263</f>
        <v>0</v>
      </c>
      <c r="C290" s="191">
        <f>60*'Données projet'!E263+13.8*('Données projet'!F263+'Données projet'!G263)+10*'Données projet'!H263</f>
        <v>0</v>
      </c>
      <c r="D290" s="177">
        <f t="shared" si="14"/>
        <v>0</v>
      </c>
      <c r="E290" s="191"/>
      <c r="F290" s="229"/>
      <c r="G290" s="203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7"/>
      <c r="G291" s="203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7"/>
      <c r="G292" s="203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7"/>
      <c r="G293" s="203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7"/>
      <c r="G294" s="203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8"/>
      <c r="G295" s="203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6" t="s">
        <v>132</v>
      </c>
      <c r="C296" s="195" t="s">
        <v>132</v>
      </c>
      <c r="D296" s="194" t="s">
        <v>132</v>
      </c>
      <c r="E296" s="191"/>
      <c r="F296" s="228"/>
      <c r="G296" s="203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6" t="s">
        <v>132</v>
      </c>
      <c r="C297" s="195" t="s">
        <v>132</v>
      </c>
      <c r="D297" s="194" t="s">
        <v>132</v>
      </c>
      <c r="E297" s="191"/>
      <c r="F297" s="228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6" t="s">
        <v>132</v>
      </c>
      <c r="C298" s="195" t="s">
        <v>132</v>
      </c>
      <c r="D298" s="194" t="s">
        <v>132</v>
      </c>
      <c r="E298" s="191"/>
      <c r="F298" s="228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6" t="s">
        <v>132</v>
      </c>
      <c r="C299" s="195" t="s">
        <v>132</v>
      </c>
      <c r="D299" s="194" t="s">
        <v>132</v>
      </c>
      <c r="E299" s="191"/>
      <c r="F299" s="228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6" t="s">
        <v>132</v>
      </c>
      <c r="C300" s="195" t="s">
        <v>132</v>
      </c>
      <c r="D300" s="194" t="s">
        <v>132</v>
      </c>
      <c r="E300" s="191"/>
      <c r="F300" s="228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6" t="s">
        <v>132</v>
      </c>
      <c r="C301" s="195" t="s">
        <v>132</v>
      </c>
      <c r="D301" s="194" t="s">
        <v>132</v>
      </c>
      <c r="E301" s="191"/>
      <c r="F301" s="228"/>
      <c r="G301" s="202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78">
        <f>'Données projet'!A270</f>
        <v>0</v>
      </c>
      <c r="B302" s="179">
        <f>'Données projet'!D270</f>
        <v>0</v>
      </c>
      <c r="C302" s="189">
        <f>80*'Données projet'!E270+13.8*('Données projet'!F270+'Données projet'!G270)+10*'Données projet'!H270</f>
        <v>0</v>
      </c>
      <c r="D302" s="180">
        <f>B302*C302</f>
        <v>0</v>
      </c>
      <c r="E302" s="191"/>
      <c r="F302" s="230"/>
      <c r="G302" s="202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78">
        <f>'Données projet'!A271</f>
        <v>0</v>
      </c>
      <c r="B303" s="179">
        <f>'Données projet'!D271</f>
        <v>0</v>
      </c>
      <c r="C303" s="189">
        <f>80*'Données projet'!E271+13.8*('Données projet'!F271+'Données projet'!G271)+10*'Données projet'!H271</f>
        <v>0</v>
      </c>
      <c r="D303" s="180">
        <f t="shared" ref="D303:D321" si="15">B303*C303</f>
        <v>0</v>
      </c>
      <c r="E303" s="191"/>
      <c r="F303" s="230"/>
      <c r="G303" s="202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78">
        <f>'Données projet'!A272</f>
        <v>0</v>
      </c>
      <c r="B304" s="179">
        <f>'Données projet'!D272</f>
        <v>0</v>
      </c>
      <c r="C304" s="189">
        <f>80*'Données projet'!E272+13.8*('Données projet'!F272+'Données projet'!G272)+10*'Données projet'!H272</f>
        <v>0</v>
      </c>
      <c r="D304" s="180">
        <f t="shared" si="15"/>
        <v>0</v>
      </c>
      <c r="E304" s="191"/>
      <c r="F304" s="230"/>
      <c r="G304" s="202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78">
        <f>'Données projet'!A273</f>
        <v>0</v>
      </c>
      <c r="B305" s="179">
        <f>'Données projet'!D273</f>
        <v>0</v>
      </c>
      <c r="C305" s="189">
        <f>80*'Données projet'!E273+13.8*('Données projet'!F273+'Données projet'!G273)+10*'Données projet'!H273</f>
        <v>0</v>
      </c>
      <c r="D305" s="180">
        <f t="shared" si="15"/>
        <v>0</v>
      </c>
      <c r="E305" s="191"/>
      <c r="F305" s="230"/>
      <c r="G305" s="202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78">
        <f>'Données projet'!A274</f>
        <v>0</v>
      </c>
      <c r="B306" s="179">
        <f>'Données projet'!D274</f>
        <v>0</v>
      </c>
      <c r="C306" s="189">
        <f>80*'Données projet'!E274+13.8*('Données projet'!F274+'Données projet'!G274)+10*'Données projet'!H274</f>
        <v>0</v>
      </c>
      <c r="D306" s="180">
        <f t="shared" si="15"/>
        <v>0</v>
      </c>
      <c r="E306" s="191"/>
      <c r="F306" s="230"/>
      <c r="G306" s="202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78">
        <f>'Données projet'!A275</f>
        <v>0</v>
      </c>
      <c r="B307" s="179">
        <f>'Données projet'!D275</f>
        <v>0</v>
      </c>
      <c r="C307" s="189">
        <f>80*'Données projet'!E275+13.8*('Données projet'!F275+'Données projet'!G275)+10*'Données projet'!H275</f>
        <v>0</v>
      </c>
      <c r="D307" s="180">
        <f t="shared" si="15"/>
        <v>0</v>
      </c>
      <c r="E307" s="191"/>
      <c r="F307" s="230"/>
      <c r="G307" s="202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78">
        <f>'Données projet'!A276</f>
        <v>0</v>
      </c>
      <c r="B308" s="179">
        <f>'Données projet'!D276</f>
        <v>0</v>
      </c>
      <c r="C308" s="189">
        <f>80*'Données projet'!E276+13.8*('Données projet'!F276+'Données projet'!G276)+10*'Données projet'!H276</f>
        <v>0</v>
      </c>
      <c r="D308" s="180">
        <f t="shared" si="15"/>
        <v>0</v>
      </c>
      <c r="E308" s="191"/>
      <c r="F308" s="230"/>
      <c r="G308" s="200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78">
        <f>'Données projet'!A277</f>
        <v>0</v>
      </c>
      <c r="B309" s="179">
        <f>'Données projet'!D277</f>
        <v>0</v>
      </c>
      <c r="C309" s="189">
        <f>80*'Données projet'!E277+13.8*('Données projet'!F277+'Données projet'!G277)+10*'Données projet'!H277</f>
        <v>0</v>
      </c>
      <c r="D309" s="180">
        <f t="shared" si="15"/>
        <v>0</v>
      </c>
      <c r="E309" s="191"/>
      <c r="F309" s="230"/>
      <c r="G309" s="200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78">
        <f>'Données projet'!A278</f>
        <v>0</v>
      </c>
      <c r="B310" s="179">
        <f>'Données projet'!D278</f>
        <v>0</v>
      </c>
      <c r="C310" s="189">
        <f>80*'Données projet'!E278+13.8*('Données projet'!F278+'Données projet'!G278)+10*'Données projet'!H278</f>
        <v>0</v>
      </c>
      <c r="D310" s="180">
        <f t="shared" si="15"/>
        <v>0</v>
      </c>
      <c r="E310" s="191"/>
      <c r="F310" s="230"/>
      <c r="G310" s="200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78">
        <f>'Données projet'!A279</f>
        <v>0</v>
      </c>
      <c r="B311" s="179">
        <f>'Données projet'!D279</f>
        <v>0</v>
      </c>
      <c r="C311" s="189">
        <f>80*'Données projet'!E279+13.8*('Données projet'!F279+'Données projet'!G279)+10*'Données projet'!H279</f>
        <v>0</v>
      </c>
      <c r="D311" s="180">
        <f t="shared" si="15"/>
        <v>0</v>
      </c>
      <c r="E311" s="191"/>
      <c r="F311" s="230"/>
      <c r="G311" s="200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78">
        <f>'Données projet'!A280</f>
        <v>0</v>
      </c>
      <c r="B312" s="179">
        <f>'Données projet'!D280</f>
        <v>0</v>
      </c>
      <c r="C312" s="189">
        <f>80*'Données projet'!E280+13.8*('Données projet'!F280+'Données projet'!G280)+10*'Données projet'!H280</f>
        <v>0</v>
      </c>
      <c r="D312" s="180">
        <f t="shared" si="15"/>
        <v>0</v>
      </c>
      <c r="E312" s="191"/>
      <c r="F312" s="230"/>
      <c r="G312" s="200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78">
        <f>'Données projet'!A281</f>
        <v>0</v>
      </c>
      <c r="B313" s="179">
        <f>'Données projet'!D281</f>
        <v>0</v>
      </c>
      <c r="C313" s="189">
        <f>80*'Données projet'!E281+13.8*('Données projet'!F281+'Données projet'!G281)+10*'Données projet'!H281</f>
        <v>0</v>
      </c>
      <c r="D313" s="180">
        <f t="shared" si="15"/>
        <v>0</v>
      </c>
      <c r="E313" s="191"/>
      <c r="F313" s="230"/>
      <c r="G313" s="200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78">
        <f>'Données projet'!A282</f>
        <v>0</v>
      </c>
      <c r="B314" s="179">
        <f>'Données projet'!D282</f>
        <v>0</v>
      </c>
      <c r="C314" s="189">
        <f>80*'Données projet'!E282+13.8*('Données projet'!F282+'Données projet'!G282)+10*'Données projet'!H282</f>
        <v>0</v>
      </c>
      <c r="D314" s="180">
        <f t="shared" si="15"/>
        <v>0</v>
      </c>
      <c r="E314" s="191"/>
      <c r="F314" s="230"/>
      <c r="G314" s="200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78">
        <f>'Données projet'!A283</f>
        <v>0</v>
      </c>
      <c r="B315" s="179">
        <f>'Données projet'!D283</f>
        <v>0</v>
      </c>
      <c r="C315" s="189">
        <f>80*'Données projet'!E283+13.8*('Données projet'!F283+'Données projet'!G283)+10*'Données projet'!H283</f>
        <v>0</v>
      </c>
      <c r="D315" s="180">
        <f t="shared" si="15"/>
        <v>0</v>
      </c>
      <c r="E315" s="191"/>
      <c r="F315" s="230"/>
      <c r="G315" s="200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78">
        <f>'Données projet'!A284</f>
        <v>0</v>
      </c>
      <c r="B316" s="179">
        <f>'Données projet'!D284</f>
        <v>0</v>
      </c>
      <c r="C316" s="189">
        <f>80*'Données projet'!E284+13.8*('Données projet'!F284+'Données projet'!G284)+10*'Données projet'!H284</f>
        <v>0</v>
      </c>
      <c r="D316" s="180">
        <f t="shared" si="15"/>
        <v>0</v>
      </c>
      <c r="E316" s="191"/>
      <c r="F316" s="230"/>
      <c r="G316" s="200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78">
        <f>'Données projet'!A285</f>
        <v>0</v>
      </c>
      <c r="B317" s="179">
        <f>'Données projet'!D285</f>
        <v>0</v>
      </c>
      <c r="C317" s="189">
        <f>80*'Données projet'!E285+13.8*('Données projet'!F285+'Données projet'!G285)+10*'Données projet'!H285</f>
        <v>0</v>
      </c>
      <c r="D317" s="180">
        <f>B317*C317</f>
        <v>0</v>
      </c>
      <c r="E317" s="191"/>
      <c r="F317" s="230"/>
      <c r="G317" s="200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78">
        <f>'Données projet'!A286</f>
        <v>0</v>
      </c>
      <c r="B318" s="179">
        <f>'Données projet'!D286</f>
        <v>0</v>
      </c>
      <c r="C318" s="189">
        <f>80*'Données projet'!E286+13.8*('Données projet'!F286+'Données projet'!G286)+10*'Données projet'!H286</f>
        <v>0</v>
      </c>
      <c r="D318" s="180">
        <f t="shared" si="15"/>
        <v>0</v>
      </c>
      <c r="E318" s="191"/>
      <c r="F318" s="230"/>
      <c r="G318" s="200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78">
        <f>'Données projet'!A287</f>
        <v>0</v>
      </c>
      <c r="B319" s="179">
        <f>'Données projet'!D287</f>
        <v>0</v>
      </c>
      <c r="C319" s="189">
        <f>80*'Données projet'!E287+13.8*('Données projet'!F287+'Données projet'!G287)+10*'Données projet'!H287</f>
        <v>0</v>
      </c>
      <c r="D319" s="180">
        <f t="shared" si="15"/>
        <v>0</v>
      </c>
      <c r="E319" s="191"/>
      <c r="F319" s="230"/>
      <c r="G319" s="200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78">
        <f>'Données projet'!A288</f>
        <v>0</v>
      </c>
      <c r="B320" s="179">
        <f>'Données projet'!D288</f>
        <v>0</v>
      </c>
      <c r="C320" s="189">
        <f>80*'Données projet'!E288+13.8*('Données projet'!F288+'Données projet'!G288)+10*'Données projet'!H288</f>
        <v>0</v>
      </c>
      <c r="D320" s="180">
        <f t="shared" si="15"/>
        <v>0</v>
      </c>
      <c r="E320" s="191"/>
      <c r="F320" s="230"/>
      <c r="G320" s="200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78">
        <f>'Données projet'!A289</f>
        <v>0</v>
      </c>
      <c r="B321" s="179">
        <f>'Données projet'!D289</f>
        <v>0</v>
      </c>
      <c r="C321" s="189">
        <f>80*'Données projet'!E289+13.8*('Données projet'!F289+'Données projet'!G289)+10*'Données projet'!H289</f>
        <v>0</v>
      </c>
      <c r="D321" s="180">
        <f t="shared" si="15"/>
        <v>0</v>
      </c>
      <c r="E321" s="191"/>
      <c r="F321" s="230"/>
      <c r="G321" s="200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0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0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0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0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0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0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2023-12-05T14:01:36Z</dcterms:modified>
</cp:coreProperties>
</file>