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Dossier Augustin/GRAND OUEST (PB)/2ROUS-122/"/>
    </mc:Choice>
  </mc:AlternateContent>
  <xr:revisionPtr revIDLastSave="245" documentId="11_832EBC973FF36A9F0A417D33E5FDCA6337D90D96" xr6:coauthVersionLast="47" xr6:coauthVersionMax="47" xr10:uidLastSave="{4761C6C4-82DF-4280-8390-AAB46B300FE3}"/>
  <bookViews>
    <workbookView xWindow="-120" yWindow="-16320" windowWidth="29040" windowHeight="15720" tabRatio="734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1" i="6" l="1"/>
  <c r="I20" i="6"/>
  <c r="I22" i="6"/>
  <c r="E19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A155" i="2"/>
  <c r="AC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D155" i="2" l="1"/>
  <c r="EB156" i="2"/>
  <c r="DH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C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EA161" i="2"/>
  <c r="E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C162" i="2"/>
  <c r="DI161" i="2"/>
  <c r="HG162" i="2"/>
  <c r="EB162" i="2"/>
  <c r="HH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DH164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C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EC168" i="2"/>
  <c r="HI168" i="2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B172" i="2"/>
  <c r="EA172" i="2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A178" i="2"/>
  <c r="EB178" i="2"/>
  <c r="HH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EA179" i="2"/>
  <c r="EV179" i="2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B185" i="2" l="1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HH186" i="2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V192" i="2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A195" i="2"/>
  <c r="EB195" i="2"/>
  <c r="AA195" i="2"/>
  <c r="DH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EB201" i="2"/>
  <c r="EA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68" i="2" a="1"/>
  <c r="BC68" i="2" s="1"/>
  <c r="BC47" i="2" a="1"/>
  <c r="BC47" i="2" s="1"/>
  <c r="BC114" i="2" a="1"/>
  <c r="BC114" i="2" s="1"/>
  <c r="BC65" i="2" a="1"/>
  <c r="BC65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64" i="2" a="1"/>
  <c r="BC164" i="2" s="1"/>
  <c r="BC32" i="2" a="1"/>
  <c r="BC32" i="2" s="1"/>
  <c r="BC84" i="2" a="1"/>
  <c r="BC84" i="2" s="1"/>
  <c r="BC143" i="2" a="1"/>
  <c r="BC143" i="2" s="1"/>
  <c r="BC185" i="2" a="1"/>
  <c r="BC185" i="2" s="1"/>
  <c r="BC7" i="2" a="1"/>
  <c r="BC7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DN187" i="2" a="1"/>
  <c r="DN187" i="2" s="1"/>
  <c r="HJ202" i="2"/>
  <c r="EY202" i="2"/>
  <c r="AX200" i="2"/>
  <c r="CS38" i="2" l="1" a="1"/>
  <c r="CS38" i="2" s="1"/>
  <c r="CS116" i="2" a="1"/>
  <c r="CS116" i="2" s="1"/>
  <c r="CS72" i="2" a="1"/>
  <c r="CS72" i="2" s="1"/>
  <c r="BX107" i="2" a="1"/>
  <c r="BX107" i="2" s="1"/>
  <c r="BC117" i="2" a="1"/>
  <c r="BC117" i="2" s="1"/>
  <c r="BC126" i="2" a="1"/>
  <c r="BC126" i="2" s="1"/>
  <c r="BC58" i="2" a="1"/>
  <c r="BC58" i="2" s="1"/>
  <c r="BC151" i="2" a="1"/>
  <c r="BC151" i="2" s="1"/>
  <c r="BC31" i="2" a="1"/>
  <c r="BC31" i="2" s="1"/>
  <c r="BC192" i="2" a="1"/>
  <c r="BC192" i="2" s="1"/>
  <c r="BC181" i="2" a="1"/>
  <c r="BC181" i="2" s="1"/>
  <c r="BC82" i="2" a="1"/>
  <c r="BC82" i="2" s="1"/>
  <c r="BC34" i="2" a="1"/>
  <c r="BC34" i="2" s="1"/>
  <c r="AH151" i="2" a="1"/>
  <c r="AH151" i="2" s="1"/>
  <c r="AH62" i="2" a="1"/>
  <c r="AH62" i="2" s="1"/>
  <c r="AH90" i="2" a="1"/>
  <c r="AH90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CY136" i="2" l="1"/>
  <c r="CY92" i="2"/>
  <c r="CY189" i="2"/>
  <c r="CY55" i="2"/>
  <c r="CY172" i="2"/>
  <c r="CY145" i="2"/>
  <c r="CY181" i="2"/>
  <c r="CY203" i="2"/>
  <c r="CY37" i="2"/>
  <c r="CY127" i="2"/>
  <c r="CY60" i="2"/>
  <c r="CY82" i="2"/>
  <c r="CY99" i="2"/>
  <c r="CY42" i="2"/>
  <c r="CY168" i="2"/>
  <c r="CY43" i="2"/>
  <c r="CY134" i="2"/>
  <c r="CY142" i="2"/>
  <c r="CY115" i="2"/>
  <c r="CY24" i="2"/>
  <c r="CY71" i="2"/>
  <c r="CY58" i="2"/>
  <c r="CY196" i="2"/>
  <c r="CY101" i="2"/>
  <c r="CY9" i="2"/>
  <c r="CY113" i="2"/>
  <c r="CY27" i="2"/>
  <c r="CY17" i="2"/>
  <c r="CY67" i="2"/>
  <c r="CY182" i="2"/>
  <c r="CY133" i="2"/>
  <c r="CY188" i="2"/>
  <c r="CY91" i="2"/>
  <c r="CY10" i="2"/>
  <c r="CY65" i="2"/>
  <c r="CY122" i="2"/>
  <c r="CY95" i="2"/>
  <c r="CY186" i="2"/>
  <c r="CY40" i="2"/>
  <c r="CY80" i="2"/>
  <c r="CY100" i="2"/>
  <c r="CY163" i="2"/>
  <c r="CY154" i="2"/>
  <c r="CY159" i="2"/>
  <c r="CY191" i="2"/>
  <c r="CY12" i="2"/>
  <c r="CY47" i="2"/>
  <c r="CY121" i="2"/>
  <c r="CY72" i="2"/>
  <c r="CY106" i="2"/>
  <c r="CY21" i="2"/>
  <c r="CY29" i="2"/>
  <c r="CY124" i="2"/>
  <c r="CY128" i="2"/>
  <c r="CY77" i="2"/>
  <c r="CY195" i="2"/>
  <c r="CY50" i="2"/>
  <c r="CY97" i="2"/>
  <c r="CY152" i="2"/>
  <c r="CY63" i="2"/>
  <c r="CY53" i="2"/>
  <c r="CY120" i="2"/>
  <c r="CY126" i="2"/>
  <c r="CY157" i="2"/>
  <c r="CY8" i="2"/>
  <c r="CY184" i="2"/>
  <c r="CY69" i="2"/>
  <c r="CY20" i="2"/>
  <c r="CY56" i="2"/>
  <c r="CY23" i="2"/>
  <c r="CY79" i="2"/>
  <c r="CY140" i="2"/>
  <c r="CY87" i="2"/>
  <c r="CY173" i="2"/>
  <c r="CY149" i="2"/>
  <c r="CY102" i="2"/>
  <c r="CY62" i="2"/>
  <c r="CY187" i="2"/>
  <c r="CY143" i="2"/>
  <c r="CY108" i="2"/>
  <c r="CY44" i="2"/>
  <c r="CY147" i="2"/>
  <c r="CY170" i="2"/>
  <c r="CY32" i="2"/>
  <c r="CY167" i="2"/>
  <c r="CY94" i="2"/>
  <c r="CY36" i="2"/>
  <c r="CY190" i="2"/>
  <c r="CY165" i="2"/>
  <c r="CY160" i="2"/>
  <c r="CY109" i="2"/>
  <c r="CY19" i="2"/>
  <c r="CY81" i="2"/>
  <c r="CY70" i="2"/>
  <c r="CY88" i="2"/>
  <c r="CY177" i="2"/>
  <c r="CY39" i="2"/>
  <c r="CY76" i="2"/>
  <c r="CY132" i="2"/>
  <c r="CY176" i="2"/>
  <c r="CY59" i="2"/>
  <c r="CY14" i="2"/>
  <c r="CY141" i="2"/>
  <c r="CY28" i="2"/>
  <c r="CY131" i="2"/>
  <c r="CY169" i="2"/>
  <c r="CY18" i="2"/>
  <c r="CY6" i="2"/>
  <c r="CY98" i="2"/>
  <c r="CY164" i="2"/>
  <c r="CY139" i="2"/>
  <c r="CY158" i="2"/>
  <c r="CY166" i="2"/>
  <c r="CY38" i="2"/>
  <c r="CY57" i="2"/>
  <c r="CY183" i="2"/>
  <c r="CY51" i="2"/>
  <c r="CY5" i="2"/>
  <c r="CY107" i="2"/>
  <c r="CY85" i="2"/>
  <c r="CY201" i="2"/>
  <c r="CY11" i="2"/>
  <c r="CY171" i="2"/>
  <c r="CY103" i="2"/>
  <c r="CY45" i="2"/>
  <c r="CY33" i="2"/>
  <c r="CY125" i="2"/>
  <c r="CY73" i="2"/>
  <c r="CY156" i="2"/>
  <c r="CY130" i="2"/>
  <c r="CY46" i="2"/>
  <c r="CY193" i="2"/>
  <c r="CY83" i="2"/>
  <c r="CY66" i="2"/>
  <c r="CY192" i="2"/>
  <c r="CY78" i="2"/>
  <c r="CY199" i="2"/>
  <c r="CY146" i="2"/>
  <c r="CY123" i="2"/>
  <c r="CY116" i="2"/>
  <c r="CY25" i="2"/>
  <c r="CY61" i="2"/>
  <c r="CY198" i="2"/>
  <c r="CY135" i="2"/>
  <c r="CY104" i="2"/>
  <c r="CY34" i="2"/>
  <c r="CY119" i="2"/>
  <c r="CY22" i="2"/>
  <c r="CY117" i="2"/>
  <c r="CY54" i="2"/>
  <c r="CY144" i="2"/>
  <c r="CY155" i="2"/>
  <c r="CY137" i="2"/>
  <c r="CY26" i="2"/>
  <c r="CY148" i="2"/>
  <c r="CY111" i="2"/>
  <c r="CY153" i="2"/>
  <c r="CY114" i="2"/>
  <c r="CY64" i="2"/>
  <c r="CY150" i="2"/>
  <c r="CY90" i="2"/>
  <c r="CY194" i="2"/>
  <c r="CY3" i="2"/>
  <c r="C10" i="4" s="1"/>
  <c r="E10" i="4" s="1"/>
  <c r="F10" i="4" s="1"/>
  <c r="G10" i="4" s="1"/>
  <c r="L10" i="4" s="1"/>
  <c r="CY52" i="2"/>
  <c r="CY49" i="2"/>
  <c r="CY86" i="2"/>
  <c r="CY178" i="2"/>
  <c r="CY202" i="2"/>
  <c r="CY35" i="2"/>
  <c r="CY129" i="2"/>
  <c r="CY118" i="2"/>
  <c r="CY110" i="2"/>
  <c r="CY48" i="2"/>
  <c r="CY7" i="2"/>
  <c r="CY15" i="2"/>
  <c r="CY93" i="2"/>
  <c r="CY68" i="2"/>
  <c r="CY200" i="2"/>
  <c r="CY16" i="2"/>
  <c r="CY31" i="2"/>
  <c r="CY74" i="2"/>
  <c r="CY75" i="2"/>
  <c r="CY89" i="2"/>
  <c r="CY197" i="2"/>
  <c r="CY138" i="2"/>
  <c r="CY174" i="2"/>
  <c r="CY185" i="2"/>
  <c r="CY96" i="2"/>
  <c r="CY105" i="2"/>
  <c r="CY84" i="2"/>
  <c r="CY151" i="2"/>
  <c r="CY41" i="2"/>
  <c r="CY180" i="2"/>
  <c r="CY175" i="2"/>
  <c r="CY13" i="2"/>
  <c r="CY30" i="2"/>
  <c r="CY161" i="2"/>
  <c r="CY112" i="2"/>
  <c r="CY162" i="2"/>
  <c r="CY179" i="2"/>
  <c r="CY4" i="2"/>
  <c r="FE197" i="2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<sst xmlns="http://schemas.openxmlformats.org/spreadsheetml/2006/main" count="1174" uniqueCount="328">
  <si>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</si>
  <si>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</si>
  <si>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</si>
  <si>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</si>
  <si>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</si>
  <si>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</si>
  <si>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</si>
  <si>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</si>
  <si>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</si>
  <si>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</si>
  <si>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</si>
  <si>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</si>
  <si>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</si>
  <si>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</si>
  <si>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</si>
  <si>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</si>
  <si>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</si>
  <si>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</si>
  <si>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</si>
  <si>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</si>
  <si>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</si>
  <si>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</si>
  <si>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</si>
  <si>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</si>
  <si>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</si>
  <si>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</si>
  <si>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</si>
  <si>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</si>
  <si>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</si>
  <si>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</si>
  <si>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</si>
  <si>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</si>
  <si>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</si>
  <si>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</si>
  <si>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</si>
  <si>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</si>
  <si>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</si>
  <si>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</si>
  <si>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</si>
  <si>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</si>
  <si>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</si>
  <si>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</si>
  <si>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</si>
  <si>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</si>
  <si>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</si>
  <si>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</si>
  <si>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</si>
  <si>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</si>
  <si>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</si>
  <si>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</si>
  <si>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</si>
  <si>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</si>
  <si>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</si>
  <si>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</si>
  <si>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</si>
  <si>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</si>
  <si>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</si>
  <si>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</si>
  <si>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</si>
  <si>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</si>
  <si>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</si>
  <si>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</si>
  <si>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</si>
  <si>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</si>
  <si>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</si>
  <si>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</si>
  <si>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</si>
  <si>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</si>
  <si>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</si>
  <si>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</si>
  <si>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</si>
  <si>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</si>
  <si>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</si>
  <si>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</si>
  <si>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</si>
  <si>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</si>
  <si>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</si>
  <si>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</si>
  <si>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</si>
  <si>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</si>
  <si>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</si>
  <si>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</si>
  <si>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</si>
  <si>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</si>
  <si>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</si>
  <si>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</si>
  <si>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</si>
  <si>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</si>
  <si>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</si>
  <si>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</si>
  <si>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</si>
  <si>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</si>
  <si>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</si>
  <si>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</si>
  <si>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</si>
  <si>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</si>
  <si>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</si>
  <si>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</si>
  <si>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</si>
  <si>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</si>
  <si>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</si>
  <si>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</si>
  <si>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</si>
  <si>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</si>
  <si>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</si>
  <si>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</si>
  <si>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</si>
  <si>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</si>
  <si>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</si>
  <si>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</si>
  <si>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</si>
  <si>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</si>
  <si>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</si>
  <si>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</si>
  <si>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</si>
  <si>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</si>
  <si>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</si>
  <si>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</si>
  <si>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</si>
  <si>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</si>
  <si>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</si>
  <si>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</si>
  <si>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</si>
  <si>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</si>
  <si>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</si>
  <si>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</si>
  <si>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</si>
  <si>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</si>
  <si>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</si>
  <si>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</si>
  <si>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</si>
  <si>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</si>
  <si>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</si>
  <si>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</si>
  <si>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</si>
  <si>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</si>
  <si>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</si>
  <si>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</si>
  <si>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</si>
  <si>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</si>
  <si>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</si>
  <si>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</si>
  <si>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</si>
  <si>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</si>
  <si>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</si>
  <si>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</si>
  <si>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</si>
  <si>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</si>
  <si>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</si>
  <si>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</si>
  <si>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</si>
  <si>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</si>
  <si>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</si>
  <si>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</si>
  <si>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</si>
  <si>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</si>
  <si>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</si>
  <si>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</si>
  <si>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</si>
  <si>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</si>
  <si>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</si>
  <si>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</si>
  <si>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</si>
  <si>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</si>
  <si>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</si>
  <si>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</si>
  <si>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</si>
  <si>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</si>
  <si>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</si>
  <si>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</si>
  <si>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</si>
  <si>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</si>
  <si>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</si>
  <si>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</si>
  <si>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</si>
  <si>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</si>
  <si>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</si>
  <si>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</si>
  <si>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</si>
  <si>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</si>
  <si>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</si>
  <si>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</si>
  <si>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</si>
  <si>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</si>
  <si>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</si>
  <si>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</si>
  <si>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</si>
  <si>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</si>
  <si>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</si>
  <si>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</si>
  <si>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</si>
  <si>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</si>
  <si>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</si>
  <si>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</si>
  <si>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</si>
  <si>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</si>
  <si>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</si>
  <si>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</si>
  <si>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</si>
  <si>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</si>
  <si>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</si>
  <si>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</si>
  <si>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</si>
  <si>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</si>
  <si>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</si>
  <si>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</si>
  <si>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</si>
  <si>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</si>
  <si>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</si>
  <si>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</si>
  <si>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</si>
  <si>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</si>
  <si>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</si>
  <si>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</si>
  <si>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</si>
  <si>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</si>
  <si>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</si>
  <si>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</si>
  <si>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</si>
  <si>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</si>
  <si>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</si>
  <si>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</si>
  <si>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</si>
  <si>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</si>
  <si>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</si>
  <si>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</si>
  <si>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</si>
  <si>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</si>
  <si>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</si>
  <si>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</si>
  <si>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</si>
  <si>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</si>
  <si>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</si>
  <si>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</si>
  <si>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</si>
  <si>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</si>
  <si>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</si>
  <si>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</si>
  <si>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</si>
  <si>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</si>
  <si>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</si>
  <si>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</si>
  <si>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</si>
  <si>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</si>
  <si>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</si>
  <si>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</si>
  <si>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</si>
  <si>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</si>
  <si>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</si>
  <si>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</si>
  <si>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</si>
  <si>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</si>
  <si>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</si>
  <si>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</si>
  <si>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</si>
  <si>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</si>
  <si>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</si>
  <si>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</si>
  <si>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</si>
  <si>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</si>
  <si>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</si>
  <si>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</si>
  <si>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</si>
  <si>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</si>
  <si>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</si>
  <si>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</si>
  <si>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</si>
  <si>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</si>
  <si>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</si>
  <si>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</si>
  <si>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</si>
  <si>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</si>
  <si>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</si>
  <si>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</si>
  <si>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</si>
  <si>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</si>
  <si>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</si>
  <si>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</si>
  <si>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</si>
  <si>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</si>
  <si>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</si>
  <si>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</si>
  <si>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</si>
  <si>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</si>
  <si>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</si>
  <si>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</si>
  <si>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</si>
  <si>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</si>
  <si>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</si>
  <si>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</si>
  <si>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</si>
  <si>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</si>
  <si>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</si>
  <si>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</si>
  <si>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</si>
  <si>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</si>
  <si>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</si>
  <si>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</si>
  <si>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</si>
  <si>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</si>
  <si>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</si>
  <si>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</si>
  <si>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</si>
  <si>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</si>
  <si>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</si>
  <si>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</si>
  <si>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</si>
  <si>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</si>
  <si>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</si>
  <si>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</si>
  <si>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</si>
  <si>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</si>
  <si>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</si>
  <si>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</si>
  <si>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</si>
  <si>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</si>
  <si>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</si>
  <si>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</si>
  <si>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</si>
  <si>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</si>
  <si>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</si>
  <si>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</si>
  <si>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</si>
  <si>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</si>
  <si>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</si>
  <si>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Ajout coût maitrise d'œuvre + dispense étude d'impact en année 1  + Diagnostic gestionnaire interne (bleu)</t>
  </si>
  <si>
    <t>Ajout coût rédaction DGD (document de gestion durable (PSG ou CBPS)) en année 2</t>
  </si>
  <si>
    <t>15% de regarni à l'année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</si>
</sst>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Normal 2 2" xfId="3" xr:uid="{CA91D603-CBBB-4742-9D9C-7C7BA9EEEC47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9.1692870601157086</c:v>
                </c:pt>
                <c:pt idx="2">
                  <c:v>17.936201663846216</c:v>
                </c:pt>
                <c:pt idx="3">
                  <c:v>26.573170161998117</c:v>
                </c:pt>
                <c:pt idx="4">
                  <c:v>35.130036857159006</c:v>
                </c:pt>
                <c:pt idx="5">
                  <c:v>43.629392821265903</c:v>
                </c:pt>
                <c:pt idx="6">
                  <c:v>52.084124944955228</c:v>
                </c:pt>
                <c:pt idx="7">
                  <c:v>60.502540908341409</c:v>
                </c:pt>
                <c:pt idx="8">
                  <c:v>68.890427338611204</c:v>
                </c:pt>
                <c:pt idx="9">
                  <c:v>77.252037480358638</c:v>
                </c:pt>
                <c:pt idx="10">
                  <c:v>85.590623964457123</c:v>
                </c:pt>
                <c:pt idx="11">
                  <c:v>93.908751251394463</c:v>
                </c:pt>
                <c:pt idx="12">
                  <c:v>102.20849079265732</c:v>
                </c:pt>
                <c:pt idx="13">
                  <c:v>110.49154911066734</c:v>
                </c:pt>
                <c:pt idx="14">
                  <c:v>118.75935527186527</c:v>
                </c:pt>
                <c:pt idx="15">
                  <c:v>127.01312262210831</c:v>
                </c:pt>
                <c:pt idx="16">
                  <c:v>135.25389357519569</c:v>
                </c:pt>
                <c:pt idx="17">
                  <c:v>143.48257287852456</c:v>
                </c:pt>
                <c:pt idx="18">
                  <c:v>151.69995282569948</c:v>
                </c:pt>
                <c:pt idx="19">
                  <c:v>159.90673270571247</c:v>
                </c:pt>
                <c:pt idx="20">
                  <c:v>168.10353404075036</c:v>
                </c:pt>
                <c:pt idx="21">
                  <c:v>176.29091268983385</c:v>
                </c:pt>
                <c:pt idx="22">
                  <c:v>184.4693685816801</c:v>
                </c:pt>
                <c:pt idx="23">
                  <c:v>192.63935362793154</c:v>
                </c:pt>
                <c:pt idx="24">
                  <c:v>200.80127822133792</c:v>
                </c:pt>
                <c:pt idx="25">
                  <c:v>208.95551662039031</c:v>
                </c:pt>
                <c:pt idx="26">
                  <c:v>217.1024114481626</c:v>
                </c:pt>
                <c:pt idx="27">
                  <c:v>225.24227747955538</c:v>
                </c:pt>
                <c:pt idx="28">
                  <c:v>233.37540485169438</c:v>
                </c:pt>
                <c:pt idx="29">
                  <c:v>241.50206180281205</c:v>
                </c:pt>
                <c:pt idx="30">
                  <c:v>249.62249702273948</c:v>
                </c:pt>
                <c:pt idx="31">
                  <c:v>257.73694168119511</c:v>
                </c:pt>
                <c:pt idx="32">
                  <c:v>265.84561118700753</c:v>
                </c:pt>
                <c:pt idx="33">
                  <c:v>273.948706721257</c:v>
                </c:pt>
                <c:pt idx="34">
                  <c:v>282.04641657936111</c:v>
                </c:pt>
                <c:pt idx="35">
                  <c:v>290.13891735083121</c:v>
                </c:pt>
                <c:pt idx="36">
                  <c:v>298.2263749604092</c:v>
                </c:pt>
                <c:pt idx="37">
                  <c:v>306.30894559027047</c:v>
                </c:pt>
                <c:pt idx="38">
                  <c:v>314.38677649972635</c:v>
                </c:pt>
                <c:pt idx="39">
                  <c:v>322.46000675621355</c:v>
                </c:pt>
                <c:pt idx="40">
                  <c:v>330.52876788920173</c:v>
                </c:pt>
                <c:pt idx="41">
                  <c:v>338.5931844768694</c:v>
                </c:pt>
                <c:pt idx="42">
                  <c:v>346.65337467393118</c:v>
                </c:pt>
                <c:pt idx="43">
                  <c:v>258.12667028823529</c:v>
                </c:pt>
                <c:pt idx="44">
                  <c:v>275.29450964860507</c:v>
                </c:pt>
                <c:pt idx="45">
                  <c:v>292.43830704024839</c:v>
                </c:pt>
                <c:pt idx="46">
                  <c:v>309.55967005924936</c:v>
                </c:pt>
                <c:pt idx="47">
                  <c:v>326.66001394076346</c:v>
                </c:pt>
                <c:pt idx="48">
                  <c:v>343.74059365288736</c:v>
                </c:pt>
                <c:pt idx="49">
                  <c:v>360.8025292744212</c:v>
                </c:pt>
                <c:pt idx="50">
                  <c:v>377.84682631948954</c:v>
                </c:pt>
                <c:pt idx="51">
                  <c:v>287.67734153750729</c:v>
                </c:pt>
                <c:pt idx="52">
                  <c:v>304.07206233875513</c:v>
                </c:pt>
                <c:pt idx="53">
                  <c:v>320.44712758529653</c:v>
                </c:pt>
                <c:pt idx="54">
                  <c:v>336.80368294253748</c:v>
                </c:pt>
                <c:pt idx="55">
                  <c:v>353.14275371823027</c:v>
                </c:pt>
                <c:pt idx="56">
                  <c:v>369.46526260672704</c:v>
                </c:pt>
                <c:pt idx="57">
                  <c:v>385.77204413280037</c:v>
                </c:pt>
                <c:pt idx="58">
                  <c:v>402.06385652527086</c:v>
                </c:pt>
                <c:pt idx="59">
                  <c:v>330.74005748766359</c:v>
                </c:pt>
                <c:pt idx="60">
                  <c:v>346.60591515351689</c:v>
                </c:pt>
                <c:pt idx="61">
                  <c:v>362.45583222249314</c:v>
                </c:pt>
                <c:pt idx="62">
                  <c:v>378.29060378932394</c:v>
                </c:pt>
                <c:pt idx="63">
                  <c:v>394.11095296186676</c:v>
                </c:pt>
                <c:pt idx="64">
                  <c:v>409.91754006698562</c:v>
                </c:pt>
                <c:pt idx="65">
                  <c:v>425.71097036232396</c:v>
                </c:pt>
                <c:pt idx="66">
                  <c:v>441.49180054400358</c:v>
                </c:pt>
                <c:pt idx="67">
                  <c:v>369.20612193155625</c:v>
                </c:pt>
                <c:pt idx="68">
                  <c:v>384.30348052691483</c:v>
                </c:pt>
                <c:pt idx="69">
                  <c:v>399.38795393209131</c:v>
                </c:pt>
                <c:pt idx="70">
                  <c:v>414.46009725971345</c:v>
                </c:pt>
                <c:pt idx="71">
                  <c:v>429.5204219608288</c:v>
                </c:pt>
                <c:pt idx="72">
                  <c:v>444.5694007014618</c:v>
                </c:pt>
                <c:pt idx="73">
                  <c:v>459.60747154449905</c:v>
                </c:pt>
                <c:pt idx="74">
                  <c:v>474.6350415558033</c:v>
                </c:pt>
                <c:pt idx="75">
                  <c:v>489.65248992991548</c:v>
                </c:pt>
                <c:pt idx="76">
                  <c:v>416.43449793318274</c:v>
                </c:pt>
                <c:pt idx="77">
                  <c:v>430.64528450788242</c:v>
                </c:pt>
                <c:pt idx="78">
                  <c:v>444.84599790037572</c:v>
                </c:pt>
                <c:pt idx="79">
                  <c:v>459.03700491428344</c:v>
                </c:pt>
                <c:pt idx="80">
                  <c:v>473.2186478283345</c:v>
                </c:pt>
                <c:pt idx="81">
                  <c:v>487.39124673731368</c:v>
                </c:pt>
                <c:pt idx="82">
                  <c:v>501.555101606596</c:v>
                </c:pt>
                <c:pt idx="83">
                  <c:v>515.71049408256397</c:v>
                </c:pt>
                <c:pt idx="84">
                  <c:v>439.2590933025761</c:v>
                </c:pt>
                <c:pt idx="85">
                  <c:v>452.36985869087033</c:v>
                </c:pt>
                <c:pt idx="86">
                  <c:v>465.47250151900539</c:v>
                </c:pt>
                <c:pt idx="87">
                  <c:v>478.56728261895313</c:v>
                </c:pt>
                <c:pt idx="88">
                  <c:v>491.65444738634943</c:v>
                </c:pt>
                <c:pt idx="89">
                  <c:v>504.73422708924267</c:v>
                </c:pt>
                <c:pt idx="90">
                  <c:v>517.80684003414194</c:v>
                </c:pt>
                <c:pt idx="91">
                  <c:v>530.87249260820693</c:v>
                </c:pt>
                <c:pt idx="92">
                  <c:v>279.98860279382762</c:v>
                </c:pt>
                <c:pt idx="93">
                  <c:v>288.79971777952142</c:v>
                </c:pt>
                <c:pt idx="94">
                  <c:v>297.6048238592623</c:v>
                </c:pt>
                <c:pt idx="95">
                  <c:v>306.40412403506821</c:v>
                </c:pt>
                <c:pt idx="96">
                  <c:v>315.19780868792878</c:v>
                </c:pt>
                <c:pt idx="97">
                  <c:v>323.98605670040803</c:v>
                </c:pt>
                <c:pt idx="98">
                  <c:v>332.76903645099787</c:v>
                </c:pt>
                <c:pt idx="99">
                  <c:v>341.54690669794519</c:v>
                </c:pt>
                <c:pt idx="100">
                  <c:v>350.3198173674196</c:v>
                </c:pt>
                <c:pt idx="101">
                  <c:v>359.08791025856652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J34" sqref="J3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2.0356000000000001</v>
      </c>
      <c r="D5" s="269" t="s">
        <v>229</v>
      </c>
      <c r="E5" s="270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164</v>
      </c>
      <c r="C9" s="32">
        <v>1</v>
      </c>
      <c r="D9" s="33">
        <f t="shared" ref="D9:D18" si="0">C9*$C$5</f>
        <v>2.0356000000000001</v>
      </c>
      <c r="E9" s="34">
        <v>101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2.0356000000000001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42</v>
      </c>
      <c r="B36" s="60">
        <v>338.73</v>
      </c>
      <c r="C36" s="60">
        <v>1</v>
      </c>
      <c r="D36" s="60">
        <v>105.41</v>
      </c>
      <c r="E36" s="51">
        <v>0.5</v>
      </c>
      <c r="F36" s="51">
        <v>0.5</v>
      </c>
      <c r="G36" s="51">
        <v>0</v>
      </c>
      <c r="H36" s="51">
        <v>0</v>
      </c>
      <c r="I36" s="49">
        <f>IFERROR(B36/A36,"")</f>
        <v>8.0650000000000013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50</v>
      </c>
      <c r="B37" s="60">
        <v>369.98</v>
      </c>
      <c r="C37" s="60">
        <v>2</v>
      </c>
      <c r="D37" s="60">
        <v>106.51</v>
      </c>
      <c r="E37" s="51">
        <v>0.7</v>
      </c>
      <c r="F37" s="51">
        <v>0.3</v>
      </c>
      <c r="G37" s="51">
        <v>0</v>
      </c>
      <c r="H37" s="51">
        <v>0</v>
      </c>
      <c r="I37" s="53">
        <f t="shared" ref="I37:I55" si="1">IF(A37&lt;&gt;0,(B37-(B36-D36))/(A37-A36),"")</f>
        <v>17.0825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58</v>
      </c>
      <c r="B38" s="60">
        <v>394.28</v>
      </c>
      <c r="C38" s="60">
        <v>3</v>
      </c>
      <c r="D38" s="60">
        <v>87.34</v>
      </c>
      <c r="E38" s="51">
        <v>0.7</v>
      </c>
      <c r="F38" s="51">
        <v>0.3</v>
      </c>
      <c r="G38" s="51">
        <v>0</v>
      </c>
      <c r="H38" s="51">
        <v>0</v>
      </c>
      <c r="I38" s="53">
        <f t="shared" si="1"/>
        <v>16.351249999999993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66</v>
      </c>
      <c r="B39" s="60">
        <v>433.91</v>
      </c>
      <c r="C39" s="60">
        <v>4</v>
      </c>
      <c r="D39" s="60">
        <v>87.73</v>
      </c>
      <c r="E39" s="51">
        <v>0.7</v>
      </c>
      <c r="F39" s="51">
        <v>0.3</v>
      </c>
      <c r="G39" s="51">
        <v>0</v>
      </c>
      <c r="H39" s="51">
        <v>0</v>
      </c>
      <c r="I39" s="49">
        <f t="shared" si="1"/>
        <v>15.871250000000011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75</v>
      </c>
      <c r="B40" s="60">
        <v>482.42</v>
      </c>
      <c r="C40" s="60">
        <v>5</v>
      </c>
      <c r="D40" s="60">
        <v>87.99</v>
      </c>
      <c r="E40" s="51">
        <v>0.7</v>
      </c>
      <c r="F40" s="51">
        <v>0.3</v>
      </c>
      <c r="G40" s="51">
        <v>0</v>
      </c>
      <c r="H40" s="51">
        <v>0</v>
      </c>
      <c r="I40" s="49">
        <f t="shared" si="1"/>
        <v>15.137777777777778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83</v>
      </c>
      <c r="B41" s="60">
        <v>508.71</v>
      </c>
      <c r="C41" s="60">
        <v>6</v>
      </c>
      <c r="D41" s="60">
        <v>90.24</v>
      </c>
      <c r="E41" s="51">
        <v>0.7</v>
      </c>
      <c r="F41" s="51">
        <v>0.3</v>
      </c>
      <c r="G41" s="51">
        <v>0</v>
      </c>
      <c r="H41" s="51">
        <v>0</v>
      </c>
      <c r="I41" s="53">
        <f t="shared" si="1"/>
        <v>14.284999999999997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91</v>
      </c>
      <c r="B42" s="60">
        <v>524.02</v>
      </c>
      <c r="C42" s="60">
        <v>7</v>
      </c>
      <c r="D42" s="60">
        <v>260.64</v>
      </c>
      <c r="E42" s="51">
        <v>0.7</v>
      </c>
      <c r="F42" s="51">
        <v>0.3</v>
      </c>
      <c r="G42" s="51">
        <v>0</v>
      </c>
      <c r="H42" s="51">
        <v>0</v>
      </c>
      <c r="I42" s="53">
        <f t="shared" si="1"/>
        <v>13.193750000000001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101</v>
      </c>
      <c r="B43" s="60">
        <v>351.18</v>
      </c>
      <c r="C43" s="60">
        <v>8</v>
      </c>
      <c r="D43" s="60">
        <v>351.18</v>
      </c>
      <c r="E43" s="51">
        <v>0.7</v>
      </c>
      <c r="F43" s="51">
        <v>0.3</v>
      </c>
      <c r="G43" s="51">
        <v>0</v>
      </c>
      <c r="H43" s="51">
        <v>0</v>
      </c>
      <c r="I43" s="49">
        <f t="shared" si="1"/>
        <v>8.7800000000000011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2"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11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zoomScaleNormal="100" workbookViewId="0">
      <selection activeCell="B3" sqref="B3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235.48251555416709</v>
      </c>
      <c r="T3" s="59">
        <f>IF('Données projet'!E9&gt;30,$R$33-$H$33,LOOKUP('Données projet'!$E$9,$A$3:$A$203,R3:R203)-LOOKUP('Données projet'!$E$9,$A$3:$A$203,$H$3:$H$203))</f>
        <v>228.3457409585393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0.84240000000000004</v>
      </c>
      <c r="D4" s="11">
        <f>IFERROR(EXP(-1.0587+0.8836*LN(C4)+0.284),0)</f>
        <v>0.3960409432098097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9.5598950002160752</v>
      </c>
      <c r="H4" s="67">
        <f t="shared" ref="H4:H67" si="1">(B4+E4+F4)*44/12+(C4+D4)*0.475*44/12</f>
        <v>258.82361797609042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8.0650000000000013</v>
      </c>
      <c r="N4" s="13">
        <f>IF('Données projet'!$A$36&gt;35,N3+M4-V3,IF(A4&lt;'Données projet'!$A$36,$K$205^A4,IF(A4='Données projet'!$A$36,'Données projet'!$B$36,N3+M4-V3)))</f>
        <v>8.0650000000000013</v>
      </c>
      <c r="O4" s="13">
        <f>N4*VLOOKUP('Données projet'!$B$9,Paramètres!$A$1:$I$89,3,0)*VLOOKUP('Données projet'!$B$9,Paramètres!$A$1:$I$89,5,0)</f>
        <v>3.7744200000000006</v>
      </c>
      <c r="P4" s="13">
        <f>EXP(-1.0587+0.8836*LN(O4)+0.284)</f>
        <v>1.4902424268606931</v>
      </c>
      <c r="Q4" s="20">
        <f t="shared" ref="Q4:Q34" si="2">(O4+P4)*0.475*44/12</f>
        <v>9.1692870601157086</v>
      </c>
      <c r="R4" s="59">
        <f t="shared" si="0"/>
        <v>267.05817594900458</v>
      </c>
      <c r="S4" s="59">
        <f ca="1">AVERAGE(OFFSET($R$3,0,0,'Données projet'!$E$9+1,1))-AVERAGE(OFFSET($H$3,0,0,'Données projet'!$E$9+1,1))</f>
        <v>235.48251555416709</v>
      </c>
      <c r="T4" s="59">
        <f>$T$3</f>
        <v>228.3457409585393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1.6848000000000001</v>
      </c>
      <c r="D5" s="11">
        <f t="shared" ref="D5:D68" si="32">IFERROR(EXP(-1.0587+0.8836*LN(C5)+0.284),0)</f>
        <v>0.7306849972750864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18.645849101772601</v>
      </c>
      <c r="H5" s="67">
        <f t="shared" si="1"/>
        <v>260.87363637025413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8.0650000000000013</v>
      </c>
      <c r="N5" s="13">
        <f>IF('Données projet'!$A$36&gt;35,N4+M5-V4,IF(A5&lt;'Données projet'!$A$36,$K$205^A5,IF(A5='Données projet'!$A$36,'Données projet'!$B$36,N4+M5-V4)))</f>
        <v>16.130000000000003</v>
      </c>
      <c r="O5" s="13">
        <f>N5*VLOOKUP('Données projet'!$B$9,Paramètres!$A$1:$I$89,3,0)*VLOOKUP('Données projet'!$B$9,Paramètres!$A$1:$I$89,5,0)</f>
        <v>7.5488400000000011</v>
      </c>
      <c r="P5" s="13">
        <f t="shared" ref="P5:P68" si="33">EXP(-1.0587+0.8836*LN(O5)+0.284)</f>
        <v>2.7494576060361031</v>
      </c>
      <c r="Q5" s="20">
        <f t="shared" si="2"/>
        <v>17.936201663846216</v>
      </c>
      <c r="R5" s="59">
        <f t="shared" si="0"/>
        <v>277.04731277495733</v>
      </c>
      <c r="S5" s="59">
        <f ca="1">AVERAGE(OFFSET($R$3,0,0,'Données projet'!$E$9+1,1))-AVERAGE(OFFSET($H$3,0,0,'Données projet'!$E$9+1,1))</f>
        <v>235.48251555416709</v>
      </c>
      <c r="T5" s="59">
        <f t="shared" ref="T5:T68" si="34">$T$3</f>
        <v>228.3457409585393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2.5272000000000001</v>
      </c>
      <c r="D6" s="11">
        <f t="shared" si="32"/>
        <v>1.0455009380777207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27.578744083406971</v>
      </c>
      <c r="H6" s="67">
        <f t="shared" si="1"/>
        <v>262.88912080048539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8.0650000000000013</v>
      </c>
      <c r="N6" s="13">
        <f>IF('Données projet'!$A$36&gt;35,N5+M6-V5,IF(A6&lt;'Données projet'!$A$36,$K$205^A6,IF(A6='Données projet'!$A$36,'Données projet'!$B$36,N5+M6-V5)))</f>
        <v>24.195000000000004</v>
      </c>
      <c r="O6" s="13">
        <f>N6*VLOOKUP('Données projet'!$B$9,Paramètres!$A$1:$I$89,3,0)*VLOOKUP('Données projet'!$B$9,Paramètres!$A$1:$I$89,5,0)</f>
        <v>11.323260000000001</v>
      </c>
      <c r="P6" s="13">
        <f t="shared" si="33"/>
        <v>3.934062581051549</v>
      </c>
      <c r="Q6" s="20">
        <f t="shared" si="2"/>
        <v>26.573170161998117</v>
      </c>
      <c r="R6" s="59">
        <f t="shared" si="0"/>
        <v>286.90650349533144</v>
      </c>
      <c r="S6" s="59">
        <f ca="1">AVERAGE(OFFSET($R$3,0,0,'Données projet'!$E$9+1,1))-AVERAGE(OFFSET($H$3,0,0,'Données projet'!$E$9+1,1))</f>
        <v>235.48251555416709</v>
      </c>
      <c r="T6" s="59">
        <f t="shared" si="34"/>
        <v>228.3457409585393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3.3696000000000002</v>
      </c>
      <c r="D7" s="11">
        <f t="shared" si="32"/>
        <v>1.3480943685159585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36.417289862228458</v>
      </c>
      <c r="H7" s="67">
        <f t="shared" si="1"/>
        <v>264.88331769183196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8.0650000000000013</v>
      </c>
      <c r="N7" s="13">
        <f>IF('Données projet'!$A$36&gt;35,N6+M7-V6,IF(A7&lt;'Données projet'!$A$36,$K$205^A7,IF(A7='Données projet'!$A$36,'Données projet'!$B$36,N6+M7-V6)))</f>
        <v>32.260000000000005</v>
      </c>
      <c r="O7" s="13">
        <f>N7*VLOOKUP('Données projet'!$B$9,Paramètres!$A$1:$I$89,3,0)*VLOOKUP('Données projet'!$B$9,Paramètres!$A$1:$I$89,5,0)</f>
        <v>15.097680000000002</v>
      </c>
      <c r="P7" s="13">
        <f t="shared" si="33"/>
        <v>5.0726760902348396</v>
      </c>
      <c r="Q7" s="20">
        <f t="shared" si="2"/>
        <v>35.130036857159006</v>
      </c>
      <c r="R7" s="59">
        <f t="shared" si="0"/>
        <v>296.68559241271453</v>
      </c>
      <c r="S7" s="59">
        <f ca="1">AVERAGE(OFFSET($R$3,0,0,'Données projet'!$E$9+1,1))-AVERAGE(OFFSET($H$3,0,0,'Données projet'!$E$9+1,1))</f>
        <v>235.48251555416709</v>
      </c>
      <c r="T7" s="59">
        <f t="shared" si="34"/>
        <v>228.3457409585393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4.2119999999999997</v>
      </c>
      <c r="D8" s="11">
        <f t="shared" si="32"/>
        <v>1.6419123971514347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45.188095697309329</v>
      </c>
      <c r="H8" s="67">
        <f t="shared" si="1"/>
        <v>266.86223075837211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8.0650000000000013</v>
      </c>
      <c r="N8" s="13">
        <f>IF('Données projet'!$A$36&gt;35,N7+M8-V7,IF(A8&lt;'Données projet'!$A$36,$K$205^A8,IF(A8='Données projet'!$A$36,'Données projet'!$B$36,N7+M8-V7)))</f>
        <v>40.325000000000003</v>
      </c>
      <c r="O8" s="13">
        <f>N8*VLOOKUP('Données projet'!$B$9,Paramètres!$A$1:$I$89,3,0)*VLOOKUP('Données projet'!$B$9,Paramètres!$A$1:$I$89,5,0)</f>
        <v>18.872100000000003</v>
      </c>
      <c r="P8" s="13">
        <f t="shared" si="33"/>
        <v>6.1782690839804202</v>
      </c>
      <c r="Q8" s="20">
        <f t="shared" si="2"/>
        <v>43.629392821265903</v>
      </c>
      <c r="R8" s="59">
        <f t="shared" si="0"/>
        <v>306.4071705990437</v>
      </c>
      <c r="S8" s="59">
        <f ca="1">AVERAGE(OFFSET($R$3,0,0,'Données projet'!$E$9+1,1))-AVERAGE(OFFSET($H$3,0,0,'Données projet'!$E$9+1,1))</f>
        <v>235.48251555416709</v>
      </c>
      <c r="T8" s="59">
        <f t="shared" si="34"/>
        <v>228.3457409585393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5.0543999999999993</v>
      </c>
      <c r="D9" s="11">
        <f t="shared" si="32"/>
        <v>1.9289213986285076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53.906340620991983</v>
      </c>
      <c r="H9" s="67">
        <f t="shared" si="1"/>
        <v>268.82928476927799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8.0650000000000013</v>
      </c>
      <c r="N9" s="13">
        <f>IF('Données projet'!$A$36&gt;35,N8+M9-V8,IF(A9&lt;'Données projet'!$A$36,$K$205^A9,IF(A9='Données projet'!$A$36,'Données projet'!$B$36,N8+M9-V8)))</f>
        <v>48.39</v>
      </c>
      <c r="O9" s="13">
        <f>N9*VLOOKUP('Données projet'!$B$9,Paramètres!$A$1:$I$89,3,0)*VLOOKUP('Données projet'!$B$9,Paramètres!$A$1:$I$89,5,0)</f>
        <v>22.646520000000002</v>
      </c>
      <c r="P9" s="13">
        <f t="shared" si="33"/>
        <v>7.258240733945585</v>
      </c>
      <c r="Q9" s="20">
        <f t="shared" si="2"/>
        <v>52.084124944955228</v>
      </c>
      <c r="R9" s="59">
        <f t="shared" si="0"/>
        <v>316.08412494495525</v>
      </c>
      <c r="S9" s="59">
        <f ca="1">AVERAGE(OFFSET($R$3,0,0,'Données projet'!$E$9+1,1))-AVERAGE(OFFSET($H$3,0,0,'Données projet'!$E$9+1,1))</f>
        <v>235.48251555416709</v>
      </c>
      <c r="T9" s="59">
        <f t="shared" si="34"/>
        <v>228.3457409585393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5.8967999999999989</v>
      </c>
      <c r="D10" s="11">
        <f t="shared" si="32"/>
        <v>2.210389018649412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62.581809968521775</v>
      </c>
      <c r="H10" s="67">
        <f t="shared" si="1"/>
        <v>270.7866875408144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8.0650000000000013</v>
      </c>
      <c r="N10" s="13">
        <f>IF('Données projet'!$A$36&gt;35,N9+M10-V9,IF(A10&lt;'Données projet'!$A$36,$K$205^A10,IF(A10='Données projet'!$A$36,'Données projet'!$B$36,N9+M10-V9)))</f>
        <v>56.454999999999998</v>
      </c>
      <c r="O10" s="13">
        <f>N10*VLOOKUP('Données projet'!$B$9,Paramètres!$A$1:$I$89,3,0)*VLOOKUP('Données projet'!$B$9,Paramètres!$A$1:$I$89,5,0)</f>
        <v>26.420939999999998</v>
      </c>
      <c r="P10" s="13">
        <f t="shared" si="33"/>
        <v>8.3173610000046416</v>
      </c>
      <c r="Q10" s="20">
        <f t="shared" si="2"/>
        <v>60.502540908341409</v>
      </c>
      <c r="R10" s="59">
        <f t="shared" si="0"/>
        <v>325.72476313056364</v>
      </c>
      <c r="S10" s="59">
        <f ca="1">AVERAGE(OFFSET($R$3,0,0,'Données projet'!$E$9+1,1))-AVERAGE(OFFSET($H$3,0,0,'Données projet'!$E$9+1,1))</f>
        <v>235.48251555416709</v>
      </c>
      <c r="T10" s="59">
        <f t="shared" si="34"/>
        <v>228.3457409585393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6.7391999999999985</v>
      </c>
      <c r="D11" s="11">
        <f t="shared" si="32"/>
        <v>2.4871982224923754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71.221319612221848</v>
      </c>
      <c r="H11" s="67">
        <f t="shared" si="1"/>
        <v>272.73597690417421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8.0650000000000013</v>
      </c>
      <c r="N11" s="13">
        <f>IF('Données projet'!$A$36&gt;35,N10+M11-V10,IF(A11&lt;'Données projet'!$A$36,$K$205^A11,IF(A11='Données projet'!$A$36,'Données projet'!$B$36,N10+M11-V10)))</f>
        <v>64.52</v>
      </c>
      <c r="O11" s="13">
        <f>N11*VLOOKUP('Données projet'!$B$9,Paramètres!$A$1:$I$89,3,0)*VLOOKUP('Données projet'!$B$9,Paramètres!$A$1:$I$89,5,0)</f>
        <v>30.195359999999997</v>
      </c>
      <c r="P11" s="13">
        <f t="shared" si="33"/>
        <v>9.3589523475279641</v>
      </c>
      <c r="Q11" s="20">
        <f t="shared" si="2"/>
        <v>68.890427338611204</v>
      </c>
      <c r="R11" s="59">
        <f t="shared" si="0"/>
        <v>335.33487178305563</v>
      </c>
      <c r="S11" s="59">
        <f ca="1">AVERAGE(OFFSET($R$3,0,0,'Données projet'!$E$9+1,1))-AVERAGE(OFFSET($H$3,0,0,'Données projet'!$E$9+1,1))</f>
        <v>235.48251555416709</v>
      </c>
      <c r="T11" s="59">
        <f t="shared" si="34"/>
        <v>228.3457409585393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7.5815999999999981</v>
      </c>
      <c r="D12" s="11">
        <f t="shared" si="32"/>
        <v>2.7599980008691158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79.829879304954574</v>
      </c>
      <c r="H12" s="67">
        <f t="shared" si="1"/>
        <v>274.67828318484703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8.0650000000000013</v>
      </c>
      <c r="N12" s="13">
        <f>IF('Données projet'!$A$36&gt;35,N11+M12-V11,IF(A12&lt;'Données projet'!$A$36,$K$205^A12,IF(A12='Données projet'!$A$36,'Données projet'!$B$36,N11+M12-V11)))</f>
        <v>72.584999999999994</v>
      </c>
      <c r="O12" s="13">
        <f>N12*VLOOKUP('Données projet'!$B$9,Paramètres!$A$1:$I$89,3,0)*VLOOKUP('Données projet'!$B$9,Paramètres!$A$1:$I$89,5,0)</f>
        <v>33.96978</v>
      </c>
      <c r="P12" s="13">
        <f t="shared" si="33"/>
        <v>10.385456830827925</v>
      </c>
      <c r="Q12" s="20">
        <f t="shared" si="2"/>
        <v>77.252037480358638</v>
      </c>
      <c r="R12" s="59">
        <f t="shared" si="0"/>
        <v>344.91870414702532</v>
      </c>
      <c r="S12" s="59">
        <f ca="1">AVERAGE(OFFSET($R$3,0,0,'Données projet'!$E$9+1,1))-AVERAGE(OFFSET($H$3,0,0,'Données projet'!$E$9+1,1))</f>
        <v>235.48251555416709</v>
      </c>
      <c r="T12" s="59">
        <f t="shared" si="34"/>
        <v>228.3457409585393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8.4239999999999977</v>
      </c>
      <c r="D13" s="11">
        <f t="shared" si="32"/>
        <v>3.0292846636388129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88.411320210545213</v>
      </c>
      <c r="H13" s="67">
        <f t="shared" si="1"/>
        <v>276.61447078917092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8.0650000000000013</v>
      </c>
      <c r="N13" s="13">
        <f>IF('Données projet'!$A$36&gt;35,N12+M13-V12,IF(A13&lt;'Données projet'!$A$36,$K$205^A13,IF(A13='Données projet'!$A$36,'Données projet'!$B$36,N12+M13-V12)))</f>
        <v>80.649999999999991</v>
      </c>
      <c r="O13" s="13">
        <f>N13*VLOOKUP('Données projet'!$B$9,Paramètres!$A$1:$I$89,3,0)*VLOOKUP('Données projet'!$B$9,Paramètres!$A$1:$I$89,5,0)</f>
        <v>37.744199999999992</v>
      </c>
      <c r="P13" s="13">
        <f t="shared" si="33"/>
        <v>11.398741989162001</v>
      </c>
      <c r="Q13" s="20">
        <f t="shared" si="2"/>
        <v>85.590623964457123</v>
      </c>
      <c r="R13" s="59">
        <f t="shared" si="0"/>
        <v>354.47951285334597</v>
      </c>
      <c r="S13" s="59">
        <f ca="1">AVERAGE(OFFSET($R$3,0,0,'Données projet'!$E$9+1,1))-AVERAGE(OFFSET($H$3,0,0,'Données projet'!$E$9+1,1))</f>
        <v>235.48251555416709</v>
      </c>
      <c r="T13" s="59">
        <f t="shared" si="34"/>
        <v>228.3457409585393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9.2663999999999973</v>
      </c>
      <c r="D14" s="11">
        <f t="shared" si="32"/>
        <v>3.2954495146637965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96.968662920211742</v>
      </c>
      <c r="H14" s="67">
        <f t="shared" si="1"/>
        <v>278.54522123803946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8.0650000000000013</v>
      </c>
      <c r="N14" s="13">
        <f>IF('Données projet'!$A$36&gt;35,N13+M14-V13,IF(A14&lt;'Données projet'!$A$36,$K$205^A14,IF(A14='Données projet'!$A$36,'Données projet'!$B$36,N13+M14-V13)))</f>
        <v>88.714999999999989</v>
      </c>
      <c r="O14" s="13">
        <f>N14*VLOOKUP('Données projet'!$B$9,Paramètres!$A$1:$I$89,3,0)*VLOOKUP('Données projet'!$B$9,Paramètres!$A$1:$I$89,5,0)</f>
        <v>41.518619999999999</v>
      </c>
      <c r="P14" s="13">
        <f t="shared" si="33"/>
        <v>12.400280240035103</v>
      </c>
      <c r="Q14" s="20">
        <f t="shared" si="2"/>
        <v>93.908751251394463</v>
      </c>
      <c r="R14" s="59">
        <f t="shared" si="0"/>
        <v>364.01986236250559</v>
      </c>
      <c r="S14" s="59">
        <f ca="1">AVERAGE(OFFSET($R$3,0,0,'Données projet'!$E$9+1,1))-AVERAGE(OFFSET($H$3,0,0,'Données projet'!$E$9+1,1))</f>
        <v>235.48251555416709</v>
      </c>
      <c r="T14" s="59">
        <f t="shared" si="34"/>
        <v>228.3457409585393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10.108799999999997</v>
      </c>
      <c r="D15" s="11">
        <f t="shared" si="32"/>
        <v>3.5588086309400957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105.50434732655511</v>
      </c>
      <c r="H15" s="67">
        <f t="shared" si="1"/>
        <v>280.47108503222069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8.0650000000000013</v>
      </c>
      <c r="N15" s="13">
        <f>IF('Données projet'!$A$36&gt;35,N14+M15-V14,IF(A15&lt;'Données projet'!$A$36,$K$205^A15,IF(A15='Données projet'!$A$36,'Données projet'!$B$36,N14+M15-V14)))</f>
        <v>96.779999999999987</v>
      </c>
      <c r="O15" s="13">
        <f>N15*VLOOKUP('Données projet'!$B$9,Paramètres!$A$1:$I$89,3,0)*VLOOKUP('Données projet'!$B$9,Paramètres!$A$1:$I$89,5,0)</f>
        <v>45.293039999999998</v>
      </c>
      <c r="P15" s="13">
        <f t="shared" si="33"/>
        <v>13.391260933583149</v>
      </c>
      <c r="Q15" s="20">
        <f t="shared" si="2"/>
        <v>102.20849079265732</v>
      </c>
      <c r="R15" s="59">
        <f t="shared" si="0"/>
        <v>373.54182412599062</v>
      </c>
      <c r="S15" s="59">
        <f ca="1">AVERAGE(OFFSET($R$3,0,0,'Données projet'!$E$9+1,1))-AVERAGE(OFFSET($H$3,0,0,'Données projet'!$E$9+1,1))</f>
        <v>235.48251555416709</v>
      </c>
      <c r="T15" s="59">
        <f t="shared" si="34"/>
        <v>228.3457409585393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10.951199999999996</v>
      </c>
      <c r="D16" s="11">
        <f t="shared" si="32"/>
        <v>3.8196224059570834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114.02038348458098</v>
      </c>
      <c r="H16" s="67">
        <f t="shared" si="1"/>
        <v>282.39251569037526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8.0650000000000013</v>
      </c>
      <c r="N16" s="13">
        <f>IF('Données projet'!$A$36&gt;35,N15+M16-V15,IF(A16&lt;'Données projet'!$A$36,$K$205^A16,IF(A16='Données projet'!$A$36,'Données projet'!$B$36,N15+M16-V15)))</f>
        <v>104.84499999999998</v>
      </c>
      <c r="O16" s="13">
        <f>N16*VLOOKUP('Données projet'!$B$9,Paramètres!$A$1:$I$89,3,0)*VLOOKUP('Données projet'!$B$9,Paramètres!$A$1:$I$89,5,0)</f>
        <v>49.06745999999999</v>
      </c>
      <c r="P16" s="13">
        <f t="shared" si="33"/>
        <v>14.372663891292262</v>
      </c>
      <c r="Q16" s="20">
        <f t="shared" si="2"/>
        <v>110.49154911066734</v>
      </c>
      <c r="R16" s="59">
        <f t="shared" si="0"/>
        <v>383.04710466622288</v>
      </c>
      <c r="S16" s="59">
        <f ca="1">AVERAGE(OFFSET($R$3,0,0,'Données projet'!$E$9+1,1))-AVERAGE(OFFSET($H$3,0,0,'Données projet'!$E$9+1,1))</f>
        <v>235.48251555416709</v>
      </c>
      <c r="T16" s="59">
        <f t="shared" si="34"/>
        <v>228.3457409585393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11.793599999999996</v>
      </c>
      <c r="D17" s="11">
        <f t="shared" si="32"/>
        <v>4.0781088969710364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122.51845464328517</v>
      </c>
      <c r="H17" s="67">
        <f t="shared" si="1"/>
        <v>284.3098929955579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8.0650000000000013</v>
      </c>
      <c r="N17" s="13">
        <f>IF('Données projet'!$A$36&gt;35,N16+M17-V16,IF(A17&lt;'Données projet'!$A$36,$K$205^A17,IF(A17='Données projet'!$A$36,'Données projet'!$B$36,N16+M17-V16)))</f>
        <v>112.90999999999998</v>
      </c>
      <c r="O17" s="13">
        <f>N17*VLOOKUP('Données projet'!$B$9,Paramètres!$A$1:$I$89,3,0)*VLOOKUP('Données projet'!$B$9,Paramètres!$A$1:$I$89,5,0)</f>
        <v>52.841879999999989</v>
      </c>
      <c r="P17" s="13">
        <f t="shared" si="33"/>
        <v>15.345309629779122</v>
      </c>
      <c r="Q17" s="20">
        <f t="shared" si="2"/>
        <v>118.75935527186527</v>
      </c>
      <c r="R17" s="59">
        <f t="shared" si="0"/>
        <v>392.53713304964305</v>
      </c>
      <c r="S17" s="59">
        <f ca="1">AVERAGE(OFFSET($R$3,0,0,'Données projet'!$E$9+1,1))-AVERAGE(OFFSET($H$3,0,0,'Données projet'!$E$9+1,1))</f>
        <v>235.48251555416709</v>
      </c>
      <c r="T17" s="59">
        <f t="shared" si="34"/>
        <v>228.3457409585393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12.635999999999996</v>
      </c>
      <c r="D18" s="11">
        <f t="shared" si="32"/>
        <v>4.3344532450369764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130.99998996168893</v>
      </c>
      <c r="H18" s="67">
        <f t="shared" si="1"/>
        <v>286.22353940177277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8.0650000000000013</v>
      </c>
      <c r="N18" s="13">
        <f>IF('Données projet'!$A$36&gt;35,N17+M18-V17,IF(A18&lt;'Données projet'!$A$36,$K$205^A18,IF(A18='Données projet'!$A$36,'Données projet'!$B$36,N17+M18-V17)))</f>
        <v>120.97499999999998</v>
      </c>
      <c r="O18" s="13">
        <f>N18*VLOOKUP('Données projet'!$B$9,Paramètres!$A$1:$I$89,3,0)*VLOOKUP('Données projet'!$B$9,Paramètres!$A$1:$I$89,5,0)</f>
        <v>56.616299999999988</v>
      </c>
      <c r="P18" s="13">
        <f t="shared" si="33"/>
        <v>16.309894806952151</v>
      </c>
      <c r="Q18" s="20">
        <f t="shared" si="2"/>
        <v>127.01312262210831</v>
      </c>
      <c r="R18" s="59">
        <f t="shared" si="0"/>
        <v>402.01312262210831</v>
      </c>
      <c r="S18" s="59">
        <f ca="1">AVERAGE(OFFSET($R$3,0,0,'Données projet'!$E$9+1,1))-AVERAGE(OFFSET($H$3,0,0,'Données projet'!$E$9+1,1))</f>
        <v>235.48251555416709</v>
      </c>
      <c r="T18" s="59">
        <f t="shared" si="34"/>
        <v>228.3457409585393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13.478399999999995</v>
      </c>
      <c r="D19" s="11">
        <f t="shared" si="32"/>
        <v>4.5888145091646821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139.46621726372734</v>
      </c>
      <c r="H19" s="67">
        <f t="shared" si="1"/>
        <v>288.13373193679519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8.0650000000000013</v>
      </c>
      <c r="N19" s="13">
        <f>IF('Données projet'!$A$36&gt;35,N18+M19-V18,IF(A19&lt;'Données projet'!$A$36,$K$205^A19,IF(A19='Données projet'!$A$36,'Données projet'!$B$36,N18+M19-V18)))</f>
        <v>129.04</v>
      </c>
      <c r="O19" s="13">
        <f>N19*VLOOKUP('Données projet'!$B$9,Paramètres!$A$1:$I$89,3,0)*VLOOKUP('Données projet'!$B$9,Paramètres!$A$1:$I$89,5,0)</f>
        <v>60.390719999999995</v>
      </c>
      <c r="P19" s="13">
        <f t="shared" si="33"/>
        <v>17.267017937911401</v>
      </c>
      <c r="Q19" s="20">
        <f t="shared" si="2"/>
        <v>135.25389357519569</v>
      </c>
      <c r="R19" s="59">
        <f t="shared" si="0"/>
        <v>411.47611579741795</v>
      </c>
      <c r="S19" s="59">
        <f ca="1">AVERAGE(OFFSET($R$3,0,0,'Données projet'!$E$9+1,1))-AVERAGE(OFFSET($H$3,0,0,'Données projet'!$E$9+1,1))</f>
        <v>235.48251555416709</v>
      </c>
      <c r="T19" s="59">
        <f t="shared" si="34"/>
        <v>228.3457409585393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14.320799999999995</v>
      </c>
      <c r="D20" s="11">
        <f t="shared" si="32"/>
        <v>4.8413307422321967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147.91820222073974</v>
      </c>
      <c r="H20" s="67">
        <f t="shared" si="1"/>
        <v>290.04071104272111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8.0650000000000013</v>
      </c>
      <c r="N20" s="13">
        <f>IF('Données projet'!$A$36&gt;35,N19+M20-V19,IF(A20&lt;'Données projet'!$A$36,$K$205^A20,IF(A20='Données projet'!$A$36,'Données projet'!$B$36,N19+M20-V19)))</f>
        <v>137.10499999999999</v>
      </c>
      <c r="O20" s="13">
        <f>N20*VLOOKUP('Données projet'!$B$9,Paramètres!$A$1:$I$89,3,0)*VLOOKUP('Données projet'!$B$9,Paramètres!$A$1:$I$89,5,0)</f>
        <v>64.165139999999994</v>
      </c>
      <c r="P20" s="13">
        <f t="shared" si="33"/>
        <v>18.217198494846638</v>
      </c>
      <c r="Q20" s="20">
        <f t="shared" si="2"/>
        <v>143.48257287852456</v>
      </c>
      <c r="R20" s="59">
        <f t="shared" si="0"/>
        <v>420.92701732296905</v>
      </c>
      <c r="S20" s="59">
        <f ca="1">AVERAGE(OFFSET($R$3,0,0,'Données projet'!$E$9+1,1))-AVERAGE(OFFSET($H$3,0,0,'Données projet'!$E$9+1,1))</f>
        <v>235.48251555416709</v>
      </c>
      <c r="T20" s="59">
        <f t="shared" si="34"/>
        <v>228.3457409585393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15.163199999999994</v>
      </c>
      <c r="D21" s="11">
        <f t="shared" si="32"/>
        <v>5.092122838107465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156.35687804854885</v>
      </c>
      <c r="H21" s="67">
        <f t="shared" si="1"/>
        <v>291.94468727637053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8.0650000000000013</v>
      </c>
      <c r="N21" s="13">
        <f>IF('Données projet'!$A$36&gt;35,N20+M21-V20,IF(A21&lt;'Données projet'!$A$36,$K$205^A21,IF(A21='Données projet'!$A$36,'Données projet'!$B$36,N20+M21-V20)))</f>
        <v>145.16999999999999</v>
      </c>
      <c r="O21" s="13">
        <f>N21*VLOOKUP('Données projet'!$B$9,Paramètres!$A$1:$I$89,3,0)*VLOOKUP('Données projet'!$B$9,Paramètres!$A$1:$I$89,5,0)</f>
        <v>67.93956</v>
      </c>
      <c r="P21" s="13">
        <f t="shared" si="33"/>
        <v>19.160891383176736</v>
      </c>
      <c r="Q21" s="20">
        <f t="shared" si="2"/>
        <v>151.69995282569948</v>
      </c>
      <c r="R21" s="59">
        <f t="shared" si="0"/>
        <v>430.36661949236617</v>
      </c>
      <c r="S21" s="59">
        <f ca="1">AVERAGE(OFFSET($R$3,0,0,'Données projet'!$E$9+1,1))-AVERAGE(OFFSET($H$3,0,0,'Données projet'!$E$9+1,1))</f>
        <v>235.48251555416709</v>
      </c>
      <c r="T21" s="59">
        <f t="shared" si="34"/>
        <v>228.3457409585393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16.005599999999994</v>
      </c>
      <c r="D22" s="11">
        <f t="shared" si="32"/>
        <v>5.3412974993444138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164.78306841599192</v>
      </c>
      <c r="H22" s="67">
        <f t="shared" si="1"/>
        <v>293.84584647802484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8.0650000000000013</v>
      </c>
      <c r="N22" s="13">
        <f>IF('Données projet'!$A$36&gt;35,N21+M22-V21,IF(A22&lt;'Données projet'!$A$36,$K$205^A22,IF(A22='Données projet'!$A$36,'Données projet'!$B$36,N21+M22-V21)))</f>
        <v>153.23499999999999</v>
      </c>
      <c r="O22" s="13">
        <f>N22*VLOOKUP('Données projet'!$B$9,Paramètres!$A$1:$I$89,3,0)*VLOOKUP('Données projet'!$B$9,Paramètres!$A$1:$I$89,5,0)</f>
        <v>71.713979999999992</v>
      </c>
      <c r="P22" s="13">
        <f t="shared" si="33"/>
        <v>20.098498108543062</v>
      </c>
      <c r="Q22" s="20">
        <f t="shared" si="2"/>
        <v>159.90673270571247</v>
      </c>
      <c r="R22" s="59">
        <f t="shared" si="0"/>
        <v>439.79562159460136</v>
      </c>
      <c r="S22" s="59">
        <f ca="1">AVERAGE(OFFSET($R$3,0,0,'Données projet'!$E$9+1,1))-AVERAGE(OFFSET($H$3,0,0,'Données projet'!$E$9+1,1))</f>
        <v>235.48251555416709</v>
      </c>
      <c r="T22" s="59">
        <f t="shared" si="34"/>
        <v>228.3457409585393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16.847999999999995</v>
      </c>
      <c r="D23" s="11">
        <f t="shared" si="32"/>
        <v>5.5889495622773815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173.19750539301833</v>
      </c>
      <c r="H23" s="67">
        <f t="shared" si="1"/>
        <v>295.74435382096647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8.0650000000000013</v>
      </c>
      <c r="N23" s="13">
        <f>IF('Données projet'!$A$36&gt;35,N22+M23-V22,IF(A23&lt;'Données projet'!$A$36,$K$205^A23,IF(A23='Données projet'!$A$36,'Données projet'!$B$36,N22+M23-V22)))</f>
        <v>161.29999999999998</v>
      </c>
      <c r="O23" s="13">
        <f>N23*VLOOKUP('Données projet'!$B$9,Paramètres!$A$1:$I$89,3,0)*VLOOKUP('Données projet'!$B$9,Paramètres!$A$1:$I$89,5,0)</f>
        <v>75.488399999999984</v>
      </c>
      <c r="P23" s="13">
        <f t="shared" si="33"/>
        <v>21.030375525789701</v>
      </c>
      <c r="Q23" s="20">
        <f t="shared" si="2"/>
        <v>168.10353404075036</v>
      </c>
      <c r="R23" s="59">
        <f t="shared" si="0"/>
        <v>449.21464515186153</v>
      </c>
      <c r="S23" s="59">
        <f ca="1">AVERAGE(OFFSET($R$3,0,0,'Données projet'!$E$9+1,1))-AVERAGE(OFFSET($H$3,0,0,'Données projet'!$E$9+1,1))</f>
        <v>235.48251555416709</v>
      </c>
      <c r="T23" s="59">
        <f t="shared" si="34"/>
        <v>228.3457409585393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17.690399999999997</v>
      </c>
      <c r="D24" s="11">
        <f t="shared" si="32"/>
        <v>5.8351638438816122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181.60084370715629</v>
      </c>
      <c r="H24" s="67">
        <f t="shared" si="1"/>
        <v>297.64035702809383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8.0650000000000013</v>
      </c>
      <c r="N24" s="13">
        <f>IF('Données projet'!$A$36&gt;35,N23+M24-V23,IF(A24&lt;'Données projet'!$A$36,$K$205^A24,IF(A24='Données projet'!$A$36,'Données projet'!$B$36,N23+M24-V23)))</f>
        <v>169.36499999999998</v>
      </c>
      <c r="O24" s="13">
        <f>N24*VLOOKUP('Données projet'!$B$9,Paramètres!$A$1:$I$89,3,0)*VLOOKUP('Données projet'!$B$9,Paramètres!$A$1:$I$89,5,0)</f>
        <v>79.262819999999991</v>
      </c>
      <c r="P24" s="13">
        <f t="shared" si="33"/>
        <v>21.956842788421355</v>
      </c>
      <c r="Q24" s="20">
        <f t="shared" si="2"/>
        <v>176.29091268983385</v>
      </c>
      <c r="R24" s="59">
        <f t="shared" si="0"/>
        <v>458.62424602316719</v>
      </c>
      <c r="S24" s="59">
        <f ca="1">AVERAGE(OFFSET($R$3,0,0,'Données projet'!$E$9+1,1))-AVERAGE(OFFSET($H$3,0,0,'Données projet'!$E$9+1,1))</f>
        <v>235.48251555416709</v>
      </c>
      <c r="T24" s="59">
        <f t="shared" si="34"/>
        <v>228.3457409585393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18.532799999999998</v>
      </c>
      <c r="D25" s="11">
        <f t="shared" si="32"/>
        <v>6.0800166268835865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189.99367220752242</v>
      </c>
      <c r="H25" s="67">
        <f t="shared" si="1"/>
        <v>299.53398895848892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8.0650000000000013</v>
      </c>
      <c r="N25" s="13">
        <f>IF('Données projet'!$A$36&gt;35,N24+M25-V24,IF(A25&lt;'Données projet'!$A$36,$K$205^A25,IF(A25='Données projet'!$A$36,'Données projet'!$B$36,N24+M25-V24)))</f>
        <v>177.42999999999998</v>
      </c>
      <c r="O25" s="13">
        <f>N25*VLOOKUP('Données projet'!$B$9,Paramètres!$A$1:$I$89,3,0)*VLOOKUP('Données projet'!$B$9,Paramètres!$A$1:$I$89,5,0)</f>
        <v>83.037239999999997</v>
      </c>
      <c r="P25" s="13">
        <f t="shared" si="33"/>
        <v>22.878186936849833</v>
      </c>
      <c r="Q25" s="20">
        <f t="shared" si="2"/>
        <v>184.4693685816801</v>
      </c>
      <c r="R25" s="59">
        <f t="shared" si="0"/>
        <v>468.02492413723564</v>
      </c>
      <c r="S25" s="59">
        <f ca="1">AVERAGE(OFFSET($R$3,0,0,'Données projet'!$E$9+1,1))-AVERAGE(OFFSET($H$3,0,0,'Données projet'!$E$9+1,1))</f>
        <v>235.48251555416709</v>
      </c>
      <c r="T25" s="59">
        <f t="shared" si="34"/>
        <v>228.3457409585393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19.3752</v>
      </c>
      <c r="D26" s="11">
        <f t="shared" si="32"/>
        <v>6.3235768672184562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198.37652318554601</v>
      </c>
      <c r="H26" s="67">
        <f t="shared" si="1"/>
        <v>301.4253697104055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8.0650000000000013</v>
      </c>
      <c r="N26" s="13">
        <f>IF('Données projet'!$A$36&gt;35,N25+M26-V25,IF(A26&lt;'Données projet'!$A$36,$K$205^A26,IF(A26='Données projet'!$A$36,'Données projet'!$B$36,N25+M26-V25)))</f>
        <v>185.49499999999998</v>
      </c>
      <c r="O26" s="13">
        <f>N26*VLOOKUP('Données projet'!$B$9,Paramètres!$A$1:$I$89,3,0)*VLOOKUP('Données projet'!$B$9,Paramètres!$A$1:$I$89,5,0)</f>
        <v>86.811659999999989</v>
      </c>
      <c r="P26" s="13">
        <f t="shared" si="33"/>
        <v>23.794667441874584</v>
      </c>
      <c r="Q26" s="20">
        <f t="shared" si="2"/>
        <v>192.63935362793154</v>
      </c>
      <c r="R26" s="59">
        <f t="shared" si="0"/>
        <v>477.41713140570931</v>
      </c>
      <c r="S26" s="59">
        <f ca="1">AVERAGE(OFFSET($R$3,0,0,'Données projet'!$E$9+1,1))-AVERAGE(OFFSET($H$3,0,0,'Données projet'!$E$9+1,1))</f>
        <v>235.48251555416709</v>
      </c>
      <c r="T26" s="59">
        <f t="shared" si="34"/>
        <v>228.3457409585393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20.217600000000001</v>
      </c>
      <c r="D27" s="11">
        <f t="shared" si="32"/>
        <v>6.5659071855695155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206.74988002895768</v>
      </c>
      <c r="H27" s="67">
        <f t="shared" si="1"/>
        <v>303.31460834820024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8.0650000000000013</v>
      </c>
      <c r="N27" s="13">
        <f>IF('Données projet'!$A$36&gt;35,N26+M27-V26,IF(A27&lt;'Données projet'!$A$36,$K$205^A27,IF(A27='Données projet'!$A$36,'Données projet'!$B$36,N26+M27-V26)))</f>
        <v>193.55999999999997</v>
      </c>
      <c r="O27" s="13">
        <f>N27*VLOOKUP('Données projet'!$B$9,Paramètres!$A$1:$I$89,3,0)*VLOOKUP('Données projet'!$B$9,Paramètres!$A$1:$I$89,5,0)</f>
        <v>90.586079999999995</v>
      </c>
      <c r="P27" s="13">
        <f t="shared" si="33"/>
        <v>24.706519935696416</v>
      </c>
      <c r="Q27" s="20">
        <f t="shared" si="2"/>
        <v>200.80127822133792</v>
      </c>
      <c r="R27" s="59">
        <f t="shared" si="0"/>
        <v>486.80127822133795</v>
      </c>
      <c r="S27" s="59">
        <f ca="1">AVERAGE(OFFSET($R$3,0,0,'Données projet'!$E$9+1,1))-AVERAGE(OFFSET($H$3,0,0,'Données projet'!$E$9+1,1))</f>
        <v>235.48251555416709</v>
      </c>
      <c r="T27" s="59">
        <f t="shared" si="34"/>
        <v>228.3457409585393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21.060000000000002</v>
      </c>
      <c r="D28" s="11">
        <f t="shared" si="32"/>
        <v>6.8070646889944983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215.11418356416809</v>
      </c>
      <c r="H28" s="67">
        <f t="shared" si="1"/>
        <v>305.20180433333212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8.0650000000000013</v>
      </c>
      <c r="N28" s="13">
        <f>IF('Données projet'!$A$36&gt;35,N27+M28-V27,IF(A28&lt;'Données projet'!$A$36,$K$205^A28,IF(A28='Données projet'!$A$36,'Données projet'!$B$36,N27+M28-V27)))</f>
        <v>201.62499999999997</v>
      </c>
      <c r="O28" s="13">
        <f>N28*VLOOKUP('Données projet'!$B$9,Paramètres!$A$1:$I$89,3,0)*VLOOKUP('Données projet'!$B$9,Paramètres!$A$1:$I$89,5,0)</f>
        <v>94.360500000000002</v>
      </c>
      <c r="P28" s="13">
        <f t="shared" si="33"/>
        <v>25.613959303573385</v>
      </c>
      <c r="Q28" s="20">
        <f t="shared" si="2"/>
        <v>208.95551662039031</v>
      </c>
      <c r="R28" s="59">
        <f t="shared" si="0"/>
        <v>496.17773884261254</v>
      </c>
      <c r="S28" s="59">
        <f ca="1">AVERAGE(OFFSET($R$3,0,0,'Données projet'!$E$9+1,1))-AVERAGE(OFFSET($H$3,0,0,'Données projet'!$E$9+1,1))</f>
        <v>235.48251555416709</v>
      </c>
      <c r="T28" s="59">
        <f t="shared" si="34"/>
        <v>228.3457409585393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21.902400000000004</v>
      </c>
      <c r="D29" s="11">
        <f t="shared" si="32"/>
        <v>7.0471016573911687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223.46983735530031</v>
      </c>
      <c r="H29" s="67">
        <f t="shared" si="1"/>
        <v>307.08704871995633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8.0650000000000013</v>
      </c>
      <c r="N29" s="13">
        <f>IF('Données projet'!$A$36&gt;35,N28+M29-V28,IF(A29&lt;'Données projet'!$A$36,$K$205^A29,IF(A29='Données projet'!$A$36,'Données projet'!$B$36,N28+M29-V28)))</f>
        <v>209.68999999999997</v>
      </c>
      <c r="O29" s="13">
        <f>N29*VLOOKUP('Données projet'!$B$9,Paramètres!$A$1:$I$89,3,0)*VLOOKUP('Données projet'!$B$9,Paramètres!$A$1:$I$89,5,0)</f>
        <v>98.13491999999998</v>
      </c>
      <c r="P29" s="13">
        <f t="shared" si="33"/>
        <v>26.517182266887648</v>
      </c>
      <c r="Q29" s="20">
        <f t="shared" si="2"/>
        <v>217.1024114481626</v>
      </c>
      <c r="R29" s="59">
        <f t="shared" si="0"/>
        <v>505.54685589260703</v>
      </c>
      <c r="S29" s="59">
        <f ca="1">AVERAGE(OFFSET($R$3,0,0,'Données projet'!$E$9+1,1))-AVERAGE(OFFSET($H$3,0,0,'Données projet'!$E$9+1,1))</f>
        <v>235.48251555416709</v>
      </c>
      <c r="T29" s="59">
        <f t="shared" si="34"/>
        <v>228.3457409585393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22.744800000000005</v>
      </c>
      <c r="D30" s="11">
        <f t="shared" si="32"/>
        <v>7.2860661213823228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231.81721216505659</v>
      </c>
      <c r="H30" s="67">
        <f t="shared" si="1"/>
        <v>308.97042516140755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8.0650000000000013</v>
      </c>
      <c r="N30" s="13">
        <f>IF('Données projet'!$A$36&gt;35,N29+M30-V29,IF(A30&lt;'Données projet'!$A$36,$K$205^A30,IF(A30='Données projet'!$A$36,'Données projet'!$B$36,N29+M30-V29)))</f>
        <v>217.75499999999997</v>
      </c>
      <c r="O30" s="13">
        <f>N30*VLOOKUP('Données projet'!$B$9,Paramètres!$A$1:$I$89,3,0)*VLOOKUP('Données projet'!$B$9,Paramètres!$A$1:$I$89,5,0)</f>
        <v>101.90933999999999</v>
      </c>
      <c r="P30" s="13">
        <f t="shared" si="33"/>
        <v>27.416369557639488</v>
      </c>
      <c r="Q30" s="20">
        <f t="shared" si="2"/>
        <v>225.24227747955538</v>
      </c>
      <c r="R30" s="59">
        <f t="shared" si="0"/>
        <v>514.9089441462221</v>
      </c>
      <c r="S30" s="59">
        <f ca="1">AVERAGE(OFFSET($R$3,0,0,'Données projet'!$E$9+1,1))-AVERAGE(OFFSET($H$3,0,0,'Données projet'!$E$9+1,1))</f>
        <v>235.48251555416709</v>
      </c>
      <c r="T30" s="59">
        <f t="shared" si="34"/>
        <v>228.3457409585393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23.587200000000006</v>
      </c>
      <c r="D31" s="11">
        <f t="shared" si="32"/>
        <v>7.5240023521815003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240.15664973613798</v>
      </c>
      <c r="H31" s="67">
        <f t="shared" si="1"/>
        <v>310.85201076338279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8.0650000000000013</v>
      </c>
      <c r="N31" s="13">
        <f>IF('Données projet'!$A$36&gt;35,N30+M31-V30,IF(A31&lt;'Données projet'!$A$36,$K$205^A31,IF(A31='Données projet'!$A$36,'Données projet'!$B$36,N30+M31-V30)))</f>
        <v>225.81999999999996</v>
      </c>
      <c r="O31" s="13">
        <f>N31*VLOOKUP('Données projet'!$B$9,Paramètres!$A$1:$I$89,3,0)*VLOOKUP('Données projet'!$B$9,Paramètres!$A$1:$I$89,5,0)</f>
        <v>105.68375999999998</v>
      </c>
      <c r="P31" s="13">
        <f t="shared" si="33"/>
        <v>28.311687761738433</v>
      </c>
      <c r="Q31" s="20">
        <f t="shared" si="2"/>
        <v>233.37540485169438</v>
      </c>
      <c r="R31" s="59">
        <f t="shared" si="0"/>
        <v>524.2642937405833</v>
      </c>
      <c r="S31" s="59">
        <f ca="1">AVERAGE(OFFSET($R$3,0,0,'Données projet'!$E$9+1,1))-AVERAGE(OFFSET($H$3,0,0,'Données projet'!$E$9+1,1))</f>
        <v>235.48251555416709</v>
      </c>
      <c r="T31" s="59">
        <f t="shared" si="34"/>
        <v>228.3457409585393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24.429600000000008</v>
      </c>
      <c r="D32" s="11">
        <f t="shared" si="32"/>
        <v>7.7609512795113185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248.48846601728039</v>
      </c>
      <c r="H32" s="67">
        <f t="shared" si="1"/>
        <v>312.7318768118156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8.0650000000000013</v>
      </c>
      <c r="N32" s="13">
        <f>IF('Données projet'!$A$36&gt;35,N31+M32-V31,IF(A32&lt;'Données projet'!$A$36,$K$205^A32,IF(A32='Données projet'!$A$36,'Données projet'!$B$36,N31+M32-V31)))</f>
        <v>233.88499999999996</v>
      </c>
      <c r="O32" s="13">
        <f>N32*VLOOKUP('Données projet'!$B$9,Paramètres!$A$1:$I$89,3,0)*VLOOKUP('Données projet'!$B$9,Paramètres!$A$1:$I$89,5,0)</f>
        <v>109.45817999999998</v>
      </c>
      <c r="P32" s="13">
        <f t="shared" si="33"/>
        <v>29.203290891566756</v>
      </c>
      <c r="Q32" s="20">
        <f t="shared" si="2"/>
        <v>241.50206180281205</v>
      </c>
      <c r="R32" s="59">
        <f t="shared" si="0"/>
        <v>533.61317291392322</v>
      </c>
      <c r="S32" s="59">
        <f ca="1">AVERAGE(OFFSET($R$3,0,0,'Données projet'!$E$9+1,1))-AVERAGE(OFFSET($H$3,0,0,'Données projet'!$E$9+1,1))</f>
        <v>235.48251555416709</v>
      </c>
      <c r="T32" s="59">
        <f t="shared" si="34"/>
        <v>228.3457409585393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25.272000000000009</v>
      </c>
      <c r="D33" s="11">
        <f t="shared" si="32"/>
        <v>7.9969508502584166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256.81295393181944</v>
      </c>
      <c r="H33" s="67">
        <f t="shared" si="1"/>
        <v>314.61008939753344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8.0650000000000013</v>
      </c>
      <c r="N33" s="13">
        <f>IF('Données projet'!$A$36&gt;35,N32+M33-V32,IF(A33&lt;'Données projet'!$A$36,$K$205^A33,IF(A33='Données projet'!$A$36,'Données projet'!$B$36,N32+M33-V32)))</f>
        <v>241.94999999999996</v>
      </c>
      <c r="O33" s="13">
        <f>N33*VLOOKUP('Données projet'!$B$9,Paramètres!$A$1:$I$89,3,0)*VLOOKUP('Données projet'!$B$9,Paramètres!$A$1:$I$89,5,0)</f>
        <v>113.23259999999998</v>
      </c>
      <c r="P33" s="13">
        <f t="shared" si="33"/>
        <v>30.091321735544206</v>
      </c>
      <c r="Q33" s="20">
        <f t="shared" si="2"/>
        <v>249.62249702273948</v>
      </c>
      <c r="R33" s="59">
        <f t="shared" si="0"/>
        <v>542.95583035607274</v>
      </c>
      <c r="S33" s="59">
        <f ca="1">AVERAGE(OFFSET($R$3,0,0,'Données projet'!$E$9+1,1))-AVERAGE(OFFSET($H$3,0,0,'Données projet'!$E$9+1,1))</f>
        <v>235.48251555416709</v>
      </c>
      <c r="T33" s="59">
        <f t="shared" si="34"/>
        <v>228.3457409585393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26.11440000000001</v>
      </c>
      <c r="D34" s="11">
        <f t="shared" si="32"/>
        <v>8.232036337964395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265.13038576674279</v>
      </c>
      <c r="H34" s="67">
        <f t="shared" si="1"/>
        <v>316.48670995528801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8.0650000000000013</v>
      </c>
      <c r="N34" s="13">
        <f>IF('Données projet'!$A$36&gt;35,N33+M34-V33,IF(A34&lt;'Données projet'!$A$36,$K$205^A34,IF(A34='Données projet'!$A$36,'Données projet'!$B$36,N33+M34-V33)))</f>
        <v>250.01499999999996</v>
      </c>
      <c r="O34" s="13">
        <f>N34*VLOOKUP('Données projet'!$B$9,Paramètres!$A$1:$I$89,3,0)*VLOOKUP('Données projet'!$B$9,Paramètres!$A$1:$I$89,5,0)</f>
        <v>117.00701999999998</v>
      </c>
      <c r="P34" s="13">
        <f t="shared" si="33"/>
        <v>30.975913022695782</v>
      </c>
      <c r="Q34" s="20">
        <f t="shared" si="2"/>
        <v>257.73694168119511</v>
      </c>
      <c r="R34" s="59">
        <f t="shared" si="0"/>
        <v>551.07027501452842</v>
      </c>
      <c r="S34" s="59">
        <f ca="1">AVERAGE(OFFSET($R$3,0,0,'Données projet'!$E$9+1,1))-AVERAGE(OFFSET($H$3,0,0,'Données projet'!$E$9+1,1))</f>
        <v>235.48251555416709</v>
      </c>
      <c r="T34" s="59">
        <f t="shared" si="34"/>
        <v>228.3457409585393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26.956800000000012</v>
      </c>
      <c r="D35" s="11">
        <f t="shared" si="32"/>
        <v>8.4662406112606785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273.44101524481937</v>
      </c>
      <c r="H35" s="67">
        <f t="shared" si="1"/>
        <v>318.36179573127902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8.0650000000000013</v>
      </c>
      <c r="N35" s="13">
        <f>IF('Données projet'!$A$36&gt;35,N34+M35-V34,IF(A35&lt;'Données projet'!$A$36,$K$205^A35,IF(A35='Données projet'!$A$36,'Données projet'!$B$36,N34+M35-V34)))</f>
        <v>258.08</v>
      </c>
      <c r="O35" s="13">
        <f>N35*VLOOKUP('Données projet'!$B$9,Paramètres!$A$1:$I$89,3,0)*VLOOKUP('Données projet'!$B$9,Paramètres!$A$1:$I$89,5,0)</f>
        <v>120.78143999999999</v>
      </c>
      <c r="P35" s="13">
        <f t="shared" si="33"/>
        <v>31.857188432731608</v>
      </c>
      <c r="Q35" s="20">
        <f t="shared" ref="Q35:Q66" si="53">(O35+P35)*0.475*44/12</f>
        <v>265.84561118700753</v>
      </c>
      <c r="R35" s="59">
        <f t="shared" si="0"/>
        <v>559.17894452034079</v>
      </c>
      <c r="S35" s="59">
        <f ca="1">AVERAGE(OFFSET($R$3,0,0,'Données projet'!$E$9+1,1))-AVERAGE(OFFSET($H$3,0,0,'Données projet'!$E$9+1,1))</f>
        <v>235.48251555416709</v>
      </c>
      <c r="T35" s="59">
        <f t="shared" si="34"/>
        <v>228.3457409585393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27.799200000000013</v>
      </c>
      <c r="D36" s="11">
        <f t="shared" si="32"/>
        <v>8.6995943678063394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281.74507933043503</v>
      </c>
      <c r="H36" s="67">
        <f t="shared" si="1"/>
        <v>320.23540019059607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8.0650000000000013</v>
      </c>
      <c r="N36" s="13">
        <f>IF('Données projet'!$A$36&gt;35,N35+M36-V35,IF(A36&lt;'Données projet'!$A$36,$K$205^A36,IF(A36='Données projet'!$A$36,'Données projet'!$B$36,N35+M36-V35)))</f>
        <v>266.14499999999998</v>
      </c>
      <c r="O36" s="13">
        <f>N36*VLOOKUP('Données projet'!$B$9,Paramètres!$A$1:$I$89,3,0)*VLOOKUP('Données projet'!$B$9,Paramètres!$A$1:$I$89,5,0)</f>
        <v>124.55586</v>
      </c>
      <c r="P36" s="13">
        <f t="shared" si="33"/>
        <v>32.735263476319801</v>
      </c>
      <c r="Q36" s="20">
        <f t="shared" si="53"/>
        <v>273.948706721257</v>
      </c>
      <c r="R36" s="59">
        <f t="shared" si="0"/>
        <v>567.28204005459031</v>
      </c>
      <c r="S36" s="59">
        <f ca="1">AVERAGE(OFFSET($R$3,0,0,'Données projet'!$E$9+1,1))-AVERAGE(OFFSET($H$3,0,0,'Données projet'!$E$9+1,1))</f>
        <v>235.48251555416709</v>
      </c>
      <c r="T36" s="59">
        <f t="shared" si="34"/>
        <v>228.3457409585393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28.641600000000015</v>
      </c>
      <c r="D37" s="11">
        <f t="shared" si="32"/>
        <v>8.9321263390731787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290.04279981038957</v>
      </c>
      <c r="H37" s="67">
        <f t="shared" si="1"/>
        <v>322.10757337388583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8.0650000000000013</v>
      </c>
      <c r="N37" s="13">
        <f>IF('Données projet'!$A$36&gt;35,N36+M37-V36,IF(A37&lt;'Données projet'!$A$36,$K$205^A37,IF(A37='Données projet'!$A$36,'Données projet'!$B$36,N36+M37-V36)))</f>
        <v>274.20999999999998</v>
      </c>
      <c r="O37" s="13">
        <f>N37*VLOOKUP('Données projet'!$B$9,Paramètres!$A$1:$I$89,3,0)*VLOOKUP('Données projet'!$B$9,Paramètres!$A$1:$I$89,5,0)</f>
        <v>128.33027999999999</v>
      </c>
      <c r="P37" s="13">
        <f t="shared" si="33"/>
        <v>33.610246265661885</v>
      </c>
      <c r="Q37" s="20">
        <f t="shared" si="53"/>
        <v>282.04641657936111</v>
      </c>
      <c r="R37" s="59">
        <f t="shared" si="0"/>
        <v>575.37974991269448</v>
      </c>
      <c r="S37" s="59">
        <f ca="1">AVERAGE(OFFSET($R$3,0,0,'Données projet'!$E$9+1,1))-AVERAGE(OFFSET($H$3,0,0,'Données projet'!$E$9+1,1))</f>
        <v>235.48251555416709</v>
      </c>
      <c r="T37" s="59">
        <f t="shared" si="34"/>
        <v>228.3457409585393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29.484000000000016</v>
      </c>
      <c r="D38" s="11">
        <f t="shared" si="32"/>
        <v>9.1638634703614414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298.33438468349198</v>
      </c>
      <c r="H38" s="67">
        <f t="shared" si="1"/>
        <v>323.97836221087954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8.0650000000000013</v>
      </c>
      <c r="N38" s="13">
        <f>IF('Données projet'!$A$36&gt;35,N37+M38-V37,IF(A38&lt;'Données projet'!$A$36,$K$205^A38,IF(A38='Données projet'!$A$36,'Données projet'!$B$36,N37+M38-V37)))</f>
        <v>282.27499999999998</v>
      </c>
      <c r="O38" s="13">
        <f>N38*VLOOKUP('Données projet'!$B$9,Paramètres!$A$1:$I$89,3,0)*VLOOKUP('Données projet'!$B$9,Paramètres!$A$1:$I$89,5,0)</f>
        <v>132.10469999999998</v>
      </c>
      <c r="P38" s="13">
        <f t="shared" si="33"/>
        <v>34.482238191864838</v>
      </c>
      <c r="Q38" s="20">
        <f t="shared" si="53"/>
        <v>290.13891735083121</v>
      </c>
      <c r="R38" s="59">
        <f t="shared" si="0"/>
        <v>583.47225068416446</v>
      </c>
      <c r="S38" s="59">
        <f ca="1">AVERAGE(OFFSET($R$3,0,0,'Données projet'!$E$9+1,1))-AVERAGE(OFFSET($H$3,0,0,'Données projet'!$E$9+1,1))</f>
        <v>235.48251555416709</v>
      </c>
      <c r="T38" s="59">
        <f t="shared" si="34"/>
        <v>228.3457409585393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30.326400000000017</v>
      </c>
      <c r="D39" s="11">
        <f t="shared" si="32"/>
        <v>9.3948310796639891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306.62002938688005</v>
      </c>
      <c r="H39" s="67">
        <f t="shared" si="1"/>
        <v>325.84781079708148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8.0650000000000013</v>
      </c>
      <c r="N39" s="13">
        <f>IF('Données projet'!$A$36&gt;35,N38+M39-V38,IF(A39&lt;'Données projet'!$A$36,$K$205^A39,IF(A39='Données projet'!$A$36,'Données projet'!$B$36,N38+M39-V38)))</f>
        <v>290.33999999999997</v>
      </c>
      <c r="O39" s="13">
        <f>N39*VLOOKUP('Données projet'!$B$9,Paramètres!$A$1:$I$89,3,0)*VLOOKUP('Données projet'!$B$9,Paramètres!$A$1:$I$89,5,0)</f>
        <v>135.87912</v>
      </c>
      <c r="P39" s="13">
        <f t="shared" si="33"/>
        <v>35.351334522723008</v>
      </c>
      <c r="Q39" s="20">
        <f t="shared" si="53"/>
        <v>298.2263749604092</v>
      </c>
      <c r="R39" s="59">
        <f t="shared" si="0"/>
        <v>591.55970829374246</v>
      </c>
      <c r="S39" s="59">
        <f ca="1">AVERAGE(OFFSET($R$3,0,0,'Données projet'!$E$9+1,1))-AVERAGE(OFFSET($H$3,0,0,'Données projet'!$E$9+1,1))</f>
        <v>235.48251555416709</v>
      </c>
      <c r="T39" s="59">
        <f t="shared" si="34"/>
        <v>228.3457409585393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31.168800000000019</v>
      </c>
      <c r="D40" s="11">
        <f t="shared" si="32"/>
        <v>9.6250529983827224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314.89991788225274</v>
      </c>
      <c r="H40" s="67">
        <f t="shared" si="1"/>
        <v>327.71596063884994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8.0650000000000013</v>
      </c>
      <c r="N40" s="13">
        <f>IF('Données projet'!$A$36&gt;35,N39+M40-V39,IF(A40&lt;'Données projet'!$A$36,$K$205^A40,IF(A40='Données projet'!$A$36,'Données projet'!$B$36,N39+M40-V39)))</f>
        <v>298.40499999999997</v>
      </c>
      <c r="O40" s="13">
        <f>N40*VLOOKUP('Données projet'!$B$9,Paramètres!$A$1:$I$89,3,0)*VLOOKUP('Données projet'!$B$9,Paramètres!$A$1:$I$89,5,0)</f>
        <v>139.65353999999999</v>
      </c>
      <c r="P40" s="13">
        <f t="shared" si="33"/>
        <v>36.217624932212722</v>
      </c>
      <c r="Q40" s="20">
        <f t="shared" si="53"/>
        <v>306.30894559027047</v>
      </c>
      <c r="R40" s="59">
        <f t="shared" si="0"/>
        <v>599.64227892360373</v>
      </c>
      <c r="S40" s="59">
        <f ca="1">AVERAGE(OFFSET($R$3,0,0,'Données projet'!$E$9+1,1))-AVERAGE(OFFSET($H$3,0,0,'Données projet'!$E$9+1,1))</f>
        <v>235.48251555416709</v>
      </c>
      <c r="T40" s="59">
        <f t="shared" si="34"/>
        <v>228.3457409585393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32.011200000000017</v>
      </c>
      <c r="D41" s="11">
        <f t="shared" si="32"/>
        <v>9.8545516964045827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323.17422362136887</v>
      </c>
      <c r="H41" s="67">
        <f t="shared" si="1"/>
        <v>329.58285087123801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8.0650000000000013</v>
      </c>
      <c r="N41" s="13">
        <f>IF('Données projet'!$A$36&gt;35,N40+M41-V40,IF(A41&lt;'Données projet'!$A$36,$K$205^A41,IF(A41='Données projet'!$A$36,'Données projet'!$B$36,N40+M41-V40)))</f>
        <v>306.46999999999997</v>
      </c>
      <c r="O41" s="13">
        <f>N41*VLOOKUP('Données projet'!$B$9,Paramètres!$A$1:$I$89,3,0)*VLOOKUP('Données projet'!$B$9,Paramètres!$A$1:$I$89,5,0)</f>
        <v>143.42795999999998</v>
      </c>
      <c r="P41" s="13">
        <f t="shared" si="33"/>
        <v>37.081193971134773</v>
      </c>
      <c r="Q41" s="20">
        <f t="shared" si="53"/>
        <v>314.38677649972635</v>
      </c>
      <c r="R41" s="59">
        <f t="shared" si="0"/>
        <v>607.72010983305972</v>
      </c>
      <c r="S41" s="59">
        <f ca="1">AVERAGE(OFFSET($R$3,0,0,'Données projet'!$E$9+1,1))-AVERAGE(OFFSET($H$3,0,0,'Données projet'!$E$9+1,1))</f>
        <v>235.48251555416709</v>
      </c>
      <c r="T41" s="59">
        <f t="shared" si="34"/>
        <v>228.3457409585393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32.853600000000014</v>
      </c>
      <c r="D42" s="11">
        <f t="shared" si="32"/>
        <v>10.083348393641282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331.4431104070556</v>
      </c>
      <c r="H42" s="67">
        <f t="shared" si="1"/>
        <v>331.44851845225861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8.0650000000000013</v>
      </c>
      <c r="N42" s="13">
        <f>IF('Données projet'!$A$36&gt;35,N41+M42-V41,IF(A42&lt;'Données projet'!$A$36,$K$205^A42,IF(A42='Données projet'!$A$36,'Données projet'!$B$36,N41+M42-V41)))</f>
        <v>314.53499999999997</v>
      </c>
      <c r="O42" s="13">
        <f>N42*VLOOKUP('Données projet'!$B$9,Paramètres!$A$1:$I$89,3,0)*VLOOKUP('Données projet'!$B$9,Paramètres!$A$1:$I$89,5,0)</f>
        <v>147.20238000000001</v>
      </c>
      <c r="P42" s="13">
        <f t="shared" si="33"/>
        <v>37.9421214868212</v>
      </c>
      <c r="Q42" s="20">
        <f t="shared" si="53"/>
        <v>322.46000675621355</v>
      </c>
      <c r="R42" s="59">
        <f t="shared" si="0"/>
        <v>615.79334008954686</v>
      </c>
      <c r="S42" s="59">
        <f ca="1">AVERAGE(OFFSET($R$3,0,0,'Données projet'!$E$9+1,1))-AVERAGE(OFFSET($H$3,0,0,'Données projet'!$E$9+1,1))</f>
        <v>235.48251555416709</v>
      </c>
      <c r="T42" s="59">
        <f t="shared" si="34"/>
        <v>228.3457409585393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33.696000000000012</v>
      </c>
      <c r="D43" s="11">
        <f t="shared" si="32"/>
        <v>10.311463159807191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339.70673316342402</v>
      </c>
      <c r="H43" s="67">
        <f t="shared" si="1"/>
        <v>333.31299833666424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8.0650000000000013</v>
      </c>
      <c r="N43" s="13">
        <f>IF('Données projet'!$A$36&gt;35,N42+M43-V42,IF(A43&lt;'Données projet'!$A$36,$K$205^A43,IF(A43='Données projet'!$A$36,'Données projet'!$B$36,N42+M43-V42)))</f>
        <v>322.59999999999997</v>
      </c>
      <c r="O43" s="13">
        <f>N43*VLOOKUP('Données projet'!$B$9,Paramètres!$A$1:$I$89,3,0)*VLOOKUP('Données projet'!$B$9,Paramètres!$A$1:$I$89,5,0)</f>
        <v>150.97679999999997</v>
      </c>
      <c r="P43" s="13">
        <f t="shared" si="33"/>
        <v>38.800482998584769</v>
      </c>
      <c r="Q43" s="20">
        <f t="shared" si="53"/>
        <v>330.52876788920173</v>
      </c>
      <c r="R43" s="59">
        <f t="shared" si="0"/>
        <v>623.8621012225351</v>
      </c>
      <c r="S43" s="59">
        <f ca="1">AVERAGE(OFFSET($R$3,0,0,'Données projet'!$E$9+1,1))-AVERAGE(OFFSET($H$3,0,0,'Données projet'!$E$9+1,1))</f>
        <v>235.48251555416709</v>
      </c>
      <c r="T43" s="59">
        <f t="shared" si="34"/>
        <v>228.3457409585393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34.53840000000001</v>
      </c>
      <c r="D44" s="11">
        <f t="shared" si="32"/>
        <v>10.538915003938563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347.96523862689429</v>
      </c>
      <c r="H44" s="67">
        <f t="shared" si="1"/>
        <v>335.1763236318597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8.0650000000000013</v>
      </c>
      <c r="N44" s="13">
        <f>IF('Données projet'!$A$36&gt;35,N43+M44-V43,IF(A44&lt;'Données projet'!$A$36,$K$205^A44,IF(A44='Données projet'!$A$36,'Données projet'!$B$36,N43+M44-V43)))</f>
        <v>330.66499999999996</v>
      </c>
      <c r="O44" s="13">
        <f>N44*VLOOKUP('Données projet'!$B$9,Paramètres!$A$1:$I$89,3,0)*VLOOKUP('Données projet'!$B$9,Paramètres!$A$1:$I$89,5,0)</f>
        <v>154.75121999999999</v>
      </c>
      <c r="P44" s="13">
        <f t="shared" si="33"/>
        <v>39.656350034566181</v>
      </c>
      <c r="Q44" s="20">
        <f t="shared" si="53"/>
        <v>338.5931844768694</v>
      </c>
      <c r="R44" s="59">
        <f t="shared" si="0"/>
        <v>631.92651781020277</v>
      </c>
      <c r="S44" s="59">
        <f ca="1">AVERAGE(OFFSET($R$3,0,0,'Données projet'!$E$9+1,1))-AVERAGE(OFFSET($H$3,0,0,'Données projet'!$E$9+1,1))</f>
        <v>235.48251555416709</v>
      </c>
      <c r="T44" s="59">
        <f t="shared" si="34"/>
        <v>228.3457409585393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35.380800000000008</v>
      </c>
      <c r="D45" s="11">
        <f t="shared" si="32"/>
        <v>10.765721954933246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356.21876596790588</v>
      </c>
      <c r="H45" s="67">
        <f t="shared" si="1"/>
        <v>337.03852573817545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338.73</v>
      </c>
      <c r="L45" s="12">
        <f>VLOOKUP(A45,'Données projet'!$A$35:$I$55,9,0)</f>
        <v>8.0650000000000013</v>
      </c>
      <c r="M45" s="12">
        <f t="array" ref="M45">INDEX(L:L,MIN(IF(ISNUMBER(L45:L241),ROW(L45:L241),"")))</f>
        <v>8.0650000000000013</v>
      </c>
      <c r="N45" s="13">
        <f>IF('Données projet'!$A$36&gt;35,N44+M45-V44,IF(A45&lt;'Données projet'!$A$36,$K$205^A45,IF(A45='Données projet'!$A$36,'Données projet'!$B$36,N44+M45-V44)))</f>
        <v>338.72999999999996</v>
      </c>
      <c r="O45" s="13">
        <f>N45*VLOOKUP('Données projet'!$B$9,Paramètres!$A$1:$I$89,3,0)*VLOOKUP('Données projet'!$B$9,Paramètres!$A$1:$I$89,5,0)</f>
        <v>158.52563999999998</v>
      </c>
      <c r="P45" s="13">
        <f t="shared" si="33"/>
        <v>40.509790434793032</v>
      </c>
      <c r="Q45" s="20">
        <f t="shared" si="53"/>
        <v>346.65337467393118</v>
      </c>
      <c r="R45" s="59">
        <f t="shared" si="0"/>
        <v>639.9867080072645</v>
      </c>
      <c r="S45" s="59">
        <f ca="1">AVERAGE(OFFSET($R$3,0,0,'Données projet'!$E$9+1,1))-AVERAGE(OFFSET($H$3,0,0,'Données projet'!$E$9+1,1))</f>
        <v>235.48251555416709</v>
      </c>
      <c r="T45" s="59">
        <f t="shared" si="34"/>
        <v>228.3457409585393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105.41</v>
      </c>
      <c r="W45" s="16">
        <f>IF(ISNA(VLOOKUP(A45,'Données projet'!$A$35:$I$55,5,0)),0%,VLOOKUP(A45,'Données projet'!$A$35:$I$55,5,0)*VLOOKUP('Données projet'!$B$9,Paramètres!$A$1:$I$89,7,0))</f>
        <v>0.27500000000000002</v>
      </c>
      <c r="X45" s="16">
        <f>IF(ISNA(VLOOKUP(A45,'Données projet'!$A$35:$I$55,6,0)),0%,VLOOKUP(A45,'Données projet'!$A$35:$I$55,6,0)*VLOOKUP('Données projet'!$B$9,Paramètres!$A$1:$I$89,7,0))</f>
        <v>0.27500000000000002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17.996527595202405</v>
      </c>
      <c r="AA45" s="21">
        <f>EXP(-LN(2)/25)*AA44+(1-EXP(-LN(2)/25))/(LN(2)/25)*Calculateur!V45*Calculateur!X45*VLOOKUP('Données projet'!$B$9,Paramètres!$A$1:$I$89,3,0)*0.475*44/12</f>
        <v>17.925668408845485</v>
      </c>
      <c r="AB45" s="21">
        <f>EXP(-LN(2)/2)*AB44+(1-EXP(-LN(2)/2))/(LN(2)/2)*V45*Y45*VLOOKUP('Données projet'!$B$9,Paramètres!$A$1:$I$89,3,0)*0.475*44/12</f>
        <v>0</v>
      </c>
      <c r="AC45" s="22">
        <f t="shared" si="3"/>
        <v>35.92219600404789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36.223200000000006</v>
      </c>
      <c r="D46" s="11">
        <f t="shared" si="32"/>
        <v>10.991901134203907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364.46744735174957</v>
      </c>
      <c r="H46" s="67">
        <f t="shared" si="1"/>
        <v>338.89963447540515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17.0825</v>
      </c>
      <c r="N46" s="13">
        <f>IF('Données projet'!$A$36&gt;35,N45+M46-V45,IF(A46&lt;'Données projet'!$A$36,$K$205^A46,IF(A46='Données projet'!$A$36,'Données projet'!$B$36,N45+M46-V45)))</f>
        <v>250.40249999999995</v>
      </c>
      <c r="O46" s="13">
        <f>N46*VLOOKUP('Données projet'!$B$9,Paramètres!$A$1:$I$89,3,0)*VLOOKUP('Données projet'!$B$9,Paramètres!$A$1:$I$89,5,0)</f>
        <v>117.18836999999998</v>
      </c>
      <c r="P46" s="13">
        <f t="shared" si="33"/>
        <v>31.018330643962909</v>
      </c>
      <c r="Q46" s="20">
        <f t="shared" si="53"/>
        <v>258.12667028823529</v>
      </c>
      <c r="R46" s="59">
        <f t="shared" si="0"/>
        <v>551.4600036215686</v>
      </c>
      <c r="S46" s="59">
        <f ca="1">AVERAGE(OFFSET($R$3,0,0,'Données projet'!$E$9+1,1))-AVERAGE(OFFSET($H$3,0,0,'Données projet'!$E$9+1,1))</f>
        <v>235.48251555416709</v>
      </c>
      <c r="T46" s="59">
        <f t="shared" si="34"/>
        <v>228.3457409585393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17.643626665858449</v>
      </c>
      <c r="AA46" s="21">
        <f>EXP(-LN(2)/25)*AA45+(1-EXP(-LN(2)/25))/(LN(2)/25)*Calculateur!V46*Calculateur!X46*VLOOKUP('Données projet'!$B$9,Paramètres!$A$1:$I$89,3,0)*0.475*44/12</f>
        <v>17.435490063535674</v>
      </c>
      <c r="AB46" s="21">
        <f>EXP(-LN(2)/2)*AB45+(1-EXP(-LN(2)/2))/(LN(2)/2)*V46*Y46*VLOOKUP('Données projet'!$B$9,Paramètres!$A$1:$I$89,3,0)*0.475*44/12</f>
        <v>0</v>
      </c>
      <c r="AC46" s="22">
        <f t="shared" si="3"/>
        <v>35.079116729394123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37.065600000000003</v>
      </c>
      <c r="D47" s="11">
        <f t="shared" si="32"/>
        <v>11.217468821382386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372.71140844575876</v>
      </c>
      <c r="H47" s="67">
        <f t="shared" si="1"/>
        <v>340.75967819724099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17.0825</v>
      </c>
      <c r="N47" s="13">
        <f>IF('Données projet'!$A$36&gt;35,N46+M47-V46,IF(A47&lt;'Données projet'!$A$36,$K$205^A47,IF(A47='Données projet'!$A$36,'Données projet'!$B$36,N46+M47-V46)))</f>
        <v>267.48499999999996</v>
      </c>
      <c r="O47" s="13">
        <f>N47*VLOOKUP('Données projet'!$B$9,Paramètres!$A$1:$I$89,3,0)*VLOOKUP('Données projet'!$B$9,Paramètres!$A$1:$I$89,5,0)</f>
        <v>125.18297999999997</v>
      </c>
      <c r="P47" s="13">
        <f t="shared" si="33"/>
        <v>32.880853291065115</v>
      </c>
      <c r="Q47" s="20">
        <f t="shared" si="53"/>
        <v>275.29450964860507</v>
      </c>
      <c r="R47" s="59">
        <f t="shared" si="0"/>
        <v>568.62784298193833</v>
      </c>
      <c r="S47" s="59">
        <f ca="1">AVERAGE(OFFSET($R$3,0,0,'Données projet'!$E$9+1,1))-AVERAGE(OFFSET($H$3,0,0,'Données projet'!$E$9+1,1))</f>
        <v>235.48251555416709</v>
      </c>
      <c r="T47" s="59">
        <f t="shared" si="34"/>
        <v>228.3457409585393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17.297645908490615</v>
      </c>
      <c r="AA47" s="21">
        <f>EXP(-LN(2)/25)*AA46+(1-EXP(-LN(2)/25))/(LN(2)/25)*Calculateur!V47*Calculateur!X47*VLOOKUP('Données projet'!$B$9,Paramètres!$A$1:$I$89,3,0)*0.475*44/12</f>
        <v>16.958715670855717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34.256361579346333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37.908000000000001</v>
      </c>
      <c r="D48" s="11">
        <f t="shared" si="32"/>
        <v>11.442440513882531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380.95076887909323</v>
      </c>
      <c r="H48" s="67">
        <f t="shared" si="1"/>
        <v>342.61868389501211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17.0825</v>
      </c>
      <c r="N48" s="13">
        <f>IF('Données projet'!$A$36&gt;35,N47+M48-V47,IF(A48&lt;'Données projet'!$A$36,$K$205^A48,IF(A48='Données projet'!$A$36,'Données projet'!$B$36,N47+M48-V47)))</f>
        <v>284.56749999999994</v>
      </c>
      <c r="O48" s="13">
        <f>N48*VLOOKUP('Données projet'!$B$9,Paramètres!$A$1:$I$89,3,0)*VLOOKUP('Données projet'!$B$9,Paramètres!$A$1:$I$89,5,0)</f>
        <v>133.17758999999995</v>
      </c>
      <c r="P48" s="13">
        <f t="shared" si="33"/>
        <v>34.729571936984776</v>
      </c>
      <c r="Q48" s="20">
        <f t="shared" si="53"/>
        <v>292.43830704024839</v>
      </c>
      <c r="R48" s="59">
        <f t="shared" si="0"/>
        <v>585.7716403735817</v>
      </c>
      <c r="S48" s="59">
        <f ca="1">AVERAGE(OFFSET($R$3,0,0,'Données projet'!$E$9+1,1))-AVERAGE(OFFSET($H$3,0,0,'Données projet'!$E$9+1,1))</f>
        <v>235.48251555416709</v>
      </c>
      <c r="T48" s="59">
        <f t="shared" si="34"/>
        <v>228.3457409585393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16.958449622747342</v>
      </c>
      <c r="AA48" s="21">
        <f>EXP(-LN(2)/25)*AA47+(1-EXP(-LN(2)/25))/(LN(2)/25)*Calculateur!V48*Calculateur!X48*VLOOKUP('Données projet'!$B$9,Paramètres!$A$1:$I$89,3,0)*0.475*44/12</f>
        <v>16.49497869901607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33.453428321763411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38.750399999999999</v>
      </c>
      <c r="D49" s="11">
        <f t="shared" si="32"/>
        <v>11.666830981019302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389.18564266049992</v>
      </c>
      <c r="H49" s="67">
        <f t="shared" si="1"/>
        <v>344.47667729194194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17.0825</v>
      </c>
      <c r="N49" s="13">
        <f>IF('Données projet'!$A$36&gt;35,N48+M49-V48,IF(A49&lt;'Données projet'!$A$36,$K$205^A49,IF(A49='Données projet'!$A$36,'Données projet'!$B$36,N48+M49-V48)))</f>
        <v>301.64999999999992</v>
      </c>
      <c r="O49" s="13">
        <f>N49*VLOOKUP('Données projet'!$B$9,Paramètres!$A$1:$I$89,3,0)*VLOOKUP('Données projet'!$B$9,Paramètres!$A$1:$I$89,5,0)</f>
        <v>141.17219999999995</v>
      </c>
      <c r="P49" s="13">
        <f t="shared" si="33"/>
        <v>36.565409603396844</v>
      </c>
      <c r="Q49" s="20">
        <f t="shared" si="53"/>
        <v>309.55967005924936</v>
      </c>
      <c r="R49" s="59">
        <f t="shared" si="0"/>
        <v>602.89300339258261</v>
      </c>
      <c r="S49" s="59">
        <f ca="1">AVERAGE(OFFSET($R$3,0,0,'Données projet'!$E$9+1,1))-AVERAGE(OFFSET($H$3,0,0,'Données projet'!$E$9+1,1))</f>
        <v>235.48251555416709</v>
      </c>
      <c r="T49" s="59">
        <f t="shared" si="34"/>
        <v>228.3457409585393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16.625904769278186</v>
      </c>
      <c r="AA49" s="21">
        <f>EXP(-LN(2)/25)*AA48+(1-EXP(-LN(2)/25))/(LN(2)/25)*Calculateur!V49*Calculateur!X49*VLOOKUP('Données projet'!$B$9,Paramètres!$A$1:$I$89,3,0)*0.475*44/12</f>
        <v>16.043922639058245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32.669827408336431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39.592799999999997</v>
      </c>
      <c r="D50" s="11">
        <f t="shared" si="32"/>
        <v>11.890654313289097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397.41613855872288</v>
      </c>
      <c r="H50" s="67">
        <f t="shared" si="1"/>
        <v>346.33368292897853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17.0825</v>
      </c>
      <c r="N50" s="13">
        <f>IF('Données projet'!$A$36&gt;35,N49+M50-V49,IF(A50&lt;'Données projet'!$A$36,$K$205^A50,IF(A50='Données projet'!$A$36,'Données projet'!$B$36,N49+M50-V49)))</f>
        <v>318.7324999999999</v>
      </c>
      <c r="O50" s="13">
        <f>N50*VLOOKUP('Données projet'!$B$9,Paramètres!$A$1:$I$89,3,0)*VLOOKUP('Données projet'!$B$9,Paramètres!$A$1:$I$89,5,0)</f>
        <v>149.16680999999994</v>
      </c>
      <c r="P50" s="13">
        <f t="shared" si="33"/>
        <v>38.389178865510175</v>
      </c>
      <c r="Q50" s="20">
        <f t="shared" si="53"/>
        <v>326.66001394076346</v>
      </c>
      <c r="R50" s="59">
        <f t="shared" si="0"/>
        <v>619.99334727409678</v>
      </c>
      <c r="S50" s="59">
        <f ca="1">AVERAGE(OFFSET($R$3,0,0,'Données projet'!$E$9+1,1))-AVERAGE(OFFSET($H$3,0,0,'Données projet'!$E$9+1,1))</f>
        <v>235.48251555416709</v>
      </c>
      <c r="T50" s="59">
        <f t="shared" si="34"/>
        <v>228.3457409585393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16.299880917553228</v>
      </c>
      <c r="AA50" s="21">
        <f>EXP(-LN(2)/25)*AA49+(1-EXP(-LN(2)/25))/(LN(2)/25)*Calculateur!V50*Calculateur!X50*VLOOKUP('Données projet'!$B$9,Paramètres!$A$1:$I$89,3,0)*0.475*44/12</f>
        <v>15.605200730779975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31.905081648333201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40.435199999999995</v>
      </c>
      <c r="D51" s="11">
        <f t="shared" si="32"/>
        <v>12.113923967337671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405.64236044962405</v>
      </c>
      <c r="H51" s="67">
        <f t="shared" si="1"/>
        <v>348.18972424311312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17.0825</v>
      </c>
      <c r="N51" s="13">
        <f>IF('Données projet'!$A$36&gt;35,N50+M51-V50,IF(A51&lt;'Données projet'!$A$36,$K$205^A51,IF(A51='Données projet'!$A$36,'Données projet'!$B$36,N50+M51-V50)))</f>
        <v>335.81499999999988</v>
      </c>
      <c r="O51" s="13">
        <f>N51*VLOOKUP('Données projet'!$B$9,Paramètres!$A$1:$I$89,3,0)*VLOOKUP('Données projet'!$B$9,Paramètres!$A$1:$I$89,5,0)</f>
        <v>157.16141999999994</v>
      </c>
      <c r="P51" s="13">
        <f t="shared" si="33"/>
        <v>40.201600279169881</v>
      </c>
      <c r="Q51" s="20">
        <f t="shared" si="53"/>
        <v>343.74059365288736</v>
      </c>
      <c r="R51" s="59">
        <f t="shared" si="0"/>
        <v>637.07392698622061</v>
      </c>
      <c r="S51" s="59">
        <f ca="1">AVERAGE(OFFSET($R$3,0,0,'Données projet'!$E$9+1,1))-AVERAGE(OFFSET($H$3,0,0,'Données projet'!$E$9+1,1))</f>
        <v>235.48251555416709</v>
      </c>
      <c r="T51" s="59">
        <f t="shared" si="34"/>
        <v>228.3457409585393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15.980250194705683</v>
      </c>
      <c r="AA51" s="21">
        <f>EXP(-LN(2)/25)*AA50+(1-EXP(-LN(2)/25))/(LN(2)/25)*Calculateur!V51*Calculateur!X51*VLOOKUP('Données projet'!$B$9,Paramètres!$A$1:$I$89,3,0)*0.475*44/12</f>
        <v>15.178475696154957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31.158725890860637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41.277599999999993</v>
      </c>
      <c r="D52" s="11">
        <f t="shared" si="32"/>
        <v>12.336652807074945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413.86440763356092</v>
      </c>
      <c r="H52" s="67">
        <f t="shared" si="1"/>
        <v>350.04482363898887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17.0825</v>
      </c>
      <c r="N52" s="13">
        <f>IF('Données projet'!$A$36&gt;35,N51+M52-V51,IF(A52&lt;'Données projet'!$A$36,$K$205^A52,IF(A52='Données projet'!$A$36,'Données projet'!$B$36,N51+M52-V51)))</f>
        <v>352.89749999999987</v>
      </c>
      <c r="O52" s="13">
        <f>N52*VLOOKUP('Données projet'!$B$9,Paramètres!$A$1:$I$89,3,0)*VLOOKUP('Données projet'!$B$9,Paramètres!$A$1:$I$89,5,0)</f>
        <v>165.15602999999993</v>
      </c>
      <c r="P52" s="13">
        <f t="shared" si="33"/>
        <v>42.003316951820899</v>
      </c>
      <c r="Q52" s="20">
        <f t="shared" si="53"/>
        <v>360.8025292744212</v>
      </c>
      <c r="R52" s="59">
        <f t="shared" si="0"/>
        <v>654.13586260775446</v>
      </c>
      <c r="S52" s="59">
        <f ca="1">AVERAGE(OFFSET($R$3,0,0,'Données projet'!$E$9+1,1))-AVERAGE(OFFSET($H$3,0,0,'Données projet'!$E$9+1,1))</f>
        <v>235.48251555416709</v>
      </c>
      <c r="T52" s="59">
        <f t="shared" si="34"/>
        <v>228.3457409585393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15.666887235377688</v>
      </c>
      <c r="AA52" s="21">
        <f>EXP(-LN(2)/25)*AA51+(1-EXP(-LN(2)/25))/(LN(2)/25)*Calculateur!V52*Calculateur!X52*VLOOKUP('Données projet'!$B$9,Paramètres!$A$1:$I$89,3,0)*0.475*44/12</f>
        <v>14.763419480042254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30.430306715419942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42.11999999999999</v>
      </c>
      <c r="D53" s="11">
        <f t="shared" si="32"/>
        <v>12.558853141338753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422.08237512612362</v>
      </c>
      <c r="H53" s="67">
        <f t="shared" si="1"/>
        <v>351.89900255449834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369.98</v>
      </c>
      <c r="L53" s="12">
        <f>VLOOKUP(A53,'Données projet'!$A$35:$I$55,9,0)</f>
        <v>17.0825</v>
      </c>
      <c r="M53" s="12">
        <f t="array" ref="M53">INDEX(L:L,MIN(IF(ISNUMBER(L53:L249),ROW(L53:L249),"")))</f>
        <v>17.0825</v>
      </c>
      <c r="N53" s="13">
        <f>IF('Données projet'!$A$36&gt;35,N52+M53-V52,IF(A53&lt;'Données projet'!$A$36,$K$205^A53,IF(A53='Données projet'!$A$36,'Données projet'!$B$36,N52+M53-V52)))</f>
        <v>369.97999999999985</v>
      </c>
      <c r="O53" s="13">
        <f>N53*VLOOKUP('Données projet'!$B$9,Paramètres!$A$1:$I$89,3,0)*VLOOKUP('Données projet'!$B$9,Paramètres!$A$1:$I$89,5,0)</f>
        <v>173.15063999999995</v>
      </c>
      <c r="P53" s="13">
        <f t="shared" si="33"/>
        <v>43.79490621214714</v>
      </c>
      <c r="Q53" s="20">
        <f t="shared" si="53"/>
        <v>377.84682631948954</v>
      </c>
      <c r="R53" s="59">
        <f t="shared" si="0"/>
        <v>671.18015965282279</v>
      </c>
      <c r="S53" s="59">
        <f ca="1">AVERAGE(OFFSET($R$3,0,0,'Données projet'!$E$9+1,1))-AVERAGE(OFFSET($H$3,0,0,'Données projet'!$E$9+1,1))</f>
        <v>235.48251555416709</v>
      </c>
      <c r="T53" s="59">
        <f t="shared" si="34"/>
        <v>228.3457409585393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106.51</v>
      </c>
      <c r="W53" s="16">
        <f>IF(ISNA(VLOOKUP(A53,'Données projet'!$A$35:$I$55,5,0)),0%,VLOOKUP(A53,'Données projet'!$A$35:$I$55,5,0)*VLOOKUP('Données projet'!$B$9,Paramètres!$A$1:$I$89,7,0))</f>
        <v>0.38500000000000001</v>
      </c>
      <c r="X53" s="16">
        <f>IF(ISNA(VLOOKUP(A53,'Données projet'!$A$35:$I$55,6,0)),0%,VLOOKUP(A53,'Données projet'!$A$35:$I$55,6,0)*VLOOKUP('Données projet'!$B$9,Paramètres!$A$1:$I$89,7,0))</f>
        <v>0.16500000000000001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40.817730187772156</v>
      </c>
      <c r="AA53" s="21">
        <f>EXP(-LN(2)/25)*AA52+(1-EXP(-LN(2)/25))/(LN(2)/25)*Calculateur!V53*Calculateur!X53*VLOOKUP('Données projet'!$B$9,Paramètres!$A$1:$I$89,3,0)*0.475*44/12</f>
        <v>25.227351413085898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66.045081600858055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42.962399999999988</v>
      </c>
      <c r="D54" s="11">
        <f t="shared" si="32"/>
        <v>12.780536758460318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430.29635392495675</v>
      </c>
      <c r="H54" s="67">
        <f t="shared" si="1"/>
        <v>353.75228152098504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16.351249999999993</v>
      </c>
      <c r="N54" s="13">
        <f>IF('Données projet'!$A$36&gt;35,N53+M54-V53,IF(A54&lt;'Données projet'!$A$36,$K$205^A54,IF(A54='Données projet'!$A$36,'Données projet'!$B$36,N53+M54-V53)))</f>
        <v>279.82124999999985</v>
      </c>
      <c r="O54" s="13">
        <f>N54*VLOOKUP('Données projet'!$B$9,Paramètres!$A$1:$I$89,3,0)*VLOOKUP('Données projet'!$B$9,Paramètres!$A$1:$I$89,5,0)</f>
        <v>130.95634499999991</v>
      </c>
      <c r="P54" s="13">
        <f t="shared" si="33"/>
        <v>34.217248227276983</v>
      </c>
      <c r="Q54" s="20">
        <f t="shared" si="53"/>
        <v>287.67734153750729</v>
      </c>
      <c r="R54" s="59">
        <f t="shared" si="0"/>
        <v>581.0106748708406</v>
      </c>
      <c r="S54" s="59">
        <f ca="1">AVERAGE(OFFSET($R$3,0,0,'Données projet'!$E$9+1,1))-AVERAGE(OFFSET($H$3,0,0,'Données projet'!$E$9+1,1))</f>
        <v>235.48251555416709</v>
      </c>
      <c r="T54" s="59">
        <f t="shared" si="34"/>
        <v>228.3457409585393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40.017319395147048</v>
      </c>
      <c r="AA54" s="21">
        <f>EXP(-LN(2)/25)*AA53+(1-EXP(-LN(2)/25))/(LN(2)/25)*Calculateur!V54*Calculateur!X54*VLOOKUP('Données projet'!$B$9,Paramètres!$A$1:$I$89,3,0)*0.475*44/12</f>
        <v>24.537508162046311</v>
      </c>
      <c r="AB54" s="21">
        <f>EXP(-LN(2)/2)*AB53+(1-EXP(-LN(2)/2))/(LN(2)/2)*V54*Y54*VLOOKUP('Données projet'!$B$9,Paramètres!$A$1:$I$89,3,0)*0.475*44/12</f>
        <v>0</v>
      </c>
      <c r="AC54" s="22">
        <f t="shared" si="3"/>
        <v>64.554827557193363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43.804799999999986</v>
      </c>
      <c r="D55" s="11">
        <f t="shared" si="32"/>
        <v>13.001714958042184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438.50643125506241</v>
      </c>
      <c r="H55" s="67">
        <f t="shared" si="1"/>
        <v>355.60468021859015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16.351249999999993</v>
      </c>
      <c r="N55" s="13">
        <f>IF('Données projet'!$A$36&gt;35,N54+M55-V54,IF(A55&lt;'Données projet'!$A$36,$K$205^A55,IF(A55='Données projet'!$A$36,'Données projet'!$B$36,N54+M55-V54)))</f>
        <v>296.17249999999984</v>
      </c>
      <c r="O55" s="13">
        <f>N55*VLOOKUP('Données projet'!$B$9,Paramètres!$A$1:$I$89,3,0)*VLOOKUP('Données projet'!$B$9,Paramètres!$A$1:$I$89,5,0)</f>
        <v>138.60872999999992</v>
      </c>
      <c r="P55" s="13">
        <f t="shared" si="33"/>
        <v>35.978100050959966</v>
      </c>
      <c r="Q55" s="20">
        <f t="shared" si="53"/>
        <v>304.07206233875513</v>
      </c>
      <c r="R55" s="59">
        <f t="shared" si="0"/>
        <v>597.40539567208839</v>
      </c>
      <c r="S55" s="59">
        <f ca="1">AVERAGE(OFFSET($R$3,0,0,'Données projet'!$E$9+1,1))-AVERAGE(OFFSET($H$3,0,0,'Données projet'!$E$9+1,1))</f>
        <v>235.48251555416709</v>
      </c>
      <c r="T55" s="59">
        <f t="shared" si="34"/>
        <v>228.3457409585393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39.23260416996294</v>
      </c>
      <c r="AA55" s="21">
        <f>EXP(-LN(2)/25)*AA54+(1-EXP(-LN(2)/25))/(LN(2)/25)*Calculateur!V55*Calculateur!X55*VLOOKUP('Données projet'!$B$9,Paramètres!$A$1:$I$89,3,0)*0.475*44/12</f>
        <v>23.866528710983683</v>
      </c>
      <c r="AB55" s="21">
        <f>EXP(-LN(2)/2)*AB54+(1-EXP(-LN(2)/2))/(LN(2)/2)*V55*Y55*VLOOKUP('Données projet'!$B$9,Paramètres!$A$1:$I$89,3,0)*0.475*44/12</f>
        <v>0</v>
      </c>
      <c r="AC55" s="22">
        <f t="shared" si="3"/>
        <v>63.099132880946627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44.647199999999984</v>
      </c>
      <c r="D56" s="11">
        <f t="shared" si="32"/>
        <v>13.222398580222531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446.71269079470017</v>
      </c>
      <c r="H56" s="67">
        <f t="shared" si="1"/>
        <v>357.45621752722087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16.351249999999993</v>
      </c>
      <c r="N56" s="13">
        <f>IF('Données projet'!$A$36&gt;35,N55+M56-V55,IF(A56&lt;'Données projet'!$A$36,$K$205^A56,IF(A56='Données projet'!$A$36,'Données projet'!$B$36,N55+M56-V55)))</f>
        <v>312.52374999999984</v>
      </c>
      <c r="O56" s="13">
        <f>N56*VLOOKUP('Données projet'!$B$9,Paramètres!$A$1:$I$89,3,0)*VLOOKUP('Données projet'!$B$9,Paramètres!$A$1:$I$89,5,0)</f>
        <v>146.26111499999993</v>
      </c>
      <c r="P56" s="13">
        <f t="shared" si="33"/>
        <v>37.727666388687098</v>
      </c>
      <c r="Q56" s="20">
        <f t="shared" si="53"/>
        <v>320.44712758529653</v>
      </c>
      <c r="R56" s="59">
        <f t="shared" si="0"/>
        <v>613.78046091862984</v>
      </c>
      <c r="S56" s="59">
        <f ca="1">AVERAGE(OFFSET($R$3,0,0,'Données projet'!$E$9+1,1))-AVERAGE(OFFSET($H$3,0,0,'Données projet'!$E$9+1,1))</f>
        <v>235.48251555416709</v>
      </c>
      <c r="T56" s="59">
        <f t="shared" si="34"/>
        <v>228.3457409585393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38.463276731715666</v>
      </c>
      <c r="AA56" s="21">
        <f>EXP(-LN(2)/25)*AA55+(1-EXP(-LN(2)/25))/(LN(2)/25)*Calculateur!V56*Calculateur!X56*VLOOKUP('Données projet'!$B$9,Paramètres!$A$1:$I$89,3,0)*0.475*44/12</f>
        <v>23.213897228295636</v>
      </c>
      <c r="AB56" s="21">
        <f>EXP(-LN(2)/2)*AB55+(1-EXP(-LN(2)/2))/(LN(2)/2)*V56*Y56*VLOOKUP('Données projet'!$B$9,Paramètres!$A$1:$I$89,3,0)*0.475*44/12</f>
        <v>0</v>
      </c>
      <c r="AC56" s="22">
        <f t="shared" si="3"/>
        <v>61.677173960011302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45.489599999999982</v>
      </c>
      <c r="D57" s="11">
        <f t="shared" si="32"/>
        <v>13.442598032668434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454.91521288375628</v>
      </c>
      <c r="H57" s="67">
        <f t="shared" si="1"/>
        <v>359.30691157356415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16.351249999999993</v>
      </c>
      <c r="N57" s="13">
        <f>IF('Données projet'!$A$36&gt;35,N56+M57-V56,IF(A57&lt;'Données projet'!$A$36,$K$205^A57,IF(A57='Données projet'!$A$36,'Données projet'!$B$36,N56+M57-V56)))</f>
        <v>328.87499999999983</v>
      </c>
      <c r="O57" s="13">
        <f>N57*VLOOKUP('Données projet'!$B$9,Paramètres!$A$1:$I$89,3,0)*VLOOKUP('Données projet'!$B$9,Paramètres!$A$1:$I$89,5,0)</f>
        <v>153.91349999999991</v>
      </c>
      <c r="P57" s="13">
        <f t="shared" si="33"/>
        <v>39.466605038777566</v>
      </c>
      <c r="Q57" s="20">
        <f t="shared" si="53"/>
        <v>336.80368294253748</v>
      </c>
      <c r="R57" s="59">
        <f t="shared" si="0"/>
        <v>630.13701627587079</v>
      </c>
      <c r="S57" s="59">
        <f ca="1">AVERAGE(OFFSET($R$3,0,0,'Données projet'!$E$9+1,1))-AVERAGE(OFFSET($H$3,0,0,'Données projet'!$E$9+1,1))</f>
        <v>235.48251555416709</v>
      </c>
      <c r="T57" s="59">
        <f t="shared" si="34"/>
        <v>228.3457409585393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37.709035335289016</v>
      </c>
      <c r="AA57" s="21">
        <f>EXP(-LN(2)/25)*AA56+(1-EXP(-LN(2)/25))/(LN(2)/25)*Calculateur!V57*Calculateur!X57*VLOOKUP('Données projet'!$B$9,Paramètres!$A$1:$I$89,3,0)*0.475*44/12</f>
        <v>22.579111987822092</v>
      </c>
      <c r="AB57" s="21">
        <f>EXP(-LN(2)/2)*AB56+(1-EXP(-LN(2)/2))/(LN(2)/2)*V57*Y57*VLOOKUP('Données projet'!$B$9,Paramètres!$A$1:$I$89,3,0)*0.475*44/12</f>
        <v>0</v>
      </c>
      <c r="AC57" s="22">
        <f t="shared" si="3"/>
        <v>60.288147323111104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46.331999999999979</v>
      </c>
      <c r="D58" s="11">
        <f t="shared" si="32"/>
        <v>13.662323315513055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463.11407471624102</v>
      </c>
      <c r="H58" s="67">
        <f t="shared" si="1"/>
        <v>361.15677977451855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16.351249999999993</v>
      </c>
      <c r="N58" s="13">
        <f>IF('Données projet'!$A$36&gt;35,N57+M58-V57,IF(A58&lt;'Données projet'!$A$36,$K$205^A58,IF(A58='Données projet'!$A$36,'Données projet'!$B$36,N57+M58-V57)))</f>
        <v>345.22624999999982</v>
      </c>
      <c r="O58" s="13">
        <f>N58*VLOOKUP('Données projet'!$B$9,Paramètres!$A$1:$I$89,3,0)*VLOOKUP('Données projet'!$B$9,Paramètres!$A$1:$I$89,5,0)</f>
        <v>161.56588499999992</v>
      </c>
      <c r="P58" s="13">
        <f t="shared" si="33"/>
        <v>41.195504694677737</v>
      </c>
      <c r="Q58" s="20">
        <f t="shared" si="53"/>
        <v>353.14275371823027</v>
      </c>
      <c r="R58" s="59">
        <f t="shared" si="0"/>
        <v>646.47608705156358</v>
      </c>
      <c r="S58" s="59">
        <f ca="1">AVERAGE(OFFSET($R$3,0,0,'Données projet'!$E$9+1,1))-AVERAGE(OFFSET($H$3,0,0,'Données projet'!$E$9+1,1))</f>
        <v>235.48251555416709</v>
      </c>
      <c r="T58" s="59">
        <f t="shared" si="34"/>
        <v>228.3457409585393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36.969584152604469</v>
      </c>
      <c r="AA58" s="21">
        <f>EXP(-LN(2)/25)*AA57+(1-EXP(-LN(2)/25))/(LN(2)/25)*Calculateur!V58*Calculateur!X58*VLOOKUP('Données projet'!$B$9,Paramètres!$A$1:$I$89,3,0)*0.475*44/12</f>
        <v>21.961684983131203</v>
      </c>
      <c r="AB58" s="21">
        <f>EXP(-LN(2)/2)*AB57+(1-EXP(-LN(2)/2))/(LN(2)/2)*V58*Y58*VLOOKUP('Données projet'!$B$9,Paramètres!$A$1:$I$89,3,0)*0.475*44/12</f>
        <v>0</v>
      </c>
      <c r="AC58" s="22">
        <f t="shared" si="3"/>
        <v>58.931269135735675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47.174399999999977</v>
      </c>
      <c r="D59" s="11">
        <f t="shared" si="32"/>
        <v>13.881584044427926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471.30935051839083</v>
      </c>
      <c r="H59" s="67">
        <f t="shared" si="1"/>
        <v>363.00583887737861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16.351249999999993</v>
      </c>
      <c r="N59" s="13">
        <f>IF('Données projet'!$A$36&gt;35,N58+M59-V58,IF(A59&lt;'Données projet'!$A$36,$K$205^A59,IF(A59='Données projet'!$A$36,'Données projet'!$B$36,N58+M59-V58)))</f>
        <v>361.57749999999982</v>
      </c>
      <c r="O59" s="13">
        <f>N59*VLOOKUP('Données projet'!$B$9,Paramètres!$A$1:$I$89,3,0)*VLOOKUP('Données projet'!$B$9,Paramètres!$A$1:$I$89,5,0)</f>
        <v>169.2182699999999</v>
      </c>
      <c r="P59" s="13">
        <f t="shared" si="33"/>
        <v>42.914895133049136</v>
      </c>
      <c r="Q59" s="20">
        <f t="shared" si="53"/>
        <v>369.46526260672704</v>
      </c>
      <c r="R59" s="59">
        <f t="shared" si="0"/>
        <v>662.7985959400603</v>
      </c>
      <c r="S59" s="59">
        <f ca="1">AVERAGE(OFFSET($R$3,0,0,'Données projet'!$E$9+1,1))-AVERAGE(OFFSET($H$3,0,0,'Données projet'!$E$9+1,1))</f>
        <v>235.48251555416709</v>
      </c>
      <c r="T59" s="59">
        <f t="shared" si="34"/>
        <v>228.3457409585393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36.244633156591675</v>
      </c>
      <c r="AA59" s="21">
        <f>EXP(-LN(2)/25)*AA58+(1-EXP(-LN(2)/25))/(LN(2)/25)*Calculateur!V59*Calculateur!X59*VLOOKUP('Données projet'!$B$9,Paramètres!$A$1:$I$89,3,0)*0.475*44/12</f>
        <v>21.36114155235266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57.605774708944338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48.016799999999975</v>
      </c>
      <c r="D60" s="11">
        <f t="shared" si="32"/>
        <v>14.100389472000545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479.50111171368826</v>
      </c>
      <c r="H60" s="67">
        <f t="shared" si="1"/>
        <v>364.85410499706757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16.351249999999993</v>
      </c>
      <c r="N60" s="13">
        <f>IF('Données projet'!$A$36&gt;35,N59+M60-V59,IF(A60&lt;'Données projet'!$A$36,$K$205^A60,IF(A60='Données projet'!$A$36,'Données projet'!$B$36,N59+M60-V59)))</f>
        <v>377.92874999999981</v>
      </c>
      <c r="O60" s="13">
        <f>N60*VLOOKUP('Données projet'!$B$9,Paramètres!$A$1:$I$89,3,0)*VLOOKUP('Données projet'!$B$9,Paramètres!$A$1:$I$89,5,0)</f>
        <v>176.87065499999989</v>
      </c>
      <c r="P60" s="13">
        <f t="shared" si="33"/>
        <v>44.625255506871156</v>
      </c>
      <c r="Q60" s="20">
        <f t="shared" si="53"/>
        <v>385.77204413280037</v>
      </c>
      <c r="R60" s="59">
        <f t="shared" si="0"/>
        <v>679.10537746613363</v>
      </c>
      <c r="S60" s="59">
        <f ca="1">AVERAGE(OFFSET($R$3,0,0,'Données projet'!$E$9+1,1))-AVERAGE(OFFSET($H$3,0,0,'Données projet'!$E$9+1,1))</f>
        <v>235.48251555416709</v>
      </c>
      <c r="T60" s="59">
        <f t="shared" si="34"/>
        <v>228.3457409585393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35.533898007434246</v>
      </c>
      <c r="AA60" s="21">
        <f>EXP(-LN(2)/25)*AA59+(1-EXP(-LN(2)/25))/(LN(2)/25)*Calculateur!V60*Calculateur!X60*VLOOKUP('Données projet'!$B$9,Paramètres!$A$1:$I$89,3,0)*0.475*44/12</f>
        <v>20.777020013269965</v>
      </c>
      <c r="AB60" s="21">
        <f>EXP(-LN(2)/2)*AB59+(1-EXP(-LN(2)/2))/(LN(2)/2)*V60*Y60*VLOOKUP('Données projet'!$B$9,Paramètres!$A$1:$I$89,3,0)*0.475*44/12</f>
        <v>0</v>
      </c>
      <c r="AC60" s="22">
        <f t="shared" si="3"/>
        <v>56.310918020704207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48.859199999999973</v>
      </c>
      <c r="D61" s="11">
        <f t="shared" si="32"/>
        <v>14.318748507569309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487.68942707597347</v>
      </c>
      <c r="H61" s="67">
        <f t="shared" si="1"/>
        <v>366.70159365068315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394.28</v>
      </c>
      <c r="L61" s="12">
        <f>VLOOKUP(A61,'Données projet'!$A$35:$I$55,9,0)</f>
        <v>16.351249999999993</v>
      </c>
      <c r="M61" s="12">
        <f t="array" ref="M61">INDEX(L:L,MIN(IF(ISNUMBER(L61:L257),ROW(L61:L257),"")))</f>
        <v>16.351249999999993</v>
      </c>
      <c r="N61" s="13">
        <f>IF('Données projet'!$A$36&gt;35,N60+M61-V60,IF(A61&lt;'Données projet'!$A$36,$K$205^A61,IF(A61='Données projet'!$A$36,'Données projet'!$B$36,N60+M61-V60)))</f>
        <v>394.2799999999998</v>
      </c>
      <c r="O61" s="13">
        <f>N61*VLOOKUP('Données projet'!$B$9,Paramètres!$A$1:$I$89,3,0)*VLOOKUP('Données projet'!$B$9,Paramètres!$A$1:$I$89,5,0)</f>
        <v>184.5230399999999</v>
      </c>
      <c r="P61" s="13">
        <f t="shared" si="33"/>
        <v>46.327021162835059</v>
      </c>
      <c r="Q61" s="20">
        <f t="shared" si="53"/>
        <v>402.06385652527086</v>
      </c>
      <c r="R61" s="59">
        <f t="shared" si="0"/>
        <v>695.39718985860418</v>
      </c>
      <c r="S61" s="59">
        <f ca="1">AVERAGE(OFFSET($R$3,0,0,'Données projet'!$E$9+1,1))-AVERAGE(OFFSET($H$3,0,0,'Données projet'!$E$9+1,1))</f>
        <v>235.48251555416709</v>
      </c>
      <c r="T61" s="59">
        <f t="shared" si="34"/>
        <v>228.3457409585393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87.34</v>
      </c>
      <c r="W61" s="16">
        <f>IF(ISNA(VLOOKUP(A61,'Données projet'!$A$35:$I$55,5,0)),0%,VLOOKUP(A61,'Données projet'!$A$35:$I$55,5,0)*VLOOKUP('Données projet'!$B$9,Paramètres!$A$1:$I$89,7,0))</f>
        <v>0.38500000000000001</v>
      </c>
      <c r="X61" s="16">
        <f>IF(ISNA(VLOOKUP(A61,'Données projet'!$A$35:$I$55,6,0)),0%,VLOOKUP(A61,'Données projet'!$A$35:$I$55,6,0)*VLOOKUP('Données projet'!$B$9,Paramètres!$A$1:$I$89,7,0))</f>
        <v>0.16500000000000001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55.713140243019126</v>
      </c>
      <c r="AA61" s="21">
        <f>EXP(-LN(2)/25)*AA60+(1-EXP(-LN(2)/25))/(LN(2)/25)*Calculateur!V61*Calculateur!X61*VLOOKUP('Données projet'!$B$9,Paramètres!$A$1:$I$89,3,0)*0.475*44/12</f>
        <v>29.120518469923582</v>
      </c>
      <c r="AB61" s="21">
        <f>EXP(-LN(2)/2)*AB60+(1-EXP(-LN(2)/2))/(LN(2)/2)*V61*Y61*VLOOKUP('Données projet'!$B$9,Paramètres!$A$1:$I$89,3,0)*0.475*44/12</f>
        <v>0</v>
      </c>
      <c r="AC61" s="22">
        <f t="shared" si="3"/>
        <v>84.833658712942707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49.701599999999971</v>
      </c>
      <c r="D62" s="11">
        <f t="shared" si="32"/>
        <v>14.536669735651788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495.87436287169777</v>
      </c>
      <c r="H62" s="67">
        <f t="shared" si="1"/>
        <v>368.54831978959351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15.871250000000011</v>
      </c>
      <c r="N62" s="13">
        <f>IF('Données projet'!$A$36&gt;35,N61+M62-V61,IF(A62&lt;'Données projet'!$A$36,$K$205^A62,IF(A62='Données projet'!$A$36,'Données projet'!$B$36,N61+M62-V61)))</f>
        <v>322.81124999999986</v>
      </c>
      <c r="O62" s="13">
        <f>N62*VLOOKUP('Données projet'!$B$9,Paramètres!$A$1:$I$89,3,0)*VLOOKUP('Données projet'!$B$9,Paramètres!$A$1:$I$89,5,0)</f>
        <v>151.07566499999993</v>
      </c>
      <c r="P62" s="13">
        <f t="shared" si="33"/>
        <v>38.822932600572472</v>
      </c>
      <c r="Q62" s="20">
        <f t="shared" si="53"/>
        <v>330.74005748766359</v>
      </c>
      <c r="R62" s="59">
        <f t="shared" si="0"/>
        <v>624.07339082099691</v>
      </c>
      <c r="S62" s="59">
        <f ca="1">AVERAGE(OFFSET($R$3,0,0,'Données projet'!$E$9+1,1))-AVERAGE(OFFSET($H$3,0,0,'Données projet'!$E$9+1,1))</f>
        <v>235.48251555416709</v>
      </c>
      <c r="T62" s="59">
        <f t="shared" si="34"/>
        <v>228.3457409585393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54.620639544513658</v>
      </c>
      <c r="AA62" s="21">
        <f>EXP(-LN(2)/25)*AA61+(1-EXP(-LN(2)/25))/(LN(2)/25)*Calculateur!V62*Calculateur!X62*VLOOKUP('Données projet'!$B$9,Paramètres!$A$1:$I$89,3,0)*0.475*44/12</f>
        <v>28.32421636098201</v>
      </c>
      <c r="AB62" s="21">
        <f>EXP(-LN(2)/2)*AB61+(1-EXP(-LN(2)/2))/(LN(2)/2)*V62*Y62*VLOOKUP('Données projet'!$B$9,Paramètres!$A$1:$I$89,3,0)*0.475*44/12</f>
        <v>0</v>
      </c>
      <c r="AC62" s="22">
        <f t="shared" si="3"/>
        <v>82.944855905495672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50.543999999999969</v>
      </c>
      <c r="D63" s="11">
        <f t="shared" si="32"/>
        <v>14.754161433088246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504.05598299225989</v>
      </c>
      <c r="H63" s="67">
        <f t="shared" si="1"/>
        <v>370.39429782929534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15.871250000000011</v>
      </c>
      <c r="N63" s="13">
        <f>IF('Données projet'!$A$36&gt;35,N62+M63-V62,IF(A63&lt;'Données projet'!$A$36,$K$205^A63,IF(A63='Données projet'!$A$36,'Données projet'!$B$36,N62+M63-V62)))</f>
        <v>338.68249999999989</v>
      </c>
      <c r="O63" s="13">
        <f>N63*VLOOKUP('Données projet'!$B$9,Paramètres!$A$1:$I$89,3,0)*VLOOKUP('Données projet'!$B$9,Paramètres!$A$1:$I$89,5,0)</f>
        <v>158.50340999999995</v>
      </c>
      <c r="P63" s="13">
        <f t="shared" si="33"/>
        <v>40.504770949387769</v>
      </c>
      <c r="Q63" s="20">
        <f t="shared" si="53"/>
        <v>346.60591515351689</v>
      </c>
      <c r="R63" s="59">
        <f t="shared" si="0"/>
        <v>639.93924848685015</v>
      </c>
      <c r="S63" s="59">
        <f ca="1">AVERAGE(OFFSET($R$3,0,0,'Données projet'!$E$9+1,1))-AVERAGE(OFFSET($H$3,0,0,'Données projet'!$E$9+1,1))</f>
        <v>235.48251555416709</v>
      </c>
      <c r="T63" s="59">
        <f t="shared" si="34"/>
        <v>228.3457409585393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53.549562118346252</v>
      </c>
      <c r="AA63" s="21">
        <f>EXP(-LN(2)/25)*AA62+(1-EXP(-LN(2)/25))/(LN(2)/25)*Calculateur!V63*Calculateur!X63*VLOOKUP('Données projet'!$B$9,Paramètres!$A$1:$I$89,3,0)*0.475*44/12</f>
        <v>27.549689175085156</v>
      </c>
      <c r="AB63" s="21">
        <f>EXP(-LN(2)/2)*AB62+(1-EXP(-LN(2)/2))/(LN(2)/2)*V63*Y63*VLOOKUP('Données projet'!$B$9,Paramètres!$A$1:$I$89,3,0)*0.475*44/12</f>
        <v>0</v>
      </c>
      <c r="AC63" s="22">
        <f t="shared" si="3"/>
        <v>81.099251293431408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51.386399999999966</v>
      </c>
      <c r="D64" s="11">
        <f t="shared" si="32"/>
        <v>14.971231585009825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512.23434907726858</v>
      </c>
      <c r="H64" s="67">
        <f t="shared" si="1"/>
        <v>372.23954167722542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15.871250000000011</v>
      </c>
      <c r="N64" s="13">
        <f>IF('Données projet'!$A$36&gt;35,N63+M64-V63,IF(A64&lt;'Données projet'!$A$36,$K$205^A64,IF(A64='Données projet'!$A$36,'Données projet'!$B$36,N63+M64-V63)))</f>
        <v>354.55374999999992</v>
      </c>
      <c r="O64" s="13">
        <f>N64*VLOOKUP('Données projet'!$B$9,Paramètres!$A$1:$I$89,3,0)*VLOOKUP('Données projet'!$B$9,Paramètres!$A$1:$I$89,5,0)</f>
        <v>165.93115499999996</v>
      </c>
      <c r="P64" s="13">
        <f t="shared" si="33"/>
        <v>42.177456802388448</v>
      </c>
      <c r="Q64" s="20">
        <f t="shared" si="53"/>
        <v>362.45583222249314</v>
      </c>
      <c r="R64" s="59">
        <f t="shared" si="0"/>
        <v>655.78916555582646</v>
      </c>
      <c r="S64" s="59">
        <f ca="1">AVERAGE(OFFSET($R$3,0,0,'Données projet'!$E$9+1,1))-AVERAGE(OFFSET($H$3,0,0,'Données projet'!$E$9+1,1))</f>
        <v>235.48251555416709</v>
      </c>
      <c r="T64" s="59">
        <f t="shared" si="34"/>
        <v>228.3457409585393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52.499487867213269</v>
      </c>
      <c r="AA64" s="21">
        <f>EXP(-LN(2)/25)*AA63+(1-EXP(-LN(2)/25))/(LN(2)/25)*Calculateur!V64*Calculateur!X64*VLOOKUP('Données projet'!$B$9,Paramètres!$A$1:$I$89,3,0)*0.475*44/12</f>
        <v>26.796341475817265</v>
      </c>
      <c r="AB64" s="21">
        <f>EXP(-LN(2)/2)*AB63+(1-EXP(-LN(2)/2))/(LN(2)/2)*V64*Y64*VLOOKUP('Données projet'!$B$9,Paramètres!$A$1:$I$89,3,0)*0.475*44/12</f>
        <v>0</v>
      </c>
      <c r="AC64" s="22">
        <f t="shared" si="3"/>
        <v>79.295829343030533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52.228799999999964</v>
      </c>
      <c r="D65" s="11">
        <f t="shared" si="32"/>
        <v>15.187887899729997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520.40952062949441</v>
      </c>
      <c r="H65" s="67">
        <f t="shared" si="1"/>
        <v>374.08406475869634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15.871250000000011</v>
      </c>
      <c r="N65" s="13">
        <f>IF('Données projet'!$A$36&gt;35,N64+M65-V64,IF(A65&lt;'Données projet'!$A$36,$K$205^A65,IF(A65='Données projet'!$A$36,'Données projet'!$B$36,N64+M65-V64)))</f>
        <v>370.42499999999995</v>
      </c>
      <c r="O65" s="13">
        <f>N65*VLOOKUP('Données projet'!$B$9,Paramètres!$A$1:$I$89,3,0)*VLOOKUP('Données projet'!$B$9,Paramètres!$A$1:$I$89,5,0)</f>
        <v>173.35889999999998</v>
      </c>
      <c r="P65" s="13">
        <f t="shared" si="33"/>
        <v>43.841446673296076</v>
      </c>
      <c r="Q65" s="20">
        <f t="shared" si="53"/>
        <v>378.29060378932394</v>
      </c>
      <c r="R65" s="59">
        <f t="shared" si="0"/>
        <v>671.62393712265725</v>
      </c>
      <c r="S65" s="59">
        <f ca="1">AVERAGE(OFFSET($R$3,0,0,'Données projet'!$E$9+1,1))-AVERAGE(OFFSET($H$3,0,0,'Données projet'!$E$9+1,1))</f>
        <v>235.48251555416709</v>
      </c>
      <c r="T65" s="59">
        <f t="shared" si="34"/>
        <v>228.3457409585393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51.470004931662949</v>
      </c>
      <c r="AA65" s="21">
        <f>EXP(-LN(2)/25)*AA64+(1-EXP(-LN(2)/25))/(LN(2)/25)*Calculateur!V65*Calculateur!X65*VLOOKUP('Données projet'!$B$9,Paramètres!$A$1:$I$89,3,0)*0.475*44/12</f>
        <v>26.063594109002686</v>
      </c>
      <c r="AB65" s="21">
        <f>EXP(-LN(2)/2)*AB64+(1-EXP(-LN(2)/2))/(LN(2)/2)*V65*Y65*VLOOKUP('Données projet'!$B$9,Paramètres!$A$1:$I$89,3,0)*0.475*44/12</f>
        <v>0</v>
      </c>
      <c r="AC65" s="22">
        <f t="shared" si="3"/>
        <v>77.533599040665635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53.071199999999962</v>
      </c>
      <c r="D66" s="11">
        <f t="shared" si="32"/>
        <v>15.404137822648002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528.5815551221948</v>
      </c>
      <c r="H66" s="67">
        <f t="shared" si="1"/>
        <v>375.92788004111185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15.871250000000011</v>
      </c>
      <c r="N66" s="13">
        <f>IF('Données projet'!$A$36&gt;35,N65+M66-V65,IF(A66&lt;'Données projet'!$A$36,$K$205^A66,IF(A66='Données projet'!$A$36,'Données projet'!$B$36,N65+M66-V65)))</f>
        <v>386.29624999999999</v>
      </c>
      <c r="O66" s="13">
        <f>N66*VLOOKUP('Données projet'!$B$9,Paramètres!$A$1:$I$89,3,0)*VLOOKUP('Données projet'!$B$9,Paramètres!$A$1:$I$89,5,0)</f>
        <v>180.78664499999999</v>
      </c>
      <c r="P66" s="13">
        <f t="shared" si="33"/>
        <v>45.497155743655568</v>
      </c>
      <c r="Q66" s="20">
        <f t="shared" si="53"/>
        <v>394.11095296186676</v>
      </c>
      <c r="R66" s="59">
        <f t="shared" si="0"/>
        <v>687.44428629520007</v>
      </c>
      <c r="S66" s="59">
        <f ca="1">AVERAGE(OFFSET($R$3,0,0,'Données projet'!$E$9+1,1))-AVERAGE(OFFSET($H$3,0,0,'Données projet'!$E$9+1,1))</f>
        <v>235.48251555416709</v>
      </c>
      <c r="T66" s="59">
        <f t="shared" si="34"/>
        <v>228.3457409585393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50.460709528556187</v>
      </c>
      <c r="AA66" s="21">
        <f>EXP(-LN(2)/25)*AA65+(1-EXP(-LN(2)/25))/(LN(2)/25)*Calculateur!V66*Calculateur!X66*VLOOKUP('Données projet'!$B$9,Paramètres!$A$1:$I$89,3,0)*0.475*44/12</f>
        <v>25.350883757467162</v>
      </c>
      <c r="AB66" s="21">
        <f>EXP(-LN(2)/2)*AB65+(1-EXP(-LN(2)/2))/(LN(2)/2)*V66*Y66*VLOOKUP('Données projet'!$B$9,Paramètres!$A$1:$I$89,3,0)*0.475*44/12</f>
        <v>0</v>
      </c>
      <c r="AC66" s="22">
        <f t="shared" si="3"/>
        <v>75.811593286023353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53.91359999999996</v>
      </c>
      <c r="D67" s="11">
        <f t="shared" si="32"/>
        <v>15.619988549244528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536.75050809943116</v>
      </c>
      <c r="H67" s="67">
        <f t="shared" si="1"/>
        <v>377.77100005660083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15.871250000000011</v>
      </c>
      <c r="N67" s="13">
        <f>IF('Données projet'!$A$36&gt;35,N66+M67-V66,IF(A67&lt;'Données projet'!$A$36,$K$205^A67,IF(A67='Données projet'!$A$36,'Données projet'!$B$36,N66+M67-V66)))</f>
        <v>402.16750000000002</v>
      </c>
      <c r="O67" s="13">
        <f>N67*VLOOKUP('Données projet'!$B$9,Paramètres!$A$1:$I$89,3,0)*VLOOKUP('Données projet'!$B$9,Paramètres!$A$1:$I$89,5,0)</f>
        <v>188.21439000000001</v>
      </c>
      <c r="P67" s="13">
        <f t="shared" si="33"/>
        <v>47.144963148508502</v>
      </c>
      <c r="Q67" s="20">
        <f t="shared" ref="Q67:Q98" si="54">(O67+P67)*0.475*44/12</f>
        <v>409.91754006698562</v>
      </c>
      <c r="R67" s="59">
        <f t="shared" ref="R67:R130" si="55">Q67+(I67+J67)*44/12</f>
        <v>703.25087340031894</v>
      </c>
      <c r="S67" s="59">
        <f ca="1">AVERAGE(OFFSET($R$3,0,0,'Données projet'!$E$9+1,1))-AVERAGE(OFFSET($H$3,0,0,'Données projet'!$E$9+1,1))</f>
        <v>235.48251555416709</v>
      </c>
      <c r="T67" s="59">
        <f t="shared" si="34"/>
        <v>228.3457409585393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49.471205792694938</v>
      </c>
      <c r="AA67" s="21">
        <f>EXP(-LN(2)/25)*AA66+(1-EXP(-LN(2)/25))/(LN(2)/25)*Calculateur!V67*Calculateur!X67*VLOOKUP('Données projet'!$B$9,Paramètres!$A$1:$I$89,3,0)*0.475*44/12</f>
        <v>24.657662507974187</v>
      </c>
      <c r="AB67" s="21">
        <f>EXP(-LN(2)/2)*AB66+(1-EXP(-LN(2)/2))/(LN(2)/2)*V67*Y67*VLOOKUP('Données projet'!$B$9,Paramètres!$A$1:$I$89,3,0)*0.475*44/12</f>
        <v>0</v>
      </c>
      <c r="AC67" s="22">
        <f t="shared" si="3"/>
        <v>74.128868300669126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54.755999999999958</v>
      </c>
      <c r="D68" s="11">
        <f t="shared" si="32"/>
        <v>15.83544703724203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544.91643326993824</v>
      </c>
      <c r="H68" s="67">
        <f t="shared" ref="H68:H131" si="56">(B68+E68+F68)*44/12+(C68+D68)*0.475*44/12</f>
        <v>379.6134369231965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15.871250000000011</v>
      </c>
      <c r="N68" s="13">
        <f>IF('Données projet'!$A$36&gt;35,N67+M68-V67,IF(A68&lt;'Données projet'!$A$36,$K$205^A68,IF(A68='Données projet'!$A$36,'Données projet'!$B$36,N67+M68-V67)))</f>
        <v>418.03875000000005</v>
      </c>
      <c r="O68" s="13">
        <f>N68*VLOOKUP('Données projet'!$B$9,Paramètres!$A$1:$I$89,3,0)*VLOOKUP('Données projet'!$B$9,Paramètres!$A$1:$I$89,5,0)</f>
        <v>195.64213500000002</v>
      </c>
      <c r="P68" s="13">
        <f t="shared" si="33"/>
        <v>48.785216404205165</v>
      </c>
      <c r="Q68" s="20">
        <f t="shared" si="54"/>
        <v>425.71097036232396</v>
      </c>
      <c r="R68" s="59">
        <f t="shared" si="55"/>
        <v>719.04430369565728</v>
      </c>
      <c r="S68" s="59">
        <f ca="1">AVERAGE(OFFSET($R$3,0,0,'Données projet'!$E$9+1,1))-AVERAGE(OFFSET($H$3,0,0,'Données projet'!$E$9+1,1))</f>
        <v>235.48251555416709</v>
      </c>
      <c r="T68" s="59">
        <f t="shared" si="34"/>
        <v>228.3457409585393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48.501105621556242</v>
      </c>
      <c r="AA68" s="21">
        <f>EXP(-LN(2)/25)*AA67+(1-EXP(-LN(2)/25))/(LN(2)/25)*Calculateur!V68*Calculateur!X68*VLOOKUP('Données projet'!$B$9,Paramètres!$A$1:$I$89,3,0)*0.475*44/12</f>
        <v>23.983397430003517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72.484503051559756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55.598399999999955</v>
      </c>
      <c r="D69" s="11">
        <f t="shared" ref="D69:D132" si="86">IFERROR(EXP(-1.0587+0.8836*LN(C69)+0.284),0)</f>
        <v>16.05052001799563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553.07938259505363</v>
      </c>
      <c r="H69" s="67">
        <f t="shared" si="56"/>
        <v>381.45520236467564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433.91</v>
      </c>
      <c r="L69" s="12">
        <f>VLOOKUP(A69,'Données projet'!$A$35:$I$55,9,0)</f>
        <v>15.871250000000011</v>
      </c>
      <c r="M69" s="12">
        <f t="array" ref="M69">INDEX(L:L,MIN(IF(ISNUMBER(L69:L265),ROW(L69:L265),"")))</f>
        <v>15.871250000000011</v>
      </c>
      <c r="N69" s="13">
        <f>IF('Données projet'!$A$36&gt;35,N68+M69-V68,IF(A69&lt;'Données projet'!$A$36,$K$205^A69,IF(A69='Données projet'!$A$36,'Données projet'!$B$36,N68+M69-V68)))</f>
        <v>433.91000000000008</v>
      </c>
      <c r="O69" s="13">
        <f>N69*VLOOKUP('Données projet'!$B$9,Paramètres!$A$1:$I$89,3,0)*VLOOKUP('Données projet'!$B$9,Paramètres!$A$1:$I$89,5,0)</f>
        <v>203.06988000000001</v>
      </c>
      <c r="P69" s="13">
        <f t="shared" ref="P69:P132" si="87">EXP(-1.0587+0.8836*LN(O69)+0.284)</f>
        <v>50.418235144882424</v>
      </c>
      <c r="Q69" s="20">
        <f t="shared" si="54"/>
        <v>441.49180054400358</v>
      </c>
      <c r="R69" s="59">
        <f t="shared" si="55"/>
        <v>734.82513387733684</v>
      </c>
      <c r="S69" s="59">
        <f ca="1">AVERAGE(OFFSET($R$3,0,0,'Données projet'!$E$9+1,1))-AVERAGE(OFFSET($H$3,0,0,'Données projet'!$E$9+1,1))</f>
        <v>235.48251555416709</v>
      </c>
      <c r="T69" s="59">
        <f t="shared" ref="T69:T132" si="88">$T$3</f>
        <v>228.3457409585393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87.73</v>
      </c>
      <c r="W69" s="16">
        <f>IF(ISNA(VLOOKUP(A69,'Données projet'!$A$35:$I$55,5,0)),0%,VLOOKUP(A69,'Données projet'!$A$35:$I$55,5,0)*VLOOKUP('Données projet'!$B$9,Paramètres!$A$1:$I$89,7,0))</f>
        <v>0.38500000000000001</v>
      </c>
      <c r="X69" s="16">
        <f>IF(ISNA(VLOOKUP(A69,'Données projet'!$A$35:$I$55,6,0)),0%,VLOOKUP(A69,'Données projet'!$A$35:$I$55,6,0)*VLOOKUP('Données projet'!$B$9,Paramètres!$A$1:$I$89,7,0))</f>
        <v>0.16500000000000001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68.519286774640477</v>
      </c>
      <c r="AA69" s="21">
        <f>EXP(-LN(2)/25)*AA68+(1-EXP(-LN(2)/25))/(LN(2)/25)*Calculateur!V69*Calculateur!X69*VLOOKUP('Données projet'!$B$9,Paramètres!$A$1:$I$89,3,0)*0.475*44/12</f>
        <v>32.279010576870597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100.79829735151108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56.440799999999953</v>
      </c>
      <c r="D70" s="11">
        <f t="shared" si="86"/>
        <v>16.265214007173896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561.23940637116664</v>
      </c>
      <c r="H70" s="67">
        <f t="shared" si="56"/>
        <v>383.29630772916113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15.137777777777778</v>
      </c>
      <c r="N70" s="13">
        <f>IF('Données projet'!$A$36&gt;35,N69+M70-V69,IF(A70&lt;'Données projet'!$A$36,$K$205^A70,IF(A70='Données projet'!$A$36,'Données projet'!$B$36,N69+M70-V69)))</f>
        <v>361.31777777777785</v>
      </c>
      <c r="O70" s="13">
        <f>N70*VLOOKUP('Données projet'!$B$9,Paramètres!$A$1:$I$89,3,0)*VLOOKUP('Données projet'!$B$9,Paramètres!$A$1:$I$89,5,0)</f>
        <v>169.09672000000003</v>
      </c>
      <c r="P70" s="13">
        <f t="shared" si="87"/>
        <v>42.887656228644701</v>
      </c>
      <c r="Q70" s="20">
        <f t="shared" si="54"/>
        <v>369.20612193155625</v>
      </c>
      <c r="R70" s="59">
        <f t="shared" si="55"/>
        <v>662.53945526488951</v>
      </c>
      <c r="S70" s="59">
        <f ca="1">AVERAGE(OFFSET($R$3,0,0,'Données projet'!$E$9+1,1))-AVERAGE(OFFSET($H$3,0,0,'Données projet'!$E$9+1,1))</f>
        <v>235.48251555416709</v>
      </c>
      <c r="T70" s="59">
        <f t="shared" si="88"/>
        <v>228.3457409585393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67.175665353628034</v>
      </c>
      <c r="AA70" s="21">
        <f>EXP(-LN(2)/25)*AA69+(1-EXP(-LN(2)/25))/(LN(2)/25)*Calculateur!V70*Calculateur!X70*VLOOKUP('Données projet'!$B$9,Paramètres!$A$1:$I$89,3,0)*0.475*44/12</f>
        <v>31.39633933516668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98.572004688794721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57.283199999999951</v>
      </c>
      <c r="D71" s="11">
        <f t="shared" si="86"/>
        <v>16.479535314783966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569.396553307104</v>
      </c>
      <c r="H71" s="67">
        <f t="shared" si="56"/>
        <v>385.13676400658198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15.137777777777778</v>
      </c>
      <c r="N71" s="13">
        <f>IF('Données projet'!$A$36&gt;35,N70+M71-V70,IF(A71&lt;'Données projet'!$A$36,$K$205^A71,IF(A71='Données projet'!$A$36,'Données projet'!$B$36,N70+M71-V70)))</f>
        <v>376.45555555555563</v>
      </c>
      <c r="O71" s="13">
        <f>N71*VLOOKUP('Données projet'!$B$9,Paramètres!$A$1:$I$89,3,0)*VLOOKUP('Données projet'!$B$9,Paramètres!$A$1:$I$89,5,0)</f>
        <v>176.18120000000005</v>
      </c>
      <c r="P71" s="13">
        <f t="shared" si="87"/>
        <v>44.471516092008478</v>
      </c>
      <c r="Q71" s="20">
        <f t="shared" si="54"/>
        <v>384.30348052691483</v>
      </c>
      <c r="R71" s="59">
        <f t="shared" si="55"/>
        <v>677.63681386024814</v>
      </c>
      <c r="S71" s="59">
        <f ca="1">AVERAGE(OFFSET($R$3,0,0,'Données projet'!$E$9+1,1))-AVERAGE(OFFSET($H$3,0,0,'Données projet'!$E$9+1,1))</f>
        <v>235.48251555416709</v>
      </c>
      <c r="T71" s="59">
        <f t="shared" si="88"/>
        <v>228.3457409585393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65.858391529153494</v>
      </c>
      <c r="AA71" s="21">
        <f>EXP(-LN(2)/25)*AA70+(1-EXP(-LN(2)/25))/(LN(2)/25)*Calculateur!V71*Calculateur!X71*VLOOKUP('Données projet'!$B$9,Paramètres!$A$1:$I$89,3,0)*0.475*44/12</f>
        <v>30.537804784984818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96.396196314138308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58.125599999999949</v>
      </c>
      <c r="D72" s="11">
        <f t="shared" si="86"/>
        <v>16.693490054590146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577.55087059683581</v>
      </c>
      <c r="H72" s="67">
        <f t="shared" si="56"/>
        <v>386.97658184507776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15.137777777777778</v>
      </c>
      <c r="N72" s="13">
        <f>IF('Données projet'!$A$36&gt;35,N71+M72-V71,IF(A72&lt;'Données projet'!$A$36,$K$205^A72,IF(A72='Données projet'!$A$36,'Données projet'!$B$36,N71+M72-V71)))</f>
        <v>391.59333333333342</v>
      </c>
      <c r="O72" s="13">
        <f>N72*VLOOKUP('Données projet'!$B$9,Paramètres!$A$1:$I$89,3,0)*VLOOKUP('Données projet'!$B$9,Paramètres!$A$1:$I$89,5,0)</f>
        <v>183.26568000000006</v>
      </c>
      <c r="P72" s="13">
        <f t="shared" si="87"/>
        <v>46.047977760052412</v>
      </c>
      <c r="Q72" s="20">
        <f t="shared" si="54"/>
        <v>399.38795393209131</v>
      </c>
      <c r="R72" s="59">
        <f t="shared" si="55"/>
        <v>692.72128726542462</v>
      </c>
      <c r="S72" s="59">
        <f ca="1">AVERAGE(OFFSET($R$3,0,0,'Données projet'!$E$9+1,1))-AVERAGE(OFFSET($H$3,0,0,'Données projet'!$E$9+1,1))</f>
        <v>235.48251555416709</v>
      </c>
      <c r="T72" s="59">
        <f t="shared" si="88"/>
        <v>228.3457409585393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64.566948640919207</v>
      </c>
      <c r="AA72" s="21">
        <f>EXP(-LN(2)/25)*AA71+(1-EXP(-LN(2)/25))/(LN(2)/25)*Calculateur!V72*Calculateur!X72*VLOOKUP('Données projet'!$B$9,Paramètres!$A$1:$I$89,3,0)*0.475*44/12</f>
        <v>29.70274690722605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94.269695548145251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73" s="11">
        <f t="shared" si="86"/>
        <v>16.907084152971102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585.70240398784688</v>
      </c>
      <c r="H73" s="67">
        <f t="shared" si="56"/>
        <v>388.81577156642459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15.137777777777778</v>
      </c>
      <c r="N73" s="13">
        <f>IF('Données projet'!$A$36&gt;35,N72+M73-V72,IF(A73&lt;'Données projet'!$A$36,$K$205^A73,IF(A73='Données projet'!$A$36,'Données projet'!$B$36,N72+M73-V72)))</f>
        <v>406.7311111111112</v>
      </c>
      <c r="O73" s="13">
        <f>N73*VLOOKUP('Données projet'!$B$9,Paramètres!$A$1:$I$89,3,0)*VLOOKUP('Données projet'!$B$9,Paramètres!$A$1:$I$89,5,0)</f>
        <v>190.35016000000005</v>
      </c>
      <c r="P73" s="13">
        <f t="shared" si="87"/>
        <v>47.617359957730208</v>
      </c>
      <c r="Q73" s="20">
        <f t="shared" si="54"/>
        <v>414.46009725971345</v>
      </c>
      <c r="R73" s="59">
        <f t="shared" si="55"/>
        <v>707.79343059304676</v>
      </c>
      <c r="S73" s="59">
        <f ca="1">AVERAGE(OFFSET($R$3,0,0,'Données projet'!$E$9+1,1))-AVERAGE(OFFSET($H$3,0,0,'Données projet'!$E$9+1,1))</f>
        <v>235.48251555416709</v>
      </c>
      <c r="T73" s="59">
        <f t="shared" si="88"/>
        <v>228.3457409585393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63.300830160020809</v>
      </c>
      <c r="AA73" s="21">
        <f>EXP(-LN(2)/25)*AA72+(1-EXP(-LN(2)/25))/(LN(2)/25)*Calculateur!V73*Calculateur!X73*VLOOKUP('Données projet'!$B$9,Paramètres!$A$1:$I$89,3,0)*0.475*44/12</f>
        <v>28.890523731048379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92.191353891069184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59.810399999999944</v>
      </c>
      <c r="D74" s="11">
        <f t="shared" si="86"/>
        <v>17.120323357256371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593.85119784548738</v>
      </c>
      <c r="H74" s="67">
        <f t="shared" si="56"/>
        <v>390.65434318055475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15.137777777777778</v>
      </c>
      <c r="N74" s="13">
        <f>IF('Données projet'!$A$36&gt;35,N73+M74-V73,IF(A74&lt;'Données projet'!$A$36,$K$205^A74,IF(A74='Données projet'!$A$36,'Données projet'!$B$36,N73+M74-V73)))</f>
        <v>421.86888888888899</v>
      </c>
      <c r="O74" s="13">
        <f>N74*VLOOKUP('Données projet'!$B$9,Paramètres!$A$1:$I$89,3,0)*VLOOKUP('Données projet'!$B$9,Paramètres!$A$1:$I$89,5,0)</f>
        <v>197.43464000000006</v>
      </c>
      <c r="P74" s="13">
        <f t="shared" si="87"/>
        <v>49.179956341145676</v>
      </c>
      <c r="Q74" s="20">
        <f t="shared" si="54"/>
        <v>429.5204219608288</v>
      </c>
      <c r="R74" s="59">
        <f t="shared" si="55"/>
        <v>722.85375529416206</v>
      </c>
      <c r="S74" s="59">
        <f ca="1">AVERAGE(OFFSET($R$3,0,0,'Données projet'!$E$9+1,1))-AVERAGE(OFFSET($H$3,0,0,'Données projet'!$E$9+1,1))</f>
        <v>235.48251555416709</v>
      </c>
      <c r="T74" s="59">
        <f t="shared" si="88"/>
        <v>228.3457409585393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62.059539490276805</v>
      </c>
      <c r="AA74" s="21">
        <f>EXP(-LN(2)/25)*AA73+(1-EXP(-LN(2)/25))/(LN(2)/25)*Calculateur!V74*Calculateur!X74*VLOOKUP('Données projet'!$B$9,Paramètres!$A$1:$I$89,3,0)*0.475*44/12</f>
        <v>28.100510840336248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90.160050330613046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60.652799999999942</v>
      </c>
      <c r="D75" s="11">
        <f t="shared" si="86"/>
        <v>17.333213243579955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601.99729521359916</v>
      </c>
      <c r="H75" s="67">
        <f t="shared" si="56"/>
        <v>392.49230639923496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15.137777777777778</v>
      </c>
      <c r="N75" s="13">
        <f>IF('Données projet'!$A$36&gt;35,N74+M75-V74,IF(A75&lt;'Données projet'!$A$36,$K$205^A75,IF(A75='Données projet'!$A$36,'Données projet'!$B$36,N74+M75-V74)))</f>
        <v>437.00666666666677</v>
      </c>
      <c r="O75" s="13">
        <f>N75*VLOOKUP('Données projet'!$B$9,Paramètres!$A$1:$I$89,3,0)*VLOOKUP('Données projet'!$B$9,Paramètres!$A$1:$I$89,5,0)</f>
        <v>204.51912000000007</v>
      </c>
      <c r="P75" s="13">
        <f t="shared" si="87"/>
        <v>50.736038297490012</v>
      </c>
      <c r="Q75" s="20">
        <f t="shared" si="54"/>
        <v>444.5694007014618</v>
      </c>
      <c r="R75" s="59">
        <f t="shared" si="55"/>
        <v>737.90273403479512</v>
      </c>
      <c r="S75" s="59">
        <f ca="1">AVERAGE(OFFSET($R$3,0,0,'Données projet'!$E$9+1,1))-AVERAGE(OFFSET($H$3,0,0,'Données projet'!$E$9+1,1))</f>
        <v>235.48251555416709</v>
      </c>
      <c r="T75" s="59">
        <f t="shared" si="88"/>
        <v>228.3457409585393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60.84258977345393</v>
      </c>
      <c r="AA75" s="21">
        <f>EXP(-LN(2)/25)*AA74+(1-EXP(-LN(2)/25))/(LN(2)/25)*Calculateur!V75*Calculateur!X75*VLOOKUP('Données projet'!$B$9,Paramètres!$A$1:$I$89,3,0)*0.475*44/12</f>
        <v>27.332100893665615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88.174690667119549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61.49519999999994</v>
      </c>
      <c r="D76" s="11">
        <f t="shared" si="86"/>
        <v>17.545759224285252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610.14073787167513</v>
      </c>
      <c r="H76" s="67">
        <f t="shared" si="56"/>
        <v>394.32967064896343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15.137777777777778</v>
      </c>
      <c r="N76" s="13">
        <f>IF('Données projet'!$A$36&gt;35,N75+M76-V75,IF(A76&lt;'Données projet'!$A$36,$K$205^A76,IF(A76='Données projet'!$A$36,'Données projet'!$B$36,N75+M76-V75)))</f>
        <v>452.14444444444456</v>
      </c>
      <c r="O76" s="13">
        <f>N76*VLOOKUP('Données projet'!$B$9,Paramètres!$A$1:$I$89,3,0)*VLOOKUP('Données projet'!$B$9,Paramètres!$A$1:$I$89,5,0)</f>
        <v>211.60360000000006</v>
      </c>
      <c r="P76" s="13">
        <f t="shared" si="87"/>
        <v>52.285857346123862</v>
      </c>
      <c r="Q76" s="20">
        <f t="shared" si="54"/>
        <v>459.60747154449905</v>
      </c>
      <c r="R76" s="59">
        <f t="shared" si="55"/>
        <v>752.94080487783231</v>
      </c>
      <c r="S76" s="59">
        <f ca="1">AVERAGE(OFFSET($R$3,0,0,'Données projet'!$E$9+1,1))-AVERAGE(OFFSET($H$3,0,0,'Données projet'!$E$9+1,1))</f>
        <v>235.48251555416709</v>
      </c>
      <c r="T76" s="59">
        <f t="shared" si="88"/>
        <v>228.3457409585393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59.649503698311925</v>
      </c>
      <c r="AA76" s="21">
        <f>EXP(-LN(2)/25)*AA75+(1-EXP(-LN(2)/25))/(LN(2)/25)*Calculateur!V76*Calculateur!X76*VLOOKUP('Données projet'!$B$9,Paramètres!$A$1:$I$89,3,0)*0.475*44/12</f>
        <v>26.584703157395612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86.234206855707541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62.337599999999938</v>
      </c>
      <c r="D77" s="11">
        <f t="shared" si="86"/>
        <v>17.757966554912581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618.28156638879841</v>
      </c>
      <c r="H77" s="67">
        <f t="shared" si="56"/>
        <v>396.16644508313937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15.137777777777778</v>
      </c>
      <c r="N77" s="13">
        <f>IF('Données projet'!$A$36&gt;35,N76+M77-V76,IF(A77&lt;'Données projet'!$A$36,$K$205^A77,IF(A77='Données projet'!$A$36,'Données projet'!$B$36,N76+M77-V76)))</f>
        <v>467.28222222222234</v>
      </c>
      <c r="O77" s="13">
        <f>N77*VLOOKUP('Données projet'!$B$9,Paramètres!$A$1:$I$89,3,0)*VLOOKUP('Données projet'!$B$9,Paramètres!$A$1:$I$89,5,0)</f>
        <v>218.68808000000007</v>
      </c>
      <c r="P77" s="13">
        <f t="shared" si="87"/>
        <v>53.829647209073592</v>
      </c>
      <c r="Q77" s="20">
        <f t="shared" si="54"/>
        <v>474.6350415558033</v>
      </c>
      <c r="R77" s="59">
        <f t="shared" si="55"/>
        <v>767.96837488913661</v>
      </c>
      <c r="S77" s="59">
        <f ca="1">AVERAGE(OFFSET($R$3,0,0,'Données projet'!$E$9+1,1))-AVERAGE(OFFSET($H$3,0,0,'Données projet'!$E$9+1,1))</f>
        <v>235.48251555416709</v>
      </c>
      <c r="T77" s="59">
        <f t="shared" si="88"/>
        <v>228.3457409585393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58.479813313392803</v>
      </c>
      <c r="AA77" s="21">
        <f>EXP(-LN(2)/25)*AA76+(1-EXP(-LN(2)/25))/(LN(2)/25)*Calculateur!V77*Calculateur!X77*VLOOKUP('Données projet'!$B$9,Paramètres!$A$1:$I$89,3,0)*0.475*44/12</f>
        <v>25.857743051527851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84.337556364920658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63.179999999999936</v>
      </c>
      <c r="D78" s="11">
        <f t="shared" si="86"/>
        <v>17.96984034079836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626.41982017458338</v>
      </c>
      <c r="H78" s="67">
        <f t="shared" si="56"/>
        <v>398.00263859355704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482.42</v>
      </c>
      <c r="L78" s="12">
        <f>VLOOKUP(A78,'Données projet'!$A$35:$I$55,9,0)</f>
        <v>15.137777777777778</v>
      </c>
      <c r="M78" s="12">
        <f t="array" ref="M78">INDEX(L:L,MIN(IF(ISNUMBER(L78:L274),ROW(L78:L274),"")))</f>
        <v>15.137777777777778</v>
      </c>
      <c r="N78" s="13">
        <f>IF('Données projet'!$A$36&gt;35,N77+M78-V77,IF(A78&lt;'Données projet'!$A$36,$K$205^A78,IF(A78='Données projet'!$A$36,'Données projet'!$B$36,N77+M78-V77)))</f>
        <v>482.42000000000013</v>
      </c>
      <c r="O78" s="13">
        <f>N78*VLOOKUP('Données projet'!$B$9,Paramètres!$A$1:$I$89,3,0)*VLOOKUP('Données projet'!$B$9,Paramètres!$A$1:$I$89,5,0)</f>
        <v>225.77256000000006</v>
      </c>
      <c r="P78" s="13">
        <f t="shared" si="87"/>
        <v>55.367625605693007</v>
      </c>
      <c r="Q78" s="20">
        <f t="shared" si="54"/>
        <v>489.65248992991548</v>
      </c>
      <c r="R78" s="59">
        <f t="shared" si="55"/>
        <v>782.98582326324879</v>
      </c>
      <c r="S78" s="59">
        <f ca="1">AVERAGE(OFFSET($R$3,0,0,'Données projet'!$E$9+1,1))-AVERAGE(OFFSET($H$3,0,0,'Données projet'!$E$9+1,1))</f>
        <v>235.48251555416709</v>
      </c>
      <c r="T78" s="59">
        <f t="shared" si="88"/>
        <v>228.3457409585393</v>
      </c>
      <c r="U78" s="15">
        <f>IF(ISNA(VLOOKUP(A78,'Données projet'!$A$35:$I$55,3,0)),0,VLOOKUP(A78,'Données projet'!$A$35:$I$55,3,0))</f>
        <v>5</v>
      </c>
      <c r="V78" s="15">
        <f>IF(ISNA(VLOOKUP(A78,'Données projet'!$A$35:$I$55,4,0)),0,VLOOKUP(A78,'Données projet'!$A$35:$I$55,4,0))</f>
        <v>87.99</v>
      </c>
      <c r="W78" s="16">
        <f>IF(ISNA(VLOOKUP(A78,'Données projet'!$A$35:$I$55,5,0)),0%,VLOOKUP(A78,'Données projet'!$A$35:$I$55,5,0)*VLOOKUP('Données projet'!$B$9,Paramètres!$A$1:$I$89,7,0))</f>
        <v>0.38500000000000001</v>
      </c>
      <c r="X78" s="16">
        <f>IF(ISNA(VLOOKUP(A78,'Données projet'!$A$35:$I$55,6,0)),0%,VLOOKUP(A78,'Données projet'!$A$35:$I$55,6,0)*VLOOKUP('Données projet'!$B$9,Paramètres!$A$1:$I$89,7,0))</f>
        <v>0.16500000000000001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78.364463394781922</v>
      </c>
      <c r="AA78" s="21">
        <f>EXP(-LN(2)/25)*AA77+(1-EXP(-LN(2)/25))/(LN(2)/25)*Calculateur!V78*Calculateur!X78*VLOOKUP('Données projet'!$B$9,Paramètres!$A$1:$I$89,3,0)*0.475*44/12</f>
        <v>34.128630951666864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112.49309434644879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64.022399999999934</v>
      </c>
      <c r="D79" s="11">
        <f t="shared" si="86"/>
        <v>18.181385543312224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634.55553752732203</v>
      </c>
      <c r="H79" s="67">
        <f t="shared" si="56"/>
        <v>399.83825982126871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14.284999999999997</v>
      </c>
      <c r="N79" s="13">
        <f>IF('Données projet'!$A$36&gt;35,N78+M79-V78,IF(A79&lt;'Données projet'!$A$36,$K$205^A79,IF(A79='Données projet'!$A$36,'Données projet'!$B$36,N78+M79-V78)))</f>
        <v>408.71500000000015</v>
      </c>
      <c r="O79" s="13">
        <f>N79*VLOOKUP('Données projet'!$B$9,Paramètres!$A$1:$I$89,3,0)*VLOOKUP('Données projet'!$B$9,Paramètres!$A$1:$I$89,5,0)</f>
        <v>191.27862000000007</v>
      </c>
      <c r="P79" s="13">
        <f t="shared" si="87"/>
        <v>47.822527138669464</v>
      </c>
      <c r="Q79" s="20">
        <f t="shared" si="54"/>
        <v>416.43449793318274</v>
      </c>
      <c r="R79" s="59">
        <f t="shared" si="55"/>
        <v>709.76783126651605</v>
      </c>
      <c r="S79" s="59">
        <f ca="1">AVERAGE(OFFSET($R$3,0,0,'Données projet'!$E$9+1,1))-AVERAGE(OFFSET($H$3,0,0,'Données projet'!$E$9+1,1))</f>
        <v>235.48251555416709</v>
      </c>
      <c r="T79" s="59">
        <f t="shared" si="88"/>
        <v>228.3457409585393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76.827784065213294</v>
      </c>
      <c r="AA79" s="21">
        <f>EXP(-LN(2)/25)*AA78+(1-EXP(-LN(2)/25))/(LN(2)/25)*Calculateur!V79*Calculateur!X79*VLOOKUP('Données projet'!$B$9,Paramètres!$A$1:$I$89,3,0)*0.475*44/12</f>
        <v>33.195381743546832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110.02316580876013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64.864799999999931</v>
      </c>
      <c r="D80" s="11">
        <f t="shared" si="86"/>
        <v>18.392606985756601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642.68875567952421</v>
      </c>
      <c r="H80" s="67">
        <f t="shared" si="56"/>
        <v>401.67331716685931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14.284999999999997</v>
      </c>
      <c r="N80" s="13">
        <f>IF('Données projet'!$A$36&gt;35,N79+M80-V79,IF(A80&lt;'Données projet'!$A$36,$K$205^A80,IF(A80='Données projet'!$A$36,'Données projet'!$B$36,N79+M80-V79)))</f>
        <v>423.00000000000011</v>
      </c>
      <c r="O80" s="13">
        <f>N80*VLOOKUP('Données projet'!$B$9,Paramètres!$A$1:$I$89,3,0)*VLOOKUP('Données projet'!$B$9,Paramètres!$A$1:$I$89,5,0)</f>
        <v>197.96400000000006</v>
      </c>
      <c r="P80" s="13">
        <f t="shared" si="87"/>
        <v>49.296450435147761</v>
      </c>
      <c r="Q80" s="20">
        <f t="shared" si="54"/>
        <v>430.64528450788242</v>
      </c>
      <c r="R80" s="59">
        <f t="shared" si="55"/>
        <v>723.97861784121574</v>
      </c>
      <c r="S80" s="59">
        <f ca="1">AVERAGE(OFFSET($R$3,0,0,'Données projet'!$E$9+1,1))-AVERAGE(OFFSET($H$3,0,0,'Données projet'!$E$9+1,1))</f>
        <v>235.48251555416709</v>
      </c>
      <c r="T80" s="59">
        <f t="shared" si="88"/>
        <v>228.3457409585393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75.321238080015675</v>
      </c>
      <c r="AA80" s="21">
        <f>EXP(-LN(2)/25)*AA79+(1-EXP(-LN(2)/25))/(LN(2)/25)*Calculateur!V80*Calculateur!X80*VLOOKUP('Données projet'!$B$9,Paramètres!$A$1:$I$89,3,0)*0.475*44/12</f>
        <v>32.28765228410029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107.60889036411596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65.707199999999929</v>
      </c>
      <c r="D81" s="11">
        <f t="shared" si="86"/>
        <v>18.603509358951104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650.81951084102559</v>
      </c>
      <c r="H81" s="67">
        <f t="shared" si="56"/>
        <v>403.50781880017303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14.284999999999997</v>
      </c>
      <c r="N81" s="13">
        <f>IF('Données projet'!$A$36&gt;35,N80+M81-V80,IF(A81&lt;'Données projet'!$A$36,$K$205^A81,IF(A81='Données projet'!$A$36,'Données projet'!$B$36,N80+M81-V80)))</f>
        <v>437.28500000000008</v>
      </c>
      <c r="O81" s="13">
        <f>N81*VLOOKUP('Données projet'!$B$9,Paramètres!$A$1:$I$89,3,0)*VLOOKUP('Données projet'!$B$9,Paramètres!$A$1:$I$89,5,0)</f>
        <v>204.64938000000004</v>
      </c>
      <c r="P81" s="13">
        <f t="shared" si="87"/>
        <v>50.764590086340078</v>
      </c>
      <c r="Q81" s="20">
        <f t="shared" si="54"/>
        <v>444.84599790037572</v>
      </c>
      <c r="R81" s="59">
        <f t="shared" si="55"/>
        <v>738.17933123370904</v>
      </c>
      <c r="S81" s="59">
        <f ca="1">AVERAGE(OFFSET($R$3,0,0,'Données projet'!$E$9+1,1))-AVERAGE(OFFSET($H$3,0,0,'Données projet'!$E$9+1,1))</f>
        <v>235.48251555416709</v>
      </c>
      <c r="T81" s="59">
        <f t="shared" si="88"/>
        <v>228.3457409585393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73.844234542685456</v>
      </c>
      <c r="AA81" s="21">
        <f>EXP(-LN(2)/25)*AA80+(1-EXP(-LN(2)/25))/(LN(2)/25)*Calculateur!V81*Calculateur!X81*VLOOKUP('Données projet'!$B$9,Paramètres!$A$1:$I$89,3,0)*0.475*44/12</f>
        <v>31.404744734457729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105.24897927714318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66.549599999999927</v>
      </c>
      <c r="D82" s="11">
        <f t="shared" si="86"/>
        <v>18.814097226522264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658.9478382398205</v>
      </c>
      <c r="H82" s="67">
        <f t="shared" si="56"/>
        <v>405.34177266952611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14.284999999999997</v>
      </c>
      <c r="N82" s="13">
        <f>IF('Données projet'!$A$36&gt;35,N81+M82-V81,IF(A82&lt;'Données projet'!$A$36,$K$205^A82,IF(A82='Données projet'!$A$36,'Données projet'!$B$36,N81+M82-V81)))</f>
        <v>451.57000000000005</v>
      </c>
      <c r="O82" s="13">
        <f>N82*VLOOKUP('Données projet'!$B$9,Paramètres!$A$1:$I$89,3,0)*VLOOKUP('Données projet'!$B$9,Paramètres!$A$1:$I$89,5,0)</f>
        <v>211.33476000000002</v>
      </c>
      <c r="P82" s="13">
        <f t="shared" si="87"/>
        <v>52.227156697196236</v>
      </c>
      <c r="Q82" s="20">
        <f t="shared" si="54"/>
        <v>459.03700491428344</v>
      </c>
      <c r="R82" s="59">
        <f t="shared" si="55"/>
        <v>752.3703382476167</v>
      </c>
      <c r="S82" s="59">
        <f ca="1">AVERAGE(OFFSET($R$3,0,0,'Données projet'!$E$9+1,1))-AVERAGE(OFFSET($H$3,0,0,'Données projet'!$E$9+1,1))</f>
        <v>235.48251555416709</v>
      </c>
      <c r="T82" s="59">
        <f t="shared" si="88"/>
        <v>228.3457409585393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72.396194143839082</v>
      </c>
      <c r="AA82" s="21">
        <f>EXP(-LN(2)/25)*AA81+(1-EXP(-LN(2)/25))/(LN(2)/25)*Calculateur!V82*Calculateur!X82*VLOOKUP('Données projet'!$B$9,Paramètres!$A$1:$I$89,3,0)*0.475*44/12</f>
        <v>30.545980338190233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102.94217448202932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67.391999999999925</v>
      </c>
      <c r="D83" s="11">
        <f t="shared" si="86"/>
        <v>19.024375029917962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667.07377216076964</v>
      </c>
      <c r="H83" s="67">
        <f t="shared" si="56"/>
        <v>407.17518651044031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14.284999999999997</v>
      </c>
      <c r="N83" s="13">
        <f>IF('Données projet'!$A$36&gt;35,N82+M83-V82,IF(A83&lt;'Données projet'!$A$36,$K$205^A83,IF(A83='Données projet'!$A$36,'Données projet'!$B$36,N82+M83-V82)))</f>
        <v>465.85500000000002</v>
      </c>
      <c r="O83" s="13">
        <f>N83*VLOOKUP('Données projet'!$B$9,Paramètres!$A$1:$I$89,3,0)*VLOOKUP('Données projet'!$B$9,Paramètres!$A$1:$I$89,5,0)</f>
        <v>218.02014</v>
      </c>
      <c r="P83" s="13">
        <f t="shared" si="87"/>
        <v>53.684346791388265</v>
      </c>
      <c r="Q83" s="20">
        <f t="shared" si="54"/>
        <v>473.2186478283345</v>
      </c>
      <c r="R83" s="59">
        <f t="shared" si="55"/>
        <v>766.55198116166775</v>
      </c>
      <c r="S83" s="59">
        <f ca="1">AVERAGE(OFFSET($R$3,0,0,'Données projet'!$E$9+1,1))-AVERAGE(OFFSET($H$3,0,0,'Données projet'!$E$9+1,1))</f>
        <v>235.48251555416709</v>
      </c>
      <c r="T83" s="59">
        <f t="shared" si="88"/>
        <v>228.3457409585393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70.976548933996654</v>
      </c>
      <c r="AA83" s="21">
        <f>EXP(-LN(2)/25)*AA82+(1-EXP(-LN(2)/25))/(LN(2)/25)*Calculateur!V83*Calculateur!X83*VLOOKUP('Données projet'!$B$9,Paramètres!$A$1:$I$89,3,0)*0.475*44/12</f>
        <v>29.710698899499128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100.68724783349577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68.234399999999923</v>
      </c>
      <c r="D84" s="11">
        <f t="shared" si="86"/>
        <v>19.23434709316394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675.19734598231764</v>
      </c>
      <c r="H84" s="67">
        <f t="shared" si="56"/>
        <v>409.00806785392706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14.284999999999997</v>
      </c>
      <c r="N84" s="13">
        <f>IF('Données projet'!$A$36&gt;35,N83+M84-V83,IF(A84&lt;'Données projet'!$A$36,$K$205^A84,IF(A84='Données projet'!$A$36,'Données projet'!$B$36,N83+M84-V83)))</f>
        <v>480.14</v>
      </c>
      <c r="O84" s="13">
        <f>N84*VLOOKUP('Données projet'!$B$9,Paramètres!$A$1:$I$89,3,0)*VLOOKUP('Données projet'!$B$9,Paramètres!$A$1:$I$89,5,0)</f>
        <v>224.70551999999998</v>
      </c>
      <c r="P84" s="13">
        <f t="shared" si="87"/>
        <v>55.136344155395506</v>
      </c>
      <c r="Q84" s="20">
        <f t="shared" si="54"/>
        <v>487.39124673731368</v>
      </c>
      <c r="R84" s="59">
        <f t="shared" si="55"/>
        <v>780.72458007064699</v>
      </c>
      <c r="S84" s="59">
        <f ca="1">AVERAGE(OFFSET($R$3,0,0,'Données projet'!$E$9+1,1))-AVERAGE(OFFSET($H$3,0,0,'Données projet'!$E$9+1,1))</f>
        <v>235.48251555416709</v>
      </c>
      <c r="T84" s="59">
        <f t="shared" si="88"/>
        <v>228.3457409585393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69.58474210082116</v>
      </c>
      <c r="AA84" s="21">
        <f>EXP(-LN(2)/25)*AA83+(1-EXP(-LN(2)/25))/(LN(2)/25)*Calculateur!V84*Calculateur!X84*VLOOKUP('Données projet'!$B$9,Paramètres!$A$1:$I$89,3,0)*0.475*44/12</f>
        <v>28.898258275674575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98.483000376495738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69.07679999999992</v>
      </c>
      <c r="D85" s="11">
        <f t="shared" si="86"/>
        <v>19.444017627378649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683.31859221134334</v>
      </c>
      <c r="H85" s="67">
        <f t="shared" si="56"/>
        <v>410.84042403435103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14.284999999999997</v>
      </c>
      <c r="N85" s="13">
        <f>IF('Données projet'!$A$36&gt;35,N84+M85-V84,IF(A85&lt;'Données projet'!$A$36,$K$205^A85,IF(A85='Données projet'!$A$36,'Données projet'!$B$36,N84+M85-V84)))</f>
        <v>494.42499999999995</v>
      </c>
      <c r="O85" s="13">
        <f>N85*VLOOKUP('Données projet'!$B$9,Paramètres!$A$1:$I$89,3,0)*VLOOKUP('Données projet'!$B$9,Paramètres!$A$1:$I$89,5,0)</f>
        <v>231.39089999999996</v>
      </c>
      <c r="P85" s="13">
        <f t="shared" si="87"/>
        <v>56.583321018141255</v>
      </c>
      <c r="Q85" s="20">
        <f t="shared" si="54"/>
        <v>501.555101606596</v>
      </c>
      <c r="R85" s="59">
        <f t="shared" si="55"/>
        <v>794.88843493992931</v>
      </c>
      <c r="S85" s="59">
        <f ca="1">AVERAGE(OFFSET($R$3,0,0,'Données projet'!$E$9+1,1))-AVERAGE(OFFSET($H$3,0,0,'Données projet'!$E$9+1,1))</f>
        <v>235.48251555416709</v>
      </c>
      <c r="T85" s="59">
        <f t="shared" si="88"/>
        <v>228.3457409585393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68.220227750725883</v>
      </c>
      <c r="AA85" s="21">
        <f>EXP(-LN(2)/25)*AA84+(1-EXP(-LN(2)/25))/(LN(2)/25)*Calculateur!V85*Calculateur!X85*VLOOKUP('Données projet'!$B$9,Paramètres!$A$1:$I$89,3,0)*0.475*44/12</f>
        <v>28.108033883432899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96.328261634158778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69.919199999999918</v>
      </c>
      <c r="D86" s="11">
        <f t="shared" si="86"/>
        <v>19.653390735061713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691.43754251626524</v>
      </c>
      <c r="H86" s="67">
        <f t="shared" si="56"/>
        <v>412.672262196899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>
        <f>VLOOKUP(A86,'Données projet'!$A$35:$I$55,2,0)</f>
        <v>508.71</v>
      </c>
      <c r="L86" s="12">
        <f>VLOOKUP(A86,'Données projet'!$A$35:$I$55,9,0)</f>
        <v>14.284999999999997</v>
      </c>
      <c r="M86" s="12">
        <f t="array" ref="M86">INDEX(L:L,MIN(IF(ISNUMBER(L86:L282),ROW(L86:L282),"")))</f>
        <v>14.284999999999997</v>
      </c>
      <c r="N86" s="13">
        <f>IF('Données projet'!$A$36&gt;35,N85+M86-V85,IF(A86&lt;'Données projet'!$A$36,$K$205^A86,IF(A86='Données projet'!$A$36,'Données projet'!$B$36,N85+M86-V85)))</f>
        <v>508.70999999999992</v>
      </c>
      <c r="O86" s="13">
        <f>N86*VLOOKUP('Données projet'!$B$9,Paramètres!$A$1:$I$89,3,0)*VLOOKUP('Données projet'!$B$9,Paramètres!$A$1:$I$89,5,0)</f>
        <v>238.07627999999994</v>
      </c>
      <c r="P86" s="13">
        <f t="shared" si="87"/>
        <v>58.025439090467444</v>
      </c>
      <c r="Q86" s="20">
        <f t="shared" si="54"/>
        <v>515.71049408256397</v>
      </c>
      <c r="R86" s="59">
        <f t="shared" si="55"/>
        <v>809.04382741589734</v>
      </c>
      <c r="S86" s="59">
        <f ca="1">AVERAGE(OFFSET($R$3,0,0,'Données projet'!$E$9+1,1))-AVERAGE(OFFSET($H$3,0,0,'Données projet'!$E$9+1,1))</f>
        <v>235.48251555416709</v>
      </c>
      <c r="T86" s="59">
        <f t="shared" si="88"/>
        <v>228.3457409585393</v>
      </c>
      <c r="U86" s="15">
        <f>IF(ISNA(VLOOKUP(A86,'Données projet'!$A$35:$I$55,3,0)),0,VLOOKUP(A86,'Données projet'!$A$35:$I$55,3,0))</f>
        <v>6</v>
      </c>
      <c r="V86" s="15">
        <f>IF(ISNA(VLOOKUP(A86,'Données projet'!$A$35:$I$55,4,0)),0,VLOOKUP(A86,'Données projet'!$A$35:$I$55,4,0))</f>
        <v>90.24</v>
      </c>
      <c r="W86" s="16">
        <f>IF(ISNA(VLOOKUP(A86,'Données projet'!$A$35:$I$55,5,0)),0%,VLOOKUP(A86,'Données projet'!$A$35:$I$55,5,0)*VLOOKUP('Données projet'!$B$9,Paramètres!$A$1:$I$89,7,0))</f>
        <v>0.38500000000000001</v>
      </c>
      <c r="X86" s="16">
        <f>IF(ISNA(VLOOKUP(A86,'Données projet'!$A$35:$I$55,6,0)),0%,VLOOKUP(A86,'Données projet'!$A$35:$I$55,6,0)*VLOOKUP('Données projet'!$B$9,Paramètres!$A$1:$I$89,7,0))</f>
        <v>0.16500000000000001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88.451670109122531</v>
      </c>
      <c r="AA86" s="21">
        <f>EXP(-LN(2)/25)*AA85+(1-EXP(-LN(2)/25))/(LN(2)/25)*Calculateur!V86*Calculateur!X86*VLOOKUP('Données projet'!$B$9,Paramètres!$A$1:$I$89,3,0)*0.475*44/12</f>
        <v>36.546963900647953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124.99863400977048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70.761599999999916</v>
      </c>
      <c r="D87" s="11">
        <f t="shared" si="86"/>
        <v>19.862470414169749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699.55422775850275</v>
      </c>
      <c r="H87" s="67">
        <f t="shared" si="56"/>
        <v>414.50358930467883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13.193750000000001</v>
      </c>
      <c r="N87" s="13">
        <f>IF('Données projet'!$A$36&gt;35,N86+M87-V86,IF(A87&lt;'Données projet'!$A$36,$K$205^A87,IF(A87='Données projet'!$A$36,'Données projet'!$B$36,N86+M87-V86)))</f>
        <v>431.66374999999994</v>
      </c>
      <c r="O87" s="13">
        <f>N87*VLOOKUP('Données projet'!$B$9,Paramètres!$A$1:$I$89,3,0)*VLOOKUP('Données projet'!$B$9,Paramètres!$A$1:$I$89,5,0)</f>
        <v>202.01863499999999</v>
      </c>
      <c r="P87" s="13">
        <f t="shared" si="87"/>
        <v>50.187542972770999</v>
      </c>
      <c r="Q87" s="20">
        <f t="shared" si="54"/>
        <v>439.2590933025761</v>
      </c>
      <c r="R87" s="59">
        <f t="shared" si="55"/>
        <v>732.59242663590942</v>
      </c>
      <c r="S87" s="59">
        <f ca="1">AVERAGE(OFFSET($R$3,0,0,'Données projet'!$E$9+1,1))-AVERAGE(OFFSET($H$3,0,0,'Données projet'!$E$9+1,1))</f>
        <v>235.48251555416709</v>
      </c>
      <c r="T87" s="59">
        <f t="shared" si="88"/>
        <v>228.3457409585393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86.717186808474267</v>
      </c>
      <c r="AA87" s="21">
        <f>EXP(-LN(2)/25)*AA86+(1-EXP(-LN(2)/25))/(LN(2)/25)*Calculateur!V87*Calculateur!X87*VLOOKUP('Données projet'!$B$9,Paramètres!$A$1:$I$89,3,0)*0.475*44/12</f>
        <v>35.547585250863435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122.2647720593377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71.603999999999914</v>
      </c>
      <c r="D88" s="11">
        <f t="shared" si="86"/>
        <v>20.071260561992577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707.66867802239813</v>
      </c>
      <c r="H88" s="67">
        <f t="shared" si="56"/>
        <v>416.33441214547031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13.193750000000001</v>
      </c>
      <c r="N88" s="13">
        <f>IF('Données projet'!$A$36&gt;35,N87+M88-V87,IF(A88&lt;'Données projet'!$A$36,$K$205^A88,IF(A88='Données projet'!$A$36,'Données projet'!$B$36,N87+M88-V87)))</f>
        <v>444.85749999999996</v>
      </c>
      <c r="O88" s="13">
        <f>N88*VLOOKUP('Données projet'!$B$9,Paramètres!$A$1:$I$89,3,0)*VLOOKUP('Données projet'!$B$9,Paramètres!$A$1:$I$89,5,0)</f>
        <v>208.19331</v>
      </c>
      <c r="P88" s="13">
        <f t="shared" si="87"/>
        <v>51.540580157437468</v>
      </c>
      <c r="Q88" s="20">
        <f t="shared" si="54"/>
        <v>452.36985869087033</v>
      </c>
      <c r="R88" s="59">
        <f t="shared" si="55"/>
        <v>745.70319202420364</v>
      </c>
      <c r="S88" s="59">
        <f ca="1">AVERAGE(OFFSET($R$3,0,0,'Données projet'!$E$9+1,1))-AVERAGE(OFFSET($H$3,0,0,'Données projet'!$E$9+1,1))</f>
        <v>235.48251555416709</v>
      </c>
      <c r="T88" s="59">
        <f t="shared" si="88"/>
        <v>228.3457409585393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85.016715667421366</v>
      </c>
      <c r="AA88" s="21">
        <f>EXP(-LN(2)/25)*AA87+(1-EXP(-LN(2)/25))/(LN(2)/25)*Calculateur!V88*Calculateur!X88*VLOOKUP('Données projet'!$B$9,Paramètres!$A$1:$I$89,3,0)*0.475*44/12</f>
        <v>34.575534662812309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119.59225033023367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72.446399999999912</v>
      </c>
      <c r="D89" s="11">
        <f t="shared" si="86"/>
        <v>20.279764978841854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715.78092264369081</v>
      </c>
      <c r="H89" s="67">
        <f t="shared" si="56"/>
        <v>418.16473733814939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13.193750000000001</v>
      </c>
      <c r="N89" s="13">
        <f>IF('Données projet'!$A$36&gt;35,N88+M89-V88,IF(A89&lt;'Données projet'!$A$36,$K$205^A89,IF(A89='Données projet'!$A$36,'Données projet'!$B$36,N88+M89-V88)))</f>
        <v>458.05124999999998</v>
      </c>
      <c r="O89" s="13">
        <f>N89*VLOOKUP('Données projet'!$B$9,Paramètres!$A$1:$I$89,3,0)*VLOOKUP('Données projet'!$B$9,Paramètres!$A$1:$I$89,5,0)</f>
        <v>214.367985</v>
      </c>
      <c r="P89" s="13">
        <f t="shared" si="87"/>
        <v>52.888953671199268</v>
      </c>
      <c r="Q89" s="20">
        <f t="shared" si="54"/>
        <v>465.47250151900539</v>
      </c>
      <c r="R89" s="59">
        <f t="shared" si="55"/>
        <v>758.80583485233865</v>
      </c>
      <c r="S89" s="59">
        <f ca="1">AVERAGE(OFFSET($R$3,0,0,'Données projet'!$E$9+1,1))-AVERAGE(OFFSET($H$3,0,0,'Données projet'!$E$9+1,1))</f>
        <v>235.48251555416709</v>
      </c>
      <c r="T89" s="59">
        <f t="shared" si="88"/>
        <v>228.3457409585393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83.349589728259531</v>
      </c>
      <c r="AA89" s="21">
        <f>EXP(-LN(2)/25)*AA88+(1-EXP(-LN(2)/25))/(LN(2)/25)*Calculateur!V89*Calculateur!X89*VLOOKUP('Données projet'!$B$9,Paramètres!$A$1:$I$89,3,0)*0.475*44/12</f>
        <v>33.630064849209361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116.97965457746889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73.28879999999991</v>
      </c>
      <c r="D90" s="11">
        <f t="shared" si="86"/>
        <v>20.487987371563197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723.89099023662754</v>
      </c>
      <c r="H90" s="67">
        <f t="shared" si="56"/>
        <v>419.99457133880571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13.193750000000001</v>
      </c>
      <c r="N90" s="13">
        <f>IF('Données projet'!$A$36&gt;35,N89+M90-V89,IF(A90&lt;'Données projet'!$A$36,$K$205^A90,IF(A90='Données projet'!$A$36,'Données projet'!$B$36,N89+M90-V89)))</f>
        <v>471.245</v>
      </c>
      <c r="O90" s="13">
        <f>N90*VLOOKUP('Données projet'!$B$9,Paramètres!$A$1:$I$89,3,0)*VLOOKUP('Données projet'!$B$9,Paramètres!$A$1:$I$89,5,0)</f>
        <v>220.54266000000001</v>
      </c>
      <c r="P90" s="13">
        <f t="shared" si="87"/>
        <v>54.232813274040076</v>
      </c>
      <c r="Q90" s="20">
        <f t="shared" si="54"/>
        <v>478.56728261895313</v>
      </c>
      <c r="R90" s="59">
        <f t="shared" si="55"/>
        <v>771.90061595228644</v>
      </c>
      <c r="S90" s="59">
        <f ca="1">AVERAGE(OFFSET($R$3,0,0,'Données projet'!$E$9+1,1))-AVERAGE(OFFSET($H$3,0,0,'Données projet'!$E$9+1,1))</f>
        <v>235.48251555416709</v>
      </c>
      <c r="T90" s="59">
        <f t="shared" si="88"/>
        <v>228.3457409585393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81.715155111918236</v>
      </c>
      <c r="AA90" s="21">
        <f>EXP(-LN(2)/25)*AA89+(1-EXP(-LN(2)/25))/(LN(2)/25)*Calculateur!V90*Calculateur!X90*VLOOKUP('Données projet'!$B$9,Paramètres!$A$1:$I$89,3,0)*0.475*44/12</f>
        <v>32.710448957379484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114.42560406929772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74.131199999999907</v>
      </c>
      <c r="D91" s="11">
        <f t="shared" si="86"/>
        <v>20.695931356882308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731.99890871979267</v>
      </c>
      <c r="H91" s="67">
        <f t="shared" si="56"/>
        <v>421.8239204465699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13.193750000000001</v>
      </c>
      <c r="N91" s="13">
        <f>IF('Données projet'!$A$36&gt;35,N90+M91-V90,IF(A91&lt;'Données projet'!$A$36,$K$205^A91,IF(A91='Données projet'!$A$36,'Données projet'!$B$36,N90+M91-V90)))</f>
        <v>484.43875000000003</v>
      </c>
      <c r="O91" s="13">
        <f>N91*VLOOKUP('Données projet'!$B$9,Paramètres!$A$1:$I$89,3,0)*VLOOKUP('Données projet'!$B$9,Paramètres!$A$1:$I$89,5,0)</f>
        <v>226.71733500000002</v>
      </c>
      <c r="P91" s="13">
        <f t="shared" si="87"/>
        <v>55.572299862975768</v>
      </c>
      <c r="Q91" s="20">
        <f t="shared" si="54"/>
        <v>491.65444738634943</v>
      </c>
      <c r="R91" s="59">
        <f t="shared" si="55"/>
        <v>784.98778071968275</v>
      </c>
      <c r="S91" s="59">
        <f ca="1">AVERAGE(OFFSET($R$3,0,0,'Données projet'!$E$9+1,1))-AVERAGE(OFFSET($H$3,0,0,'Données projet'!$E$9+1,1))</f>
        <v>235.48251555416709</v>
      </c>
      <c r="T91" s="59">
        <f t="shared" si="88"/>
        <v>228.3457409585393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80.112770761496719</v>
      </c>
      <c r="AA91" s="21">
        <f>EXP(-LN(2)/25)*AA90+(1-EXP(-LN(2)/25))/(LN(2)/25)*Calculateur!V91*Calculateur!X91*VLOOKUP('Données projet'!$B$9,Paramètres!$A$1:$I$89,3,0)*0.475*44/12</f>
        <v>31.815980010472192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111.92875077196891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74.973599999999905</v>
      </c>
      <c r="D92" s="11">
        <f t="shared" si="86"/>
        <v>20.903600464594543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740.1047053407292</v>
      </c>
      <c r="H92" s="67">
        <f t="shared" si="56"/>
        <v>423.65279080916866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13.193750000000001</v>
      </c>
      <c r="N92" s="13">
        <f>IF('Données projet'!$A$36&gt;35,N91+M92-V91,IF(A92&lt;'Données projet'!$A$36,$K$205^A92,IF(A92='Données projet'!$A$36,'Données projet'!$B$36,N91+M92-V91)))</f>
        <v>497.63250000000005</v>
      </c>
      <c r="O92" s="13">
        <f>N92*VLOOKUP('Données projet'!$B$9,Paramètres!$A$1:$I$89,3,0)*VLOOKUP('Données projet'!$B$9,Paramètres!$A$1:$I$89,5,0)</f>
        <v>232.89201000000003</v>
      </c>
      <c r="P92" s="13">
        <f t="shared" si="87"/>
        <v>56.90754622348863</v>
      </c>
      <c r="Q92" s="20">
        <f t="shared" si="54"/>
        <v>504.73422708924267</v>
      </c>
      <c r="R92" s="59">
        <f t="shared" si="55"/>
        <v>798.06756042257598</v>
      </c>
      <c r="S92" s="59">
        <f ca="1">AVERAGE(OFFSET($R$3,0,0,'Données projet'!$E$9+1,1))-AVERAGE(OFFSET($H$3,0,0,'Données projet'!$E$9+1,1))</f>
        <v>235.48251555416709</v>
      </c>
      <c r="T92" s="59">
        <f t="shared" si="88"/>
        <v>228.3457409585393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78.541808190829016</v>
      </c>
      <c r="AA92" s="21">
        <f>EXP(-LN(2)/25)*AA91+(1-EXP(-LN(2)/25))/(LN(2)/25)*Calculateur!V92*Calculateur!X92*VLOOKUP('Données projet'!$B$9,Paramètres!$A$1:$I$89,3,0)*0.475*44/12</f>
        <v>30.945970363956157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109.48777855478517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75.815999999999903</v>
      </c>
      <c r="D93" s="11">
        <f t="shared" si="86"/>
        <v>21.110998140607126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748.20840669942265</v>
      </c>
      <c r="H93" s="67">
        <f t="shared" si="56"/>
        <v>425.4811884282239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13.193750000000001</v>
      </c>
      <c r="N93" s="13">
        <f>IF('Données projet'!$A$36&gt;35,N92+M93-V92,IF(A93&lt;'Données projet'!$A$36,$K$205^A93,IF(A93='Données projet'!$A$36,'Données projet'!$B$36,N92+M93-V92)))</f>
        <v>510.82625000000007</v>
      </c>
      <c r="O93" s="13">
        <f>N93*VLOOKUP('Données projet'!$B$9,Paramètres!$A$1:$I$89,3,0)*VLOOKUP('Données projet'!$B$9,Paramètres!$A$1:$I$89,5,0)</f>
        <v>239.06668500000004</v>
      </c>
      <c r="P93" s="13">
        <f t="shared" si="87"/>
        <v>58.238677699028834</v>
      </c>
      <c r="Q93" s="20">
        <f t="shared" si="54"/>
        <v>517.80684003414194</v>
      </c>
      <c r="R93" s="59">
        <f t="shared" si="55"/>
        <v>811.1401733674752</v>
      </c>
      <c r="S93" s="59">
        <f ca="1">AVERAGE(OFFSET($R$3,0,0,'Données projet'!$E$9+1,1))-AVERAGE(OFFSET($H$3,0,0,'Données projet'!$E$9+1,1))</f>
        <v>235.48251555416709</v>
      </c>
      <c r="T93" s="59">
        <f t="shared" si="88"/>
        <v>228.3457409585393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77.001651237979559</v>
      </c>
      <c r="AA93" s="21">
        <f>EXP(-LN(2)/25)*AA92+(1-EXP(-LN(2)/25))/(LN(2)/25)*Calculateur!V93*Calculateur!X93*VLOOKUP('Données projet'!$B$9,Paramètres!$A$1:$I$89,3,0)*0.475*44/12</f>
        <v>30.099751176975921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107.10140241495549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76.658399999999901</v>
      </c>
      <c r="D94" s="11">
        <f t="shared" si="86"/>
        <v>21.318127749842336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756.31003877071191</v>
      </c>
      <c r="H94" s="67">
        <f t="shared" si="56"/>
        <v>427.30911916430853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>
        <f>VLOOKUP(A94,'Données projet'!$A$35:$I$55,2,0)</f>
        <v>524.02</v>
      </c>
      <c r="L94" s="12">
        <f>VLOOKUP(A94,'Données projet'!$A$35:$I$55,9,0)</f>
        <v>13.193750000000001</v>
      </c>
      <c r="M94" s="12">
        <f t="array" ref="M94">INDEX(L:L,MIN(IF(ISNUMBER(L94:L290),ROW(L94:L290),"")))</f>
        <v>13.193750000000001</v>
      </c>
      <c r="N94" s="13">
        <f>IF('Données projet'!$A$36&gt;35,N93+M94-V93,IF(A94&lt;'Données projet'!$A$36,$K$205^A94,IF(A94='Données projet'!$A$36,'Données projet'!$B$36,N93+M94-V93)))</f>
        <v>524.0200000000001</v>
      </c>
      <c r="O94" s="13">
        <f>N94*VLOOKUP('Données projet'!$B$9,Paramètres!$A$1:$I$89,3,0)*VLOOKUP('Données projet'!$B$9,Paramètres!$A$1:$I$89,5,0)</f>
        <v>245.24136000000004</v>
      </c>
      <c r="P94" s="13">
        <f t="shared" si="87"/>
        <v>59.565812789401114</v>
      </c>
      <c r="Q94" s="20">
        <f t="shared" si="54"/>
        <v>530.87249260820693</v>
      </c>
      <c r="R94" s="59">
        <f t="shared" si="55"/>
        <v>824.2058259415403</v>
      </c>
      <c r="S94" s="59">
        <f ca="1">AVERAGE(OFFSET($R$3,0,0,'Données projet'!$E$9+1,1))-AVERAGE(OFFSET($H$3,0,0,'Données projet'!$E$9+1,1))</f>
        <v>235.48251555416709</v>
      </c>
      <c r="T94" s="59">
        <f t="shared" si="88"/>
        <v>228.3457409585393</v>
      </c>
      <c r="U94" s="15">
        <f>IF(ISNA(VLOOKUP(A94,'Données projet'!$A$35:$I$55,3,0)),0,VLOOKUP(A94,'Données projet'!$A$35:$I$55,3,0))</f>
        <v>7</v>
      </c>
      <c r="V94" s="15">
        <f>IF(ISNA(VLOOKUP(A94,'Données projet'!$A$35:$I$55,4,0)),0,VLOOKUP(A94,'Données projet'!$A$35:$I$55,4,0))</f>
        <v>260.64</v>
      </c>
      <c r="W94" s="16">
        <f>IF(ISNA(VLOOKUP(A94,'Données projet'!$A$35:$I$55,5,0)),0%,VLOOKUP(A94,'Données projet'!$A$35:$I$55,5,0)*VLOOKUP('Données projet'!$B$9,Paramètres!$A$1:$I$89,7,0))</f>
        <v>0.38500000000000001</v>
      </c>
      <c r="X94" s="16">
        <f>IF(ISNA(VLOOKUP(A94,'Données projet'!$A$35:$I$55,6,0)),0%,VLOOKUP(A94,'Données projet'!$A$35:$I$55,6,0)*VLOOKUP('Données projet'!$B$9,Paramètres!$A$1:$I$89,7,0))</f>
        <v>0.16500000000000001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137.78996860014945</v>
      </c>
      <c r="AA94" s="21">
        <f>EXP(-LN(2)/25)*AA93+(1-EXP(-LN(2)/25))/(LN(2)/25)*Calculateur!V94*Calculateur!X94*VLOOKUP('Données projet'!$B$9,Paramètres!$A$1:$I$89,3,0)*0.475*44/12</f>
        <v>55.870806500658389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193.66077510080783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77.500799999999899</v>
      </c>
      <c r="D95" s="11">
        <f t="shared" si="86"/>
        <v>21.524992579009236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764.40962692568462</v>
      </c>
      <c r="H95" s="67">
        <f t="shared" si="56"/>
        <v>429.13658874177429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8.7800000000000011</v>
      </c>
      <c r="N95" s="13">
        <f>IF('Données projet'!$A$36&gt;35,N94+M95-V94,IF(A95&lt;'Données projet'!$A$36,$K$205^A95,IF(A95='Données projet'!$A$36,'Données projet'!$B$36,N94+M95-V94)))</f>
        <v>272.16000000000008</v>
      </c>
      <c r="O95" s="13">
        <f>N95*VLOOKUP('Données projet'!$B$9,Paramètres!$A$1:$I$89,3,0)*VLOOKUP('Données projet'!$B$9,Paramètres!$A$1:$I$89,5,0)</f>
        <v>127.37088000000004</v>
      </c>
      <c r="P95" s="13">
        <f t="shared" si="87"/>
        <v>33.388126388800522</v>
      </c>
      <c r="Q95" s="20">
        <f t="shared" si="54"/>
        <v>279.98860279382762</v>
      </c>
      <c r="R95" s="59">
        <f t="shared" si="55"/>
        <v>573.32193612716094</v>
      </c>
      <c r="S95" s="59">
        <f ca="1">AVERAGE(OFFSET($R$3,0,0,'Données projet'!$E$9+1,1))-AVERAGE(OFFSET($H$3,0,0,'Données projet'!$E$9+1,1))</f>
        <v>235.48251555416709</v>
      </c>
      <c r="T95" s="59">
        <f t="shared" si="88"/>
        <v>228.3457409585393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135.08799135948274</v>
      </c>
      <c r="AA95" s="21">
        <f>EXP(-LN(2)/25)*AA94+(1-EXP(-LN(2)/25))/(LN(2)/25)*Calculateur!V95*Calculateur!X95*VLOOKUP('Données projet'!$B$9,Paramètres!$A$1:$I$89,3,0)*0.475*44/12</f>
        <v>54.343016358779863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189.43100771826261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78.343199999999896</v>
      </c>
      <c r="D96" s="11">
        <f t="shared" si="86"/>
        <v>21.731595839251778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772.50719595211831</v>
      </c>
      <c r="H96" s="67">
        <f t="shared" si="56"/>
        <v>430.96360275336338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8.7800000000000011</v>
      </c>
      <c r="N96" s="13">
        <f>IF('Données projet'!$A$36&gt;35,N95+M96-V95,IF(A96&lt;'Données projet'!$A$36,$K$205^A96,IF(A96='Données projet'!$A$36,'Données projet'!$B$36,N95+M96-V95)))</f>
        <v>280.94000000000005</v>
      </c>
      <c r="O96" s="13">
        <f>N96*VLOOKUP('Données projet'!$B$9,Paramètres!$A$1:$I$89,3,0)*VLOOKUP('Données projet'!$B$9,Paramètres!$A$1:$I$89,5,0)</f>
        <v>131.47992000000002</v>
      </c>
      <c r="P96" s="13">
        <f t="shared" si="87"/>
        <v>34.338099777715627</v>
      </c>
      <c r="Q96" s="20">
        <f t="shared" si="54"/>
        <v>288.79971777952142</v>
      </c>
      <c r="R96" s="59">
        <f t="shared" si="55"/>
        <v>582.13305111285467</v>
      </c>
      <c r="S96" s="59">
        <f ca="1">AVERAGE(OFFSET($R$3,0,0,'Données projet'!$E$9+1,1))-AVERAGE(OFFSET($H$3,0,0,'Données projet'!$E$9+1,1))</f>
        <v>235.48251555416709</v>
      </c>
      <c r="T96" s="59">
        <f t="shared" si="88"/>
        <v>228.3457409585393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132.43899824446214</v>
      </c>
      <c r="AA96" s="21">
        <f>EXP(-LN(2)/25)*AA95+(1-EXP(-LN(2)/25))/(LN(2)/25)*Calculateur!V96*Calculateur!X96*VLOOKUP('Données projet'!$B$9,Paramètres!$A$1:$I$89,3,0)*0.475*44/12</f>
        <v>52.857003718674001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185.29600196313615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79.185599999999894</v>
      </c>
      <c r="D97" s="11">
        <f t="shared" si="86"/>
        <v>21.937940668679385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780.60277007401555</v>
      </c>
      <c r="H97" s="67">
        <f t="shared" si="56"/>
        <v>432.79016666461644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8.7800000000000011</v>
      </c>
      <c r="N97" s="13">
        <f>IF('Données projet'!$A$36&gt;35,N96+M97-V96,IF(A97&lt;'Données projet'!$A$36,$K$205^A97,IF(A97='Données projet'!$A$36,'Données projet'!$B$36,N96+M97-V96)))</f>
        <v>289.72000000000003</v>
      </c>
      <c r="O97" s="13">
        <f>N97*VLOOKUP('Données projet'!$B$9,Paramètres!$A$1:$I$89,3,0)*VLOOKUP('Données projet'!$B$9,Paramètres!$A$1:$I$89,5,0)</f>
        <v>135.58896000000001</v>
      </c>
      <c r="P97" s="13">
        <f t="shared" si="87"/>
        <v>35.284623077088426</v>
      </c>
      <c r="Q97" s="20">
        <f t="shared" si="54"/>
        <v>297.6048238592623</v>
      </c>
      <c r="R97" s="59">
        <f t="shared" si="55"/>
        <v>590.93815719259555</v>
      </c>
      <c r="S97" s="59">
        <f ca="1">AVERAGE(OFFSET($R$3,0,0,'Données projet'!$E$9+1,1))-AVERAGE(OFFSET($H$3,0,0,'Données projet'!$E$9+1,1))</f>
        <v>235.48251555416709</v>
      </c>
      <c r="T97" s="59">
        <f t="shared" si="88"/>
        <v>228.3457409585393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129.84195026870083</v>
      </c>
      <c r="AA97" s="21">
        <f>EXP(-LN(2)/25)*AA96+(1-EXP(-LN(2)/25))/(LN(2)/25)*Calculateur!V97*Calculateur!X97*VLOOKUP('Données projet'!$B$9,Paramètres!$A$1:$I$89,3,0)*0.475*44/12</f>
        <v>51.411626172357842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181.25357644105867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80.027999999999892</v>
      </c>
      <c r="D98" s="11">
        <f t="shared" si="86"/>
        <v>22.144030134787116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788.69637297028567</v>
      </c>
      <c r="H98" s="67">
        <f t="shared" si="56"/>
        <v>434.61628581808736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8.7800000000000011</v>
      </c>
      <c r="N98" s="13">
        <f>IF('Données projet'!$A$36&gt;35,N97+M98-V97,IF(A98&lt;'Données projet'!$A$36,$K$205^A98,IF(A98='Données projet'!$A$36,'Données projet'!$B$36,N97+M98-V97)))</f>
        <v>298.5</v>
      </c>
      <c r="O98" s="13">
        <f>N98*VLOOKUP('Données projet'!$B$9,Paramètres!$A$1:$I$89,3,0)*VLOOKUP('Données projet'!$B$9,Paramètres!$A$1:$I$89,5,0)</f>
        <v>139.69800000000001</v>
      </c>
      <c r="P98" s="13">
        <f t="shared" si="87"/>
        <v>36.227812843101376</v>
      </c>
      <c r="Q98" s="20">
        <f t="shared" si="54"/>
        <v>306.40412403506821</v>
      </c>
      <c r="R98" s="59">
        <f t="shared" si="55"/>
        <v>599.73745736840146</v>
      </c>
      <c r="S98" s="59">
        <f ca="1">AVERAGE(OFFSET($R$3,0,0,'Données projet'!$E$9+1,1))-AVERAGE(OFFSET($H$3,0,0,'Données projet'!$E$9+1,1))</f>
        <v>235.48251555416709</v>
      </c>
      <c r="T98" s="59">
        <f t="shared" si="88"/>
        <v>228.3457409585393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127.29582881970134</v>
      </c>
      <c r="AA98" s="21">
        <f>EXP(-LN(2)/25)*AA97+(1-EXP(-LN(2)/25))/(LN(2)/25)*Calculateur!V98*Calculateur!X98*VLOOKUP('Données projet'!$B$9,Paramètres!$A$1:$I$89,3,0)*0.475*44/12</f>
        <v>50.005772551054797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177.30160137075615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80.87039999999989</v>
      </c>
      <c r="D99" s="11">
        <f t="shared" si="86"/>
        <v>22.34986723677077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796.78802779261571</v>
      </c>
      <c r="H99" s="67">
        <f t="shared" si="56"/>
        <v>436.44196543737559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8.7800000000000011</v>
      </c>
      <c r="N99" s="13">
        <f>IF('Données projet'!$A$36&gt;35,N98+M99-V98,IF(A99&lt;'Données projet'!$A$36,$K$205^A99,IF(A99='Données projet'!$A$36,'Données projet'!$B$36,N98+M99-V98)))</f>
        <v>307.27999999999997</v>
      </c>
      <c r="O99" s="13">
        <f>N99*VLOOKUP('Données projet'!$B$9,Paramètres!$A$1:$I$89,3,0)*VLOOKUP('Données projet'!$B$9,Paramètres!$A$1:$I$89,5,0)</f>
        <v>143.80704</v>
      </c>
      <c r="P99" s="13">
        <f t="shared" si="87"/>
        <v>37.167778385413669</v>
      </c>
      <c r="Q99" s="20">
        <f t="shared" ref="Q99:Q130" si="107">(O99+P99)*0.475*44/12</f>
        <v>315.19780868792878</v>
      </c>
      <c r="R99" s="59">
        <f t="shared" si="55"/>
        <v>608.5311420212621</v>
      </c>
      <c r="S99" s="59">
        <f ca="1">AVERAGE(OFFSET($R$3,0,0,'Données projet'!$E$9+1,1))-AVERAGE(OFFSET($H$3,0,0,'Données projet'!$E$9+1,1))</f>
        <v>235.48251555416709</v>
      </c>
      <c r="T99" s="59">
        <f t="shared" si="88"/>
        <v>228.3457409585393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124.79963525933599</v>
      </c>
      <c r="AA99" s="21">
        <f>EXP(-LN(2)/25)*AA98+(1-EXP(-LN(2)/25))/(LN(2)/25)*Calculateur!V99*Calculateur!X99*VLOOKUP('Données projet'!$B$9,Paramètres!$A$1:$I$89,3,0)*0.475*44/12</f>
        <v>48.638362070956916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173.43799733029289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81.712799999999888</v>
      </c>
      <c r="D100" s="11">
        <f t="shared" si="86"/>
        <v>22.555454907742881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804.87775718257581</v>
      </c>
      <c r="H100" s="67">
        <f t="shared" si="56"/>
        <v>438.26721063098535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8.7800000000000011</v>
      </c>
      <c r="N100" s="13">
        <f>IF('Données projet'!$A$36&gt;35,N99+M100-V99,IF(A100&lt;'Données projet'!$A$36,$K$205^A100,IF(A100='Données projet'!$A$36,'Données projet'!$B$36,N99+M100-V99)))</f>
        <v>316.05999999999995</v>
      </c>
      <c r="O100" s="13">
        <f>N100*VLOOKUP('Données projet'!$B$9,Paramètres!$A$1:$I$89,3,0)*VLOOKUP('Données projet'!$B$9,Paramètres!$A$1:$I$89,5,0)</f>
        <v>147.91607999999999</v>
      </c>
      <c r="P100" s="13">
        <f t="shared" si="87"/>
        <v>38.10462241171755</v>
      </c>
      <c r="Q100" s="20">
        <f t="shared" si="107"/>
        <v>323.98605670040803</v>
      </c>
      <c r="R100" s="59">
        <f t="shared" si="55"/>
        <v>617.31939003374134</v>
      </c>
      <c r="S100" s="59">
        <f ca="1">AVERAGE(OFFSET($R$3,0,0,'Données projet'!$E$9+1,1))-AVERAGE(OFFSET($H$3,0,0,'Données projet'!$E$9+1,1))</f>
        <v>235.48251555416709</v>
      </c>
      <c r="T100" s="59">
        <f t="shared" si="88"/>
        <v>228.3457409585393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122.35239053216166</v>
      </c>
      <c r="AA100" s="21">
        <f>EXP(-LN(2)/25)*AA99+(1-EXP(-LN(2)/25))/(LN(2)/25)*Calculateur!V100*Calculateur!X100*VLOOKUP('Données projet'!$B$9,Paramètres!$A$1:$I$89,3,0)*0.475*44/12</f>
        <v>47.308343502346304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169.66073403450798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82.555199999999886</v>
      </c>
      <c r="D101" s="11">
        <f t="shared" si="86"/>
        <v>22.760796016854759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812.96558328800074</v>
      </c>
      <c r="H101" s="67">
        <f t="shared" si="56"/>
        <v>440.09202639602182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8.7800000000000011</v>
      </c>
      <c r="N101" s="13">
        <f>IF('Données projet'!$A$36&gt;35,N100+M101-V100,IF(A101&lt;'Données projet'!$A$36,$K$205^A101,IF(A101='Données projet'!$A$36,'Données projet'!$B$36,N100+M101-V100)))</f>
        <v>324.83999999999992</v>
      </c>
      <c r="O101" s="13">
        <f>N101*VLOOKUP('Données projet'!$B$9,Paramètres!$A$1:$I$89,3,0)*VLOOKUP('Données projet'!$B$9,Paramètres!$A$1:$I$89,5,0)</f>
        <v>152.02511999999996</v>
      </c>
      <c r="P101" s="13">
        <f t="shared" si="87"/>
        <v>39.038441598659134</v>
      </c>
      <c r="Q101" s="20">
        <f t="shared" si="107"/>
        <v>332.76903645099787</v>
      </c>
      <c r="R101" s="59">
        <f t="shared" si="55"/>
        <v>626.10236978433113</v>
      </c>
      <c r="S101" s="59">
        <f ca="1">AVERAGE(OFFSET($R$3,0,0,'Données projet'!$E$9+1,1))-AVERAGE(OFFSET($H$3,0,0,'Données projet'!$E$9+1,1))</f>
        <v>235.48251555416709</v>
      </c>
      <c r="T101" s="59">
        <f t="shared" si="88"/>
        <v>228.3457409585393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119.95313478141533</v>
      </c>
      <c r="AA101" s="21">
        <f>EXP(-LN(2)/25)*AA100+(1-EXP(-LN(2)/25))/(LN(2)/25)*Calculateur!V101*Calculateur!X101*VLOOKUP('Données projet'!$B$9,Paramètres!$A$1:$I$89,3,0)*0.475*44/12</f>
        <v>46.014694361436987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165.96782914285231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83.397599999999883</v>
      </c>
      <c r="D102" s="11">
        <f t="shared" si="86"/>
        <v>22.965893371329273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821.05152777868125</v>
      </c>
      <c r="H102" s="67">
        <f t="shared" si="56"/>
        <v>441.91641762173163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8.7800000000000011</v>
      </c>
      <c r="N102" s="13">
        <f>IF('Données projet'!$A$36&gt;35,N101+M102-V101,IF(A102&lt;'Données projet'!$A$36,$K$205^A102,IF(A102='Données projet'!$A$36,'Données projet'!$B$36,N101+M102-V101)))</f>
        <v>333.61999999999989</v>
      </c>
      <c r="O102" s="13">
        <f>N102*VLOOKUP('Données projet'!$B$9,Paramètres!$A$1:$I$89,3,0)*VLOOKUP('Données projet'!$B$9,Paramètres!$A$1:$I$89,5,0)</f>
        <v>156.13415999999995</v>
      </c>
      <c r="P102" s="13">
        <f t="shared" si="87"/>
        <v>39.969327099298738</v>
      </c>
      <c r="Q102" s="20">
        <f t="shared" si="107"/>
        <v>341.54690669794519</v>
      </c>
      <c r="R102" s="59">
        <f t="shared" si="55"/>
        <v>634.8802400312785</v>
      </c>
      <c r="S102" s="59">
        <f ca="1">AVERAGE(OFFSET($R$3,0,0,'Données projet'!$E$9+1,1))-AVERAGE(OFFSET($H$3,0,0,'Données projet'!$E$9+1,1))</f>
        <v>235.48251555416709</v>
      </c>
      <c r="T102" s="59">
        <f t="shared" si="88"/>
        <v>228.3457409585393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117.60092697253963</v>
      </c>
      <c r="AA102" s="21">
        <f>EXP(-LN(2)/25)*AA101+(1-EXP(-LN(2)/25))/(LN(2)/25)*Calculateur!V102*Calculateur!X102*VLOOKUP('Données projet'!$B$9,Paramètres!$A$1:$I$89,3,0)*0.475*44/12</f>
        <v>44.756420124315888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162.35734709685551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84.239999999999881</v>
      </c>
      <c r="D103" s="11">
        <f t="shared" si="86"/>
        <v>23.170749718409446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829.13561186140532</v>
      </c>
      <c r="H103" s="67">
        <f t="shared" si="56"/>
        <v>443.74038909289629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8.7800000000000011</v>
      </c>
      <c r="N103" s="13">
        <f>IF('Données projet'!$A$36&gt;35,N102+M103-V102,IF(A103&lt;'Données projet'!$A$36,$K$205^A103,IF(A103='Données projet'!$A$36,'Données projet'!$B$36,N102+M103-V102)))</f>
        <v>342.39999999999986</v>
      </c>
      <c r="O103" s="13">
        <f>N103*VLOOKUP('Données projet'!$B$9,Paramètres!$A$1:$I$89,3,0)*VLOOKUP('Données projet'!$B$9,Paramètres!$A$1:$I$89,5,0)</f>
        <v>160.24319999999994</v>
      </c>
      <c r="P103" s="13">
        <f t="shared" si="87"/>
        <v>40.897364995647678</v>
      </c>
      <c r="Q103" s="20">
        <f t="shared" si="107"/>
        <v>350.3198173674196</v>
      </c>
      <c r="R103" s="59">
        <f t="shared" si="55"/>
        <v>643.65315070075292</v>
      </c>
      <c r="S103" s="59">
        <f ca="1">AVERAGE(OFFSET($R$3,0,0,'Données projet'!$E$9+1,1))-AVERAGE(OFFSET($H$3,0,0,'Données projet'!$E$9+1,1))</f>
        <v>235.48251555416709</v>
      </c>
      <c r="T103" s="59">
        <f t="shared" si="88"/>
        <v>228.3457409585393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115.29484452409088</v>
      </c>
      <c r="AA103" s="21">
        <f>EXP(-LN(2)/25)*AA102+(1-EXP(-LN(2)/25))/(LN(2)/25)*Calculateur!V103*Calculateur!X103*VLOOKUP('Données projet'!$B$9,Paramètres!$A$1:$I$89,3,0)*0.475*44/12</f>
        <v>43.53255346237863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158.82739798646952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85.082399999999879</v>
      </c>
      <c r="D104" s="11">
        <f t="shared" si="86"/>
        <v>23.375367747226495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837.21785629437909</v>
      </c>
      <c r="H104" s="67">
        <f t="shared" si="56"/>
        <v>445.56394549308595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>
        <f>VLOOKUP(A104,'Données projet'!$A$35:$I$55,2,0)</f>
        <v>351.18</v>
      </c>
      <c r="L104" s="12">
        <f>VLOOKUP(A104,'Données projet'!$A$35:$I$55,9,0)</f>
        <v>8.7800000000000011</v>
      </c>
      <c r="M104" s="12">
        <f t="array" ref="M104">INDEX(L:L,MIN(IF(ISNUMBER(L104:L300),ROW(L104:L300),"")))</f>
        <v>8.7800000000000011</v>
      </c>
      <c r="N104" s="13">
        <f>IF('Données projet'!$A$36&gt;35,N103+M104-V103,IF(A104&lt;'Données projet'!$A$36,$K$205^A104,IF(A104='Données projet'!$A$36,'Données projet'!$B$36,N103+M104-V103)))</f>
        <v>351.17999999999984</v>
      </c>
      <c r="O104" s="13">
        <f>N104*VLOOKUP('Données projet'!$B$9,Paramètres!$A$1:$I$89,3,0)*VLOOKUP('Données projet'!$B$9,Paramètres!$A$1:$I$89,5,0)</f>
        <v>164.35223999999991</v>
      </c>
      <c r="P104" s="13">
        <f t="shared" si="87"/>
        <v>41.822636703483255</v>
      </c>
      <c r="Q104" s="20">
        <f t="shared" si="107"/>
        <v>359.08791025856652</v>
      </c>
      <c r="R104" s="59">
        <f t="shared" si="55"/>
        <v>652.42124359189984</v>
      </c>
      <c r="S104" s="59">
        <f ca="1">AVERAGE(OFFSET($R$3,0,0,'Données projet'!$E$9+1,1))-AVERAGE(OFFSET($H$3,0,0,'Données projet'!$E$9+1,1))</f>
        <v>235.48251555416709</v>
      </c>
      <c r="T104" s="59">
        <f t="shared" si="88"/>
        <v>228.3457409585393</v>
      </c>
      <c r="U104" s="15">
        <f>IF(ISNA(VLOOKUP(A104,'Données projet'!$A$35:$I$55,3,0)),0,VLOOKUP(A104,'Données projet'!$A$35:$I$55,3,0))</f>
        <v>8</v>
      </c>
      <c r="V104" s="15">
        <f>IF(ISNA(VLOOKUP(A104,'Données projet'!$A$35:$I$55,4,0)),0,VLOOKUP(A104,'Données projet'!$A$35:$I$55,4,0))</f>
        <v>351.18</v>
      </c>
      <c r="W104" s="16">
        <f>IF(ISNA(VLOOKUP(A104,'Données projet'!$A$35:$I$55,5,0)),0%,VLOOKUP(A104,'Données projet'!$A$35:$I$55,5,0)*VLOOKUP('Données projet'!$B$9,Paramètres!$A$1:$I$89,7,0))</f>
        <v>0.38500000000000001</v>
      </c>
      <c r="X104" s="16">
        <f>IF(ISNA(VLOOKUP(A104,'Données projet'!$A$35:$I$55,6,0)),0%,VLOOKUP(A104,'Données projet'!$A$35:$I$55,6,0)*VLOOKUP('Données projet'!$B$9,Paramètres!$A$1:$I$89,7,0))</f>
        <v>0.16500000000000001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196.97316125189423</v>
      </c>
      <c r="AA104" s="21">
        <f>EXP(-LN(2)/25)*AA103+(1-EXP(-LN(2)/25))/(LN(2)/25)*Calculateur!V104*Calculateur!X104*VLOOKUP('Données projet'!$B$9,Paramètres!$A$1:$I$89,3,0)*0.475*44/12</f>
        <v>78.174443974822793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275.14760522671702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85.924799999999877</v>
      </c>
      <c r="D105" s="11">
        <f t="shared" si="86"/>
        <v>23.57975009059216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845.29828140106144</v>
      </c>
      <c r="H105" s="67">
        <f t="shared" si="56"/>
        <v>447.3870914077811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-7.9808160080574461E-14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235.48251555416709</v>
      </c>
      <c r="T105" s="59">
        <f t="shared" si="88"/>
        <v>228.3457409585393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193.11063770150992</v>
      </c>
      <c r="AA105" s="21">
        <f>EXP(-LN(2)/25)*AA104+(1-EXP(-LN(2)/25))/(LN(2)/25)*Calculateur!V105*Calculateur!X105*VLOOKUP('Données projet'!$B$9,Paramètres!$A$1:$I$89,3,0)*0.475*44/12</f>
        <v>76.036759693315929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269.14739739482582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86.767199999999875</v>
      </c>
      <c r="D106" s="11">
        <f t="shared" si="86"/>
        <v>23.783899326718423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853.37690708343951</v>
      </c>
      <c r="H106" s="67">
        <f t="shared" si="56"/>
        <v>449.20983132736774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-7.9808160080574461E-14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235.48251555416709</v>
      </c>
      <c r="T106" s="59">
        <f t="shared" si="88"/>
        <v>228.3457409585393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189.32385588204193</v>
      </c>
      <c r="AA106" s="21">
        <f>EXP(-LN(2)/25)*AA105+(1-EXP(-LN(2)/25))/(LN(2)/25)*Calculateur!V106*Calculateur!X106*VLOOKUP('Données projet'!$B$9,Paramètres!$A$1:$I$89,3,0)*0.475*44/12</f>
        <v>73.957530500902791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263.28138638294473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87.609599999999872</v>
      </c>
      <c r="D107" s="11">
        <f t="shared" si="86"/>
        <v>23.987817980868755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861.4537528347754</v>
      </c>
      <c r="H107" s="67">
        <f t="shared" si="56"/>
        <v>451.03216965001286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-7.9808160080574461E-14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235.48251555416709</v>
      </c>
      <c r="T107" s="59">
        <f t="shared" si="88"/>
        <v>228.3457409585393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185.61133054434484</v>
      </c>
      <c r="AA107" s="21">
        <f>EXP(-LN(2)/25)*AA106+(1-EXP(-LN(2)/25))/(LN(2)/25)*Calculateur!V107*Calculateur!X107*VLOOKUP('Données projet'!$B$9,Paramètres!$A$1:$I$89,3,0)*0.475*44/12</f>
        <v>71.935157940098108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257.54648848444293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88.45199999999987</v>
      </c>
      <c r="D108" s="11">
        <f t="shared" si="86"/>
        <v>24.191508526943913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869.52883775184671</v>
      </c>
      <c r="H108" s="67">
        <f t="shared" si="56"/>
        <v>452.8541106844271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-7.9808160080574461E-14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235.48251555416709</v>
      </c>
      <c r="T108" s="59">
        <f t="shared" si="88"/>
        <v>228.3457409585393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181.97160556410313</v>
      </c>
      <c r="AA108" s="21">
        <f>EXP(-LN(2)/25)*AA107+(1-EXP(-LN(2)/25))/(LN(2)/25)*Calculateur!V108*Calculateur!X108*VLOOKUP('Données projet'!$B$9,Paramètres!$A$1:$I$89,3,0)*0.475*44/12</f>
        <v>69.968087263320584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251.9396928274237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89.294399999999868</v>
      </c>
      <c r="D109" s="11">
        <f t="shared" si="86"/>
        <v>24.394973389005632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877.60218054670906</v>
      </c>
      <c r="H109" s="67">
        <f t="shared" si="56"/>
        <v>454.67565865251788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-7.9808160080574461E-14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235.48251555416709</v>
      </c>
      <c r="T109" s="59">
        <f t="shared" si="88"/>
        <v>228.3457409585393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178.40325337071093</v>
      </c>
      <c r="AA109" s="21">
        <f>EXP(-LN(2)/25)*AA108+(1-EXP(-LN(2)/25))/(LN(2)/25)*Calculateur!V109*Calculateur!X109*VLOOKUP('Données projet'!$B$9,Paramètres!$A$1:$I$89,3,0)*0.475*44/12</f>
        <v>68.054806237643291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246.45805960835423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90.136799999999866</v>
      </c>
      <c r="D110" s="11">
        <f t="shared" si="86"/>
        <v>24.598214942741151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885.67379955800095</v>
      </c>
      <c r="H110" s="67">
        <f t="shared" si="56"/>
        <v>456.49681769194063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-7.9808160080574461E-14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235.48251555416709</v>
      </c>
      <c r="T110" s="59">
        <f t="shared" si="88"/>
        <v>228.3457409585393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174.90487438735124</v>
      </c>
      <c r="AA110" s="21">
        <f>EXP(-LN(2)/25)*AA109+(1-EXP(-LN(2)/25))/(LN(2)/25)*Calculateur!V110*Calculateur!X110*VLOOKUP('Données projet'!$B$9,Paramètres!$A$1:$I$89,3,0)*0.475*44/12</f>
        <v>66.193843982228216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241.09871836957944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90.979199999999864</v>
      </c>
      <c r="D111" s="11">
        <f t="shared" si="86"/>
        <v>24.801235516871465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893.74371276181375</v>
      </c>
      <c r="H111" s="67">
        <f t="shared" si="56"/>
        <v>458.31759185855094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-7.9808160080574461E-14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235.48251555416709</v>
      </c>
      <c r="T111" s="59">
        <f t="shared" si="88"/>
        <v>228.3457409585393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171.47509648205474</v>
      </c>
      <c r="AA111" s="21">
        <f>EXP(-LN(2)/25)*AA110+(1-EXP(-LN(2)/25))/(LN(2)/25)*Calculateur!V111*Calculateur!X111*VLOOKUP('Données projet'!$B$9,Paramètres!$A$1:$I$89,3,0)*0.475*44/12</f>
        <v>64.383769837551213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235.85886631960597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91.821599999999862</v>
      </c>
      <c r="D112" s="11">
        <f t="shared" si="86"/>
        <v>25.004037394505936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901.81193778215027</v>
      </c>
      <c r="H112" s="67">
        <f t="shared" si="56"/>
        <v>460.13798512876429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-7.9808160080574461E-14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235.48251555416709</v>
      </c>
      <c r="T112" s="59">
        <f t="shared" si="88"/>
        <v>228.3457409585393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168.11257442952314</v>
      </c>
      <c r="AA112" s="21">
        <f>EXP(-LN(2)/25)*AA111+(1-EXP(-LN(2)/25))/(LN(2)/25)*Calculateur!V112*Calculateur!X112*VLOOKUP('Données projet'!$B$9,Paramètres!$A$1:$I$89,3,0)*0.475*44/12</f>
        <v>62.62319226554807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230.73576669507122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92.663999999999859</v>
      </c>
      <c r="D113" s="11">
        <f t="shared" si="86"/>
        <v>25.206622814445748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909.8784919009837</v>
      </c>
      <c r="H113" s="67">
        <f t="shared" si="56"/>
        <v>461.9580014018261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-7.9808160080574461E-14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235.48251555416709</v>
      </c>
      <c r="T113" s="59">
        <f t="shared" si="88"/>
        <v>228.3457409585393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164.81598938350575</v>
      </c>
      <c r="AA113" s="21">
        <f>EXP(-LN(2)/25)*AA112+(1-EXP(-LN(2)/25))/(LN(2)/25)*Calculateur!V113*Calculateur!X113*VLOOKUP('Données projet'!$B$9,Paramètres!$A$1:$I$89,3,0)*0.475*44/12</f>
        <v>60.910757779836104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225.72674716334186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93.506399999999857</v>
      </c>
      <c r="D114" s="11">
        <f t="shared" si="86"/>
        <v>25.408993972438445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917.94339206794484</v>
      </c>
      <c r="H114" s="67">
        <f t="shared" si="56"/>
        <v>463.77764450199675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-7.9808160080574461E-14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235.48251555416709</v>
      </c>
      <c r="T114" s="59">
        <f t="shared" si="88"/>
        <v>228.3457409585393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161.58404835952243</v>
      </c>
      <c r="AA114" s="21">
        <f>EXP(-LN(2)/25)*AA113+(1-EXP(-LN(2)/25))/(LN(2)/25)*Calculateur!V114*Calculateur!X114*VLOOKUP('Données projet'!$B$9,Paramètres!$A$1:$I$89,3,0)*0.475*44/12</f>
        <v>59.245149905188946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220.82919826471138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94.348799999999855</v>
      </c>
      <c r="D115" s="11">
        <f t="shared" si="86"/>
        <v>25.611153022386418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926.00665490964855</v>
      </c>
      <c r="H115" s="67">
        <f t="shared" si="56"/>
        <v>465.59691818065608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-7.9808160080574461E-14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235.48251555416709</v>
      </c>
      <c r="T115" s="59">
        <f t="shared" si="88"/>
        <v>228.3457409585393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158.41548372773005</v>
      </c>
      <c r="AA115" s="21">
        <f>EXP(-LN(2)/25)*AA114+(1-EXP(-LN(2)/25))/(LN(2)/25)*Calculateur!V115*Calculateur!X115*VLOOKUP('Données projet'!$B$9,Paramètres!$A$1:$I$89,3,0)*0.475*44/12</f>
        <v>57.625088165464526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216.04057189319457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95.191199999999853</v>
      </c>
      <c r="D116" s="11">
        <f t="shared" si="86"/>
        <v>25.813102077510454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934.06829673867605</v>
      </c>
      <c r="H116" s="67">
        <f t="shared" si="56"/>
        <v>467.41582611833047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-7.9808160080574461E-14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235.48251555416709</v>
      </c>
      <c r="T116" s="59">
        <f t="shared" si="88"/>
        <v>228.3457409585393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155.30905271573351</v>
      </c>
      <c r="AA116" s="21">
        <f>EXP(-LN(2)/25)*AA115+(1-EXP(-LN(2)/25))/(LN(2)/25)*Calculateur!V116*Calculateur!X116*VLOOKUP('Données projet'!$B$9,Paramètres!$A$1:$I$89,3,0)*0.475*44/12</f>
        <v>56.049327099208213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211.35837981494171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96.033599999999851</v>
      </c>
      <c r="D117" s="11">
        <f t="shared" si="86"/>
        <v>26.014843211471206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942.12833356223257</v>
      </c>
      <c r="H117" s="67">
        <f t="shared" si="56"/>
        <v>469.23437192664545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-7.9808160080574461E-14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235.48251555416709</v>
      </c>
      <c r="T117" s="59">
        <f t="shared" si="88"/>
        <v>228.3457409585393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152.2635369211464</v>
      </c>
      <c r="AA117" s="21">
        <f>EXP(-LN(2)/25)*AA116+(1-EXP(-LN(2)/25))/(LN(2)/25)*Calculateur!V117*Calculateur!X117*VLOOKUP('Données projet'!$B$9,Paramètres!$A$1:$I$89,3,0)*0.475*44/12</f>
        <v>54.516655302174357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206.78019222332074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96.875999999999848</v>
      </c>
      <c r="D118" s="11">
        <f t="shared" si="86"/>
        <v>26.216378459450194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950.18678109049176</v>
      </c>
      <c r="H118" s="67">
        <f t="shared" si="56"/>
        <v>471.05255915020882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-7.9808160080574461E-14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235.48251555416709</v>
      </c>
      <c r="T118" s="59">
        <f t="shared" si="88"/>
        <v>228.3457409585393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149.27774183370994</v>
      </c>
      <c r="AA118" s="21">
        <f>EXP(-LN(2)/25)*AA117+(1-EXP(-LN(2)/25))/(LN(2)/25)*Calculateur!V118*Calculateur!X118*VLOOKUP('Données projet'!$B$9,Paramètres!$A$1:$I$89,3,0)*0.475*44/12</f>
        <v>53.025894496030098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202.30363632974004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97.718399999999846</v>
      </c>
      <c r="D119" s="11">
        <f t="shared" si="86"/>
        <v>26.417709819192172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958.24365474464003</v>
      </c>
      <c r="H119" s="67">
        <f t="shared" si="56"/>
        <v>472.87039126842609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-7.9808160080574461E-14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235.48251555416709</v>
      </c>
      <c r="T119" s="59">
        <f t="shared" si="88"/>
        <v>228.3457409585393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146.35049636678292</v>
      </c>
      <c r="AA119" s="21">
        <f>EXP(-LN(2)/25)*AA118+(1-EXP(-LN(2)/25))/(LN(2)/25)*Calculateur!V119*Calculateur!X119*VLOOKUP('Données projet'!$B$9,Paramètres!$A$1:$I$89,3,0)*0.475*44/12</f>
        <v>51.575898622525557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197.92639498930848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98.560799999999844</v>
      </c>
      <c r="D120" s="11">
        <f t="shared" si="86"/>
        <v>26.618839252010197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966.29896966463912</v>
      </c>
      <c r="H120" s="67">
        <f t="shared" si="56"/>
        <v>474.68787169725084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-7.9808160080574461E-14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235.48251555416709</v>
      </c>
      <c r="T120" s="59">
        <f t="shared" si="88"/>
        <v>228.3457409585393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143.48065239801892</v>
      </c>
      <c r="AA120" s="21">
        <f>EXP(-LN(2)/25)*AA119+(1-EXP(-LN(2)/25))/(LN(2)/25)*Calculateur!V120*Calculateur!X120*VLOOKUP('Données projet'!$B$9,Paramètres!$A$1:$I$89,3,0)*0.475*44/12</f>
        <v>50.165552962433964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193.64620536045288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99.403199999999842</v>
      </c>
      <c r="D121" s="11">
        <f t="shared" si="86"/>
        <v>26.819768683755761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974.35274071670995</v>
      </c>
      <c r="H121" s="67">
        <f t="shared" si="56"/>
        <v>476.50500379087435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-7.9808160080574461E-14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235.48251555416709</v>
      </c>
      <c r="T121" s="59">
        <f t="shared" si="88"/>
        <v>228.3457409585393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140.66708431905039</v>
      </c>
      <c r="AA121" s="21">
        <f>EXP(-LN(2)/25)*AA120+(1-EXP(-LN(2)/25))/(LN(2)/25)*Calculateur!V121*Calculateur!X121*VLOOKUP('Données projet'!$B$9,Paramètres!$A$1:$I$89,3,0)*0.475*44/12</f>
        <v>48.793773278584432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189.46085759763483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100.24559999999984</v>
      </c>
      <c r="D122" s="11">
        <f t="shared" si="86"/>
        <v>27.020500005754911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982.40498250056305</v>
      </c>
      <c r="H122" s="67">
        <f t="shared" si="56"/>
        <v>478.32179084335621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-7.9808160080574461E-14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235.48251555416709</v>
      </c>
      <c r="T122" s="59">
        <f t="shared" si="88"/>
        <v>228.3457409585393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137.90868859400337</v>
      </c>
      <c r="AA122" s="21">
        <f>EXP(-LN(2)/25)*AA121+(1-EXP(-LN(2)/25))/(LN(2)/25)*Calculateur!V122*Calculateur!X122*VLOOKUP('Données projet'!$B$9,Paramètres!$A$1:$I$89,3,0)*0.475*44/12</f>
        <v>47.459504982328525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185.36819357633189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101.08799999999984</v>
      </c>
      <c r="D123" s="11">
        <f t="shared" si="86"/>
        <v>27.221035075711917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990.45570935637159</v>
      </c>
      <c r="H123" s="67">
        <f t="shared" si="56"/>
        <v>480.13823609019801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-7.9808160080574461E-14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235.48251555416709</v>
      </c>
      <c r="T123" s="59">
        <f t="shared" si="88"/>
        <v>228.3457409585393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135.20438332666924</v>
      </c>
      <c r="AA123" s="21">
        <f>EXP(-LN(2)/25)*AA122+(1-EXP(-LN(2)/25))/(LN(2)/25)*Calculateur!V123*Calculateur!X123*VLOOKUP('Données projet'!$B$9,Paramètres!$A$1:$I$89,3,0)*0.475*44/12</f>
        <v>46.161722322799854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181.36610564946909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101.93039999999984</v>
      </c>
      <c r="D124" s="11">
        <f t="shared" si="86"/>
        <v>27.421375718582134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998.50493537150987</v>
      </c>
      <c r="H124" s="67">
        <f t="shared" si="56"/>
        <v>481.95434270986357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-7.9808160080574461E-14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235.48251555416709</v>
      </c>
      <c r="T124" s="59">
        <f t="shared" si="88"/>
        <v>228.3457409585393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132.5531078361642</v>
      </c>
      <c r="AA124" s="21">
        <f>EXP(-LN(2)/25)*AA123+(1-EXP(-LN(2)/25))/(LN(2)/25)*Calculateur!V124*Calculateur!X124*VLOOKUP('Données projet'!$B$9,Paramètres!$A$1:$I$89,3,0)*0.475*44/12</f>
        <v>44.899427598343422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177.45253543450764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102.77279999999983</v>
      </c>
      <c r="D125" s="11">
        <f t="shared" si="86"/>
        <v>27.62152372741502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1006.552674387062</v>
      </c>
      <c r="H125" s="67">
        <f t="shared" si="56"/>
        <v>483.77011382524756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-7.9808160080574461E-14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235.48251555416709</v>
      </c>
      <c r="T125" s="59">
        <f t="shared" si="88"/>
        <v>228.3457409585393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129.95382224090957</v>
      </c>
      <c r="AA125" s="21">
        <f>EXP(-LN(2)/25)*AA124+(1-EXP(-LN(2)/25))/(LN(2)/25)*Calculateur!V125*Calculateur!X125*VLOOKUP('Données projet'!$B$9,Paramètres!$A$1:$I$89,3,0)*0.475*44/12</f>
        <v>43.671650389508443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173.62547263041802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103.61519999999983</v>
      </c>
      <c r="D126" s="11">
        <f t="shared" si="86"/>
        <v>27.821480864168862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1014.5989400041094</v>
      </c>
      <c r="H126" s="67">
        <f t="shared" si="56"/>
        <v>485.5855525050938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-7.9808160080574461E-14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235.48251555416709</v>
      </c>
      <c r="T126" s="59">
        <f t="shared" si="88"/>
        <v>228.3457409585393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127.40550705077024</v>
      </c>
      <c r="AA126" s="21">
        <f>EXP(-LN(2)/25)*AA125+(1-EXP(-LN(2)/25))/(LN(2)/25)*Calculateur!V126*Calculateur!X126*VLOOKUP('Données projet'!$B$9,Paramètres!$A$1:$I$89,3,0)*0.475*44/12</f>
        <v>42.477446813015057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169.8829538637853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104.45759999999983</v>
      </c>
      <c r="D127" s="11">
        <f t="shared" si="86"/>
        <v>28.021248860498222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1022.6437455898098</v>
      </c>
      <c r="H127" s="67">
        <f t="shared" si="56"/>
        <v>487.40066176536743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-7.9808160080574461E-14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235.48251555416709</v>
      </c>
      <c r="T127" s="59">
        <f t="shared" si="88"/>
        <v>228.3457409585393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124.90716276719074</v>
      </c>
      <c r="AA127" s="21">
        <f>EXP(-LN(2)/25)*AA126+(1-EXP(-LN(2)/25))/(LN(2)/25)*Calculateur!V127*Calculateur!X127*VLOOKUP('Données projet'!$B$9,Paramètres!$A$1:$I$89,3,0)*0.475*44/12</f>
        <v>41.315898796121317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166.22306156331206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105.29999999999983</v>
      </c>
      <c r="D128" s="11">
        <f t="shared" si="86"/>
        <v>28.220829418514981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1030.6871042832722</v>
      </c>
      <c r="H128" s="67">
        <f t="shared" si="56"/>
        <v>489.21544457057996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-7.9808160080574461E-14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235.48251555416709</v>
      </c>
      <c r="T128" s="59">
        <f t="shared" si="88"/>
        <v>228.3457409585393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122.4578094911727</v>
      </c>
      <c r="AA128" s="21">
        <f>EXP(-LN(2)/25)*AA127+(1-EXP(-LN(2)/25))/(LN(2)/25)*Calculateur!V128*Calculateur!X128*VLOOKUP('Données projet'!$B$9,Paramètres!$A$1:$I$89,3,0)*0.475*44/12</f>
        <v>40.186113370832693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162.64392286200538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106.14239999999982</v>
      </c>
      <c r="D129" s="11">
        <f t="shared" si="86"/>
        <v>28.420224211524925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1038.7290290012436</v>
      </c>
      <c r="H129" s="67">
        <f t="shared" si="56"/>
        <v>491.02990383507228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-7.9808160080574461E-14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235.48251555416709</v>
      </c>
      <c r="T129" s="59">
        <f t="shared" si="88"/>
        <v>228.3457409585393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120.05648653893938</v>
      </c>
      <c r="AA129" s="21">
        <f>EXP(-LN(2)/25)*AA128+(1-EXP(-LN(2)/25))/(LN(2)/25)*Calculateur!V129*Calculateur!X129*VLOOKUP('Données projet'!$B$9,Paramètres!$A$1:$I$89,3,0)*0.475*44/12</f>
        <v>39.087221987411418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159.14370852635079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106.98479999999982</v>
      </c>
      <c r="D130" s="11">
        <f t="shared" si="86"/>
        <v>28.619434884739569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1046.7695324436022</v>
      </c>
      <c r="H130" s="67">
        <f t="shared" si="56"/>
        <v>492.84404242425444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-7.9808160080574461E-14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235.48251555416709</v>
      </c>
      <c r="T130" s="59">
        <f t="shared" si="88"/>
        <v>228.3457409585393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117.70225206513697</v>
      </c>
      <c r="AA130" s="21">
        <f>EXP(-LN(2)/25)*AA129+(1-EXP(-LN(2)/25))/(LN(2)/25)*Calculateur!V130*Calculateur!X130*VLOOKUP('Données projet'!$B$9,Paramètres!$A$1:$I$89,3,0)*0.475*44/12</f>
        <v>38.018379846657986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155.72063191179495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107.82719999999982</v>
      </c>
      <c r="D131" s="11">
        <f t="shared" si="86"/>
        <v>28.818463055965431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1054.8086270986794</v>
      </c>
      <c r="H131" s="67">
        <f t="shared" si="56"/>
        <v>494.65786315580613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-7.9808160080574461E-14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235.48251555416709</v>
      </c>
      <c r="T131" s="59">
        <f t="shared" si="88"/>
        <v>228.3457409585393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115.3941826934246</v>
      </c>
      <c r="AA131" s="21">
        <f>EXP(-LN(2)/25)*AA130+(1-EXP(-LN(2)/25))/(LN(2)/25)*Calculateur!V131*Calculateur!X131*VLOOKUP('Données projet'!$B$9,Paramètres!$A$1:$I$89,3,0)*0.475*44/12</f>
        <v>36.978765250451417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152.372947943876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108.66959999999982</v>
      </c>
      <c r="D132" s="11">
        <f t="shared" si="86"/>
        <v>29.017310316271054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1062.8463252484069</v>
      </c>
      <c r="H132" s="67">
        <f t="shared" ref="H132:H195" si="110">(B132+E132+F132)*44/12+(C132+D132)*0.475*44/12</f>
        <v>496.47136880083849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-7.9808160080574461E-14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235.48251555416709</v>
      </c>
      <c r="T132" s="59">
        <f t="shared" si="88"/>
        <v>228.3457409585393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113.13137315430819</v>
      </c>
      <c r="AA132" s="21">
        <f>EXP(-LN(2)/25)*AA131+(1-EXP(-LN(2)/25))/(LN(2)/25)*Calculateur!V132*Calculateur!X132*VLOOKUP('Données projet'!$B$9,Paramètres!$A$1:$I$89,3,0)*0.475*44/12</f>
        <v>35.967578970049075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149.09895212435725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109.51199999999982</v>
      </c>
      <c r="D133" s="11">
        <f t="shared" ref="D133:D196" si="140">IFERROR(EXP(-1.0587+0.8836*LN(C133)+0.284),0)</f>
        <v>29.215978230632501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1070.8826389733022</v>
      </c>
      <c r="H133" s="67">
        <f t="shared" si="110"/>
        <v>498.28456208501797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-7.9808160080574461E-14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235.48251555416709</v>
      </c>
      <c r="T133" s="59">
        <f t="shared" ref="T133:T196" si="142">$T$3</f>
        <v>228.3457409585393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110.91293593007632</v>
      </c>
      <c r="AA133" s="21">
        <f>EXP(-LN(2)/25)*AA132+(1-EXP(-LN(2)/25))/(LN(2)/25)*Calculateur!V133*Calculateur!X133*VLOOKUP('Données projet'!$B$9,Paramètres!$A$1:$I$89,3,0)*0.475*44/12</f>
        <v>34.984043631660313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145.89697956173663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110.35439999999981</v>
      </c>
      <c r="D134" s="11">
        <f t="shared" si="140"/>
        <v>29.414468338558699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1078.917580157294</v>
      </c>
      <c r="H134" s="67">
        <f t="shared" si="110"/>
        <v>500.09744568965607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-7.9808160080574461E-14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235.48251555416709</v>
      </c>
      <c r="T134" s="59">
        <f t="shared" si="142"/>
        <v>228.3457409585393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108.73800090669853</v>
      </c>
      <c r="AA134" s="21">
        <f>EXP(-LN(2)/25)*AA133+(1-EXP(-LN(2)/25))/(LN(2)/25)*Calculateur!V134*Calculateur!X134*VLOOKUP('Données projet'!$B$9,Paramètres!$A$1:$I$89,3,0)*0.475*44/12</f>
        <v>34.027403118821667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142.76540402552018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111.19679999999981</v>
      </c>
      <c r="D135" s="11">
        <f t="shared" si="140"/>
        <v>29.612782154697079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1086.9511604923971</v>
      </c>
      <c r="H135" s="67">
        <f t="shared" si="110"/>
        <v>501.91002225276378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-7.9808160080574461E-14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235.48251555416709</v>
      </c>
      <c r="T135" s="59">
        <f t="shared" si="142"/>
        <v>228.3457409585393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106.60571503254981</v>
      </c>
      <c r="AA135" s="21">
        <f>EXP(-LN(2)/25)*AA134+(1-EXP(-LN(2)/25))/(LN(2)/25)*Calculateur!V135*Calculateur!X135*VLOOKUP('Données projet'!$B$9,Paramètres!$A$1:$I$89,3,0)*0.475*44/12</f>
        <v>33.096921991114129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139.70263702366395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112.03919999999981</v>
      </c>
      <c r="D136" s="11">
        <f t="shared" si="140"/>
        <v>29.810921169420148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1094.9833914832418</v>
      </c>
      <c r="H136" s="67">
        <f t="shared" si="110"/>
        <v>503.72229437007309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-7.9808160080574461E-14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235.48251555416709</v>
      </c>
      <c r="T136" s="59">
        <f t="shared" si="142"/>
        <v>228.3457409585393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104.51524198382718</v>
      </c>
      <c r="AA136" s="21">
        <f>EXP(-LN(2)/25)*AA135+(1-EXP(-LN(2)/25))/(LN(2)/25)*Calculateur!V136*Calculateur!X136*VLOOKUP('Données projet'!$B$9,Paramètres!$A$1:$I$89,3,0)*0.475*44/12</f>
        <v>32.191884918775628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136.70712690260279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112.88159999999981</v>
      </c>
      <c r="D137" s="11">
        <f t="shared" si="140"/>
        <v>30.00888684939423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1103.0142844514628</v>
      </c>
      <c r="H137" s="67">
        <f t="shared" si="110"/>
        <v>505.53426459602798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-7.9808160080574461E-14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235.48251555416709</v>
      </c>
      <c r="T137" s="59">
        <f t="shared" si="142"/>
        <v>228.3457409585393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102.46576183652735</v>
      </c>
      <c r="AA137" s="21">
        <f>EXP(-LN(2)/25)*AA136+(1-EXP(-LN(2)/25))/(LN(2)/25)*Calculateur!V137*Calculateur!X137*VLOOKUP('Données projet'!$B$9,Paramètres!$A$1:$I$89,3,0)*0.475*44/12</f>
        <v>31.311596132774056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133.77735796930142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113.7239999999998</v>
      </c>
      <c r="D138" s="11">
        <f t="shared" si="140"/>
        <v>30.206680638130464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1111.0438505399532</v>
      </c>
      <c r="H138" s="67">
        <f t="shared" si="110"/>
        <v>507.34593544474359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-7.9808160080574461E-14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235.48251555416709</v>
      </c>
      <c r="T138" s="59">
        <f t="shared" si="142"/>
        <v>228.3457409585393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100.4564707448566</v>
      </c>
      <c r="AA138" s="21">
        <f>EXP(-LN(2)/25)*AA137+(1-EXP(-LN(2)/25))/(LN(2)/25)*Calculateur!V138*Calculateur!X138*VLOOKUP('Données projet'!$B$9,Paramètres!$A$1:$I$89,3,0)*0.475*44/12</f>
        <v>30.455378889918073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130.91184963477468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114.5663999999998</v>
      </c>
      <c r="D139" s="11">
        <f t="shared" si="140"/>
        <v>30.404303956519161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1119.0721007169886</v>
      </c>
      <c r="H139" s="67">
        <f t="shared" si="110"/>
        <v>509.1573093909372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-7.9808160080574461E-14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235.48251555416709</v>
      </c>
      <c r="T139" s="59">
        <f t="shared" si="142"/>
        <v>228.3457409585393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98.486580625946971</v>
      </c>
      <c r="AA139" s="21">
        <f>EXP(-LN(2)/25)*AA138+(1-EXP(-LN(2)/25))/(LN(2)/25)*Calculateur!V139*Calculateur!X139*VLOOKUP('Données projet'!$B$9,Paramètres!$A$1:$I$89,3,0)*0.475*44/12</f>
        <v>29.622574952594494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128.10915557854148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115.4087999999998</v>
      </c>
      <c r="D140" s="11">
        <f t="shared" si="140"/>
        <v>30.601758203347956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1127.0990457802284</v>
      </c>
      <c r="H140" s="67">
        <f t="shared" si="110"/>
        <v>510.96838887083067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-7.9808160080574461E-14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235.48251555416709</v>
      </c>
      <c r="T140" s="59">
        <f t="shared" si="142"/>
        <v>228.3457409585393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96.55531885075483</v>
      </c>
      <c r="AA140" s="21">
        <f>EXP(-LN(2)/25)*AA139+(1-EXP(-LN(2)/25))/(LN(2)/25)*Calculateur!V140*Calculateur!X140*VLOOKUP('Données projet'!$B$9,Paramètres!$A$1:$I$89,3,0)*0.475*44/12</f>
        <v>28.812544082732284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125.36786293348712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116.2511999999998</v>
      </c>
      <c r="D141" s="11">
        <f t="shared" si="140"/>
        <v>30.799044755804299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1135.1246963605931</v>
      </c>
      <c r="H141" s="67">
        <f t="shared" si="110"/>
        <v>512.77917628302544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-7.9808160080574461E-14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235.48251555416709</v>
      </c>
      <c r="T141" s="59">
        <f t="shared" si="142"/>
        <v>228.3457409585393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94.661927941020835</v>
      </c>
      <c r="AA141" s="21">
        <f>EXP(-LN(2)/25)*AA140+(1-EXP(-LN(2)/25))/(LN(2)/25)*Calculateur!V141*Calculateur!X141*VLOOKUP('Données projet'!$B$9,Paramètres!$A$1:$I$89,3,0)*0.475*44/12</f>
        <v>28.024663549604128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122.68659149062496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117.0935999999998</v>
      </c>
      <c r="D142" s="11">
        <f t="shared" si="140"/>
        <v>30.99616496996326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1143.1490629260306</v>
      </c>
      <c r="H142" s="67">
        <f t="shared" si="110"/>
        <v>514.58967398935238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-7.9808160080574461E-14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235.48251555416709</v>
      </c>
      <c r="T142" s="59">
        <f t="shared" si="142"/>
        <v>228.3457409585393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92.805665272172305</v>
      </c>
      <c r="AA142" s="21">
        <f>EXP(-LN(2)/25)*AA141+(1-EXP(-LN(2)/25))/(LN(2)/25)*Calculateur!V142*Calculateur!X142*VLOOKUP('Données projet'!$B$9,Paramètres!$A$1:$I$89,3,0)*0.475*44/12</f>
        <v>27.2583276510872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120.06399292325951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117.93599999999979</v>
      </c>
      <c r="D143" s="11">
        <f t="shared" si="140"/>
        <v>31.193120181260444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1151.1721557851668</v>
      </c>
      <c r="H143" s="67">
        <f t="shared" si="110"/>
        <v>516.39988431569486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-7.9808160080574461E-14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235.48251555416709</v>
      </c>
      <c r="T143" s="59">
        <f t="shared" si="142"/>
        <v>228.3457409585393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90.985802782051451</v>
      </c>
      <c r="AA143" s="21">
        <f>EXP(-LN(2)/25)*AA142+(1-EXP(-LN(2)/25))/(LN(2)/25)*Calculateur!V143*Calculateur!X143*VLOOKUP('Données projet'!$B$9,Paramètres!$A$1:$I$89,3,0)*0.475*44/12</f>
        <v>26.51294724801507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117.49875003006652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118.77839999999979</v>
      </c>
      <c r="D144" s="11">
        <f t="shared" si="140"/>
        <v>31.389911704951476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1159.1939850908518</v>
      </c>
      <c r="H144" s="67">
        <f t="shared" si="110"/>
        <v>518.20980955279015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-7.9808160080574461E-14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235.48251555416709</v>
      </c>
      <c r="T144" s="59">
        <f t="shared" si="142"/>
        <v>228.3457409585393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89.201626685355365</v>
      </c>
      <c r="AA144" s="21">
        <f>EXP(-LN(2)/25)*AA143+(1-EXP(-LN(2)/25))/(LN(2)/25)*Calculateur!V144*Calculateur!X144*VLOOKUP('Données projet'!$B$9,Paramètres!$A$1:$I$89,3,0)*0.475*44/12</f>
        <v>25.7879493112628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114.98957599661816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119.62079999999979</v>
      </c>
      <c r="D145" s="11">
        <f t="shared" si="140"/>
        <v>31.586540836557642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1167.2145608436012</v>
      </c>
      <c r="H145" s="67">
        <f t="shared" si="110"/>
        <v>520.01945195700421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-7.9808160080574461E-14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235.48251555416709</v>
      </c>
      <c r="T145" s="59">
        <f t="shared" si="142"/>
        <v>228.3457409585393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87.452437193675522</v>
      </c>
      <c r="AA145" s="21">
        <f>EXP(-LN(2)/25)*AA144+(1-EXP(-LN(2)/25))/(LN(2)/25)*Calculateur!V145*Calculateur!X145*VLOOKUP('Données projet'!$B$9,Paramètres!$A$1:$I$89,3,0)*0.475*44/12</f>
        <v>25.082776481217003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112.53521367489253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120.46319999999979</v>
      </c>
      <c r="D146" s="11">
        <f t="shared" si="140"/>
        <v>31.783008852298966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1175.2338928949378</v>
      </c>
      <c r="H146" s="67">
        <f t="shared" si="110"/>
        <v>521.82881375108695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-7.9808160080574461E-14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235.48251555416709</v>
      </c>
      <c r="T146" s="59">
        <f t="shared" si="142"/>
        <v>228.3457409585393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85.73754824102727</v>
      </c>
      <c r="AA146" s="21">
        <f>EXP(-LN(2)/25)*AA145+(1-EXP(-LN(2)/25))/(LN(2)/25)*Calculateur!V146*Calculateur!X146*VLOOKUP('Données projet'!$B$9,Paramètres!$A$1:$I$89,3,0)*0.475*44/12</f>
        <v>24.396886639292237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110.1344348803195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121.30559999999979</v>
      </c>
      <c r="D147" s="11">
        <f t="shared" si="140"/>
        <v>31.979317009514684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1183.2519909506379</v>
      </c>
      <c r="H147" s="67">
        <f t="shared" si="110"/>
        <v>523.63789712490438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-7.9808160080574461E-14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235.48251555416709</v>
      </c>
      <c r="T147" s="59">
        <f t="shared" si="142"/>
        <v>228.3457409585393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84.056287214761468</v>
      </c>
      <c r="AA147" s="21">
        <f>EXP(-LN(2)/25)*AA146+(1-EXP(-LN(2)/25))/(LN(2)/25)*Calculateur!V147*Calculateur!X147*VLOOKUP('Données projet'!$B$9,Paramètres!$A$1:$I$89,3,0)*0.475*44/12</f>
        <v>23.729752491164284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107.78603970592576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122.14799999999978</v>
      </c>
      <c r="D148" s="11">
        <f t="shared" si="140"/>
        <v>32.175466547071558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1191.2688645738842</v>
      </c>
      <c r="H148" s="67">
        <f t="shared" si="110"/>
        <v>525.44670423614934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-7.9808160080574461E-14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235.48251555416709</v>
      </c>
      <c r="T148" s="59">
        <f t="shared" si="142"/>
        <v>228.3457409585393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82.407994691752776</v>
      </c>
      <c r="AA148" s="21">
        <f>EXP(-LN(2)/25)*AA147+(1-EXP(-LN(2)/25))/(LN(2)/25)*Calculateur!V148*Calculateur!X148*VLOOKUP('Données projet'!$B$9,Paramètres!$A$1:$I$89,3,0)*0.475*44/12</f>
        <v>23.080861161399948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105.48885585315273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122.99039999999978</v>
      </c>
      <c r="D149" s="11">
        <f t="shared" si="140"/>
        <v>32.37145868576102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1199.2845231883291</v>
      </c>
      <c r="H149" s="67">
        <f t="shared" si="110"/>
        <v>527.25523721103343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-7.9808160080574461E-14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235.48251555416709</v>
      </c>
      <c r="T149" s="59">
        <f t="shared" si="142"/>
        <v>228.3457409585393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80.792024179761114</v>
      </c>
      <c r="AA149" s="21">
        <f>EXP(-LN(2)/25)*AA148+(1-EXP(-LN(2)/25))/(LN(2)/25)*Calculateur!V149*Calculateur!X149*VLOOKUP('Données projet'!$B$9,Paramètres!$A$1:$I$89,3,0)*0.475*44/12</f>
        <v>22.449713799171729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103.24173797893285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123.83279999999978</v>
      </c>
      <c r="D150" s="11">
        <f t="shared" si="140"/>
        <v>32.567294628684522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1207.2989760810722</v>
      </c>
      <c r="H150" s="67">
        <f t="shared" si="110"/>
        <v>529.06349814495854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-7.9808160080574461E-14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235.48251555416709</v>
      </c>
      <c r="T150" s="59">
        <f t="shared" si="142"/>
        <v>228.3457409585393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79.207741863864925</v>
      </c>
      <c r="AA150" s="21">
        <f>EXP(-LN(2)/25)*AA149+(1-EXP(-LN(2)/25))/(LN(2)/25)*Calculateur!V150*Calculateur!X150*VLOOKUP('Données projet'!$B$9,Paramètres!$A$1:$I$89,3,0)*0.475*44/12</f>
        <v>21.835825194754239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101.04356705861916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124.67519999999978</v>
      </c>
      <c r="D151" s="11">
        <f t="shared" si="140"/>
        <v>32.762975561628686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1215.3122324055532</v>
      </c>
      <c r="H151" s="67">
        <f t="shared" si="110"/>
        <v>530.87148910316955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-7.9808160080574461E-14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235.48251555416709</v>
      </c>
      <c r="T151" s="59">
        <f t="shared" si="142"/>
        <v>228.3457409585393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77.654526357866658</v>
      </c>
      <c r="AA151" s="21">
        <f>EXP(-LN(2)/25)*AA150+(1-EXP(-LN(2)/25))/(LN(2)/25)*Calculateur!V151*Calculateur!X151*VLOOKUP('Données projet'!$B$9,Paramètres!$A$1:$I$89,3,0)*0.475*44/12</f>
        <v>21.238723406507543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98.893249764374204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125.51759999999977</v>
      </c>
      <c r="D152" s="11">
        <f t="shared" si="140"/>
        <v>32.958502653429633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1223.3243011843672</v>
      </c>
      <c r="H152" s="67">
        <f t="shared" si="110"/>
        <v>532.67921212138958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-7.9808160080574461E-14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235.48251555416709</v>
      </c>
      <c r="T152" s="59">
        <f t="shared" si="142"/>
        <v>228.3457409585393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76.131768460573113</v>
      </c>
      <c r="AA152" s="21">
        <f>EXP(-LN(2)/25)*AA151+(1-EXP(-LN(2)/25))/(LN(2)/25)*Calculateur!V152*Calculateur!X152*VLOOKUP('Données projet'!$B$9,Paramètres!$A$1:$I$89,3,0)*0.475*44/12</f>
        <v>20.657949398060673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96.789717858633793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126.35999999999977</v>
      </c>
      <c r="D153" s="11">
        <f t="shared" si="140"/>
        <v>33.153877056327396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1231.3351913119993</v>
      </c>
      <c r="H153" s="67">
        <f t="shared" si="110"/>
        <v>534.48666920643655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-7.9808160080574461E-14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235.48251555416709</v>
      </c>
      <c r="T153" s="59">
        <f t="shared" si="142"/>
        <v>228.3457409585393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74.638870916854884</v>
      </c>
      <c r="AA153" s="21">
        <f>EXP(-LN(2)/25)*AA152+(1-EXP(-LN(2)/25))/(LN(2)/25)*Calculateur!V153*Calculateur!X153*VLOOKUP('Données projet'!$B$9,Paramètres!$A$1:$I$89,3,0)*0.475*44/12</f>
        <v>20.093056685416361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94.731927602271242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127.20239999999977</v>
      </c>
      <c r="D154" s="11">
        <f t="shared" si="140"/>
        <v>33.349099906310734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1239.3449115574847</v>
      </c>
      <c r="H154" s="67">
        <f t="shared" si="110"/>
        <v>536.29386233682408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-7.9808160080574461E-14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235.48251555416709</v>
      </c>
      <c r="T154" s="59">
        <f t="shared" si="142"/>
        <v>228.3457409585393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73.175248183391375</v>
      </c>
      <c r="AA154" s="21">
        <f>EXP(-LN(2)/25)*AA153+(1-EXP(-LN(2)/25))/(LN(2)/25)*Calculateur!V154*Calculateur!X154*VLOOKUP('Données projet'!$B$9,Paramètres!$A$1:$I$89,3,0)*0.475*44/12</f>
        <v>19.543610993705723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92.718859177097102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128.04479999999978</v>
      </c>
      <c r="D155" s="11">
        <f t="shared" si="140"/>
        <v>33.544172323452152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1247.3534705669974</v>
      </c>
      <c r="H155" s="67">
        <f t="shared" si="110"/>
        <v>538.10079346334544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-7.9808160080574461E-14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235.48251555416709</v>
      </c>
      <c r="T155" s="59">
        <f t="shared" si="142"/>
        <v>228.3457409585393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71.740326199009374</v>
      </c>
      <c r="AA155" s="21">
        <f>EXP(-LN(2)/25)*AA154+(1-EXP(-LN(2)/25))/(LN(2)/25)*Calculateur!V155*Calculateur!X155*VLOOKUP('Données projet'!$B$9,Paramètres!$A$1:$I$89,3,0)*0.475*44/12</f>
        <v>19.009189923329007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90.749516122338377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128.88719999999978</v>
      </c>
      <c r="D156" s="11">
        <f t="shared" si="140"/>
        <v>33.739095412234299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1255.3608768663685</v>
      </c>
      <c r="H156" s="67">
        <f t="shared" si="110"/>
        <v>539.90746450964104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-7.9808160080574461E-14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235.48251555416709</v>
      </c>
      <c r="T156" s="59">
        <f t="shared" si="142"/>
        <v>228.3457409585393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70.333542159525109</v>
      </c>
      <c r="AA156" s="21">
        <f>EXP(-LN(2)/25)*AA155+(1-EXP(-LN(2)/25))/(LN(2)/25)*Calculateur!V156*Calculateur!X156*VLOOKUP('Données projet'!$B$9,Paramètres!$A$1:$I$89,3,0)*0.475*44/12</f>
        <v>18.489382625225723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88.822924784750825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129.72959999999978</v>
      </c>
      <c r="D157" s="11">
        <f t="shared" si="140"/>
        <v>33.933870261867426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1263.3671388635362</v>
      </c>
      <c r="H157" s="67">
        <f t="shared" si="110"/>
        <v>541.71387737275199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-7.9808160080574461E-14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235.48251555416709</v>
      </c>
      <c r="T157" s="59">
        <f t="shared" si="142"/>
        <v>228.3457409585393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68.954344297001597</v>
      </c>
      <c r="AA157" s="21">
        <f>EXP(-LN(2)/25)*AA156+(1-EXP(-LN(2)/25))/(LN(2)/25)*Calculateur!V157*Calculateur!X157*VLOOKUP('Données projet'!$B$9,Paramètres!$A$1:$I$89,3,0)*0.475*44/12</f>
        <v>17.983789485024552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86.938133782026142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130.57199999999978</v>
      </c>
      <c r="D158" s="11">
        <f t="shared" si="140"/>
        <v>34.128497946598245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1271.3722648509322</v>
      </c>
      <c r="H158" s="67">
        <f t="shared" si="110"/>
        <v>543.52003392365827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-7.9808160080574461E-14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235.48251555416709</v>
      </c>
      <c r="T158" s="59">
        <f t="shared" si="142"/>
        <v>228.3457409585393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67.602191663334537</v>
      </c>
      <c r="AA158" s="21">
        <f>EXP(-LN(2)/25)*AA157+(1-EXP(-LN(2)/25))/(LN(2)/25)*Calculateur!V158*Calculateur!X158*VLOOKUP('Données projet'!$B$9,Paramètres!$A$1:$I$89,3,0)*0.475*44/12</f>
        <v>17.492021815830167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85.094213479164708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131.41439999999977</v>
      </c>
      <c r="D159" s="11">
        <f t="shared" si="140"/>
        <v>34.322979526010606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1279.3762630077995</v>
      </c>
      <c r="H159" s="67">
        <f t="shared" si="110"/>
        <v>545.32593600780137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-7.9808160080574461E-14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235.48251555416709</v>
      </c>
      <c r="T159" s="59">
        <f t="shared" si="142"/>
        <v>228.3457409585393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66.276553918082016</v>
      </c>
      <c r="AA159" s="21">
        <f>EXP(-LN(2)/25)*AA158+(1-EXP(-LN(2)/25))/(LN(2)/25)*Calculateur!V159*Calculateur!X159*VLOOKUP('Données projet'!$B$9,Paramètres!$A$1:$I$89,3,0)*0.475*44/12</f>
        <v>17.013701559410844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83.290255477492863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132.25679999999977</v>
      </c>
      <c r="D160" s="11">
        <f t="shared" si="140"/>
        <v>34.517316045318495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1287.379141402457</v>
      </c>
      <c r="H160" s="67">
        <f t="shared" si="110"/>
        <v>547.13158544559599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-7.9808160080574461E-14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235.48251555416709</v>
      </c>
      <c r="T160" s="59">
        <f t="shared" si="142"/>
        <v>228.3457409585393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64.976911120454716</v>
      </c>
      <c r="AA160" s="21">
        <f>EXP(-LN(2)/25)*AA159+(1-EXP(-LN(2)/25))/(LN(2)/25)*Calculateur!V160*Calculateur!X160*VLOOKUP('Données projet'!$B$9,Paramètres!$A$1:$I$89,3,0)*0.475*44/12</f>
        <v>16.548460995557075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81.525372116011795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133.09919999999977</v>
      </c>
      <c r="D161" s="11">
        <f t="shared" si="140"/>
        <v>34.711508535651106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1295.3809079944979</v>
      </c>
      <c r="H161" s="67">
        <f t="shared" si="110"/>
        <v>548.93698403292524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-7.9808160080574461E-14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235.48251555416709</v>
      </c>
      <c r="T161" s="59">
        <f t="shared" si="142"/>
        <v>228.3457409585393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63.702753525385049</v>
      </c>
      <c r="AA161" s="21">
        <f>EXP(-LN(2)/25)*AA160+(1-EXP(-LN(2)/25))/(LN(2)/25)*Calculateur!V161*Calculateur!X161*VLOOKUP('Données projet'!$B$9,Paramètres!$A$1:$I$89,3,0)*0.475*44/12</f>
        <v>16.095942459387825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79.798695984772877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133.94159999999977</v>
      </c>
      <c r="D162" s="11">
        <f t="shared" si="140"/>
        <v>34.905558014330467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1303.3815706369351</v>
      </c>
      <c r="H162" s="67">
        <f t="shared" si="110"/>
        <v>550.74213354162521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-7.9808160080574461E-14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235.48251555416709</v>
      </c>
      <c r="T162" s="59">
        <f t="shared" si="142"/>
        <v>228.3457409585393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62.453581383595299</v>
      </c>
      <c r="AA162" s="21">
        <f>EXP(-LN(2)/25)*AA161+(1-EXP(-LN(2)/25))/(LN(2)/25)*Calculateur!V162*Calculateur!X162*VLOOKUP('Données projet'!$B$9,Paramètres!$A$1:$I$89,3,0)*0.475*44/12</f>
        <v>15.655798066387039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78.109379449982342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134.78399999999976</v>
      </c>
      <c r="D163" s="11">
        <f t="shared" si="140"/>
        <v>35.099465485142062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1311.3811370782878</v>
      </c>
      <c r="H163" s="67">
        <f t="shared" si="110"/>
        <v>552.54703571995537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-7.9808160080574461E-14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235.48251555416709</v>
      </c>
      <c r="T163" s="59">
        <f t="shared" si="142"/>
        <v>228.3457409585393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61.228904745586277</v>
      </c>
      <c r="AA163" s="21">
        <f>EXP(-LN(2)/25)*AA162+(1-EXP(-LN(2)/25))/(LN(2)/25)*Calculateur!V163*Calculateur!X163*VLOOKUP('Données projet'!$B$9,Paramètres!$A$1:$I$89,3,0)*0.475*44/12</f>
        <v>15.227689444959047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76.456594190545331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135.62639999999976</v>
      </c>
      <c r="D164" s="11">
        <f t="shared" si="140"/>
        <v>35.293231938598417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1319.3796149646175</v>
      </c>
      <c r="H164" s="67">
        <f t="shared" si="110"/>
        <v>554.35169229305848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-7.9808160080574461E-14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235.48251555416709</v>
      </c>
      <c r="T164" s="59">
        <f t="shared" si="142"/>
        <v>228.3457409585393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60.02824326946962</v>
      </c>
      <c r="AA164" s="21">
        <f>EXP(-LN(2)/25)*AA163+(1-EXP(-LN(2)/25))/(LN(2)/25)*Calculateur!V164*Calculateur!X164*VLOOKUP('Données projet'!$B$9,Paramètres!$A$1:$I$89,3,0)*0.475*44/12</f>
        <v>14.811287476297258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74.839530745766879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136.46879999999976</v>
      </c>
      <c r="D165" s="11">
        <f t="shared" si="140"/>
        <v>35.486858352195846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1327.3770118415098</v>
      </c>
      <c r="H165" s="67">
        <f t="shared" si="110"/>
        <v>556.15610496340742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-7.9808160080574461E-14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235.48251555416709</v>
      </c>
      <c r="T165" s="59">
        <f t="shared" si="142"/>
        <v>228.3457409585393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58.851126032568423</v>
      </c>
      <c r="AA165" s="21">
        <f>EXP(-LN(2)/25)*AA164+(1-EXP(-LN(2)/25))/(LN(2)/25)*Calculateur!V165*Calculateur!X165*VLOOKUP('Données projet'!$B$9,Paramètres!$A$1:$I$89,3,0)*0.475*44/12</f>
        <v>14.406272041366153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73.257398073934581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137.31119999999976</v>
      </c>
      <c r="D166" s="11">
        <f t="shared" si="140"/>
        <v>35.680345690664815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1335.3733351560074</v>
      </c>
      <c r="H166" s="67">
        <f t="shared" si="110"/>
        <v>557.96027541124079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-7.9808160080574461E-14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235.48251555416709</v>
      </c>
      <c r="T166" s="59">
        <f t="shared" si="142"/>
        <v>228.3457409585393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57.697091346712234</v>
      </c>
      <c r="AA166" s="21">
        <f>EXP(-LN(2)/25)*AA165+(1-EXP(-LN(2)/25))/(LN(2)/25)*Calculateur!V166*Calculateur!X166*VLOOKUP('Données projet'!$B$9,Paramètres!$A$1:$I$89,3,0)*0.475*44/12</f>
        <v>14.012331774802075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71.709423121514305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138.15359999999976</v>
      </c>
      <c r="D167" s="11">
        <f t="shared" si="140"/>
        <v>35.873694906213892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1343.3685922584914</v>
      </c>
      <c r="H167" s="67">
        <f t="shared" si="110"/>
        <v>559.76420529498887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-7.9808160080574461E-14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235.48251555416709</v>
      </c>
      <c r="T167" s="59">
        <f t="shared" si="142"/>
        <v>228.3457409585393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56.565686577154032</v>
      </c>
      <c r="AA167" s="21">
        <f>EXP(-LN(2)/25)*AA166+(1-EXP(-LN(2)/25))/(LN(2)/25)*Calculateur!V167*Calculateur!X167*VLOOKUP('Données projet'!$B$9,Paramètres!$A$1:$I$89,3,0)*0.475*44/12</f>
        <v>13.629163825543609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70.194850402697639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138.99599999999975</v>
      </c>
      <c r="D168" s="11">
        <f t="shared" si="140"/>
        <v>36.066906938767723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1351.3627904045209</v>
      </c>
      <c r="H168" s="67">
        <f t="shared" si="110"/>
        <v>561.56789625168676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-7.9808160080574461E-14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235.48251555416709</v>
      </c>
      <c r="T168" s="59">
        <f t="shared" si="142"/>
        <v>228.3457409585393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55.456467965038101</v>
      </c>
      <c r="AA168" s="21">
        <f>EXP(-LN(2)/25)*AA167+(1-EXP(-LN(2)/25))/(LN(2)/25)*Calculateur!V168*Calculateur!X168*VLOOKUP('Données projet'!$B$9,Paramètres!$A$1:$I$89,3,0)*0.475*44/12</f>
        <v>13.256473624007542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68.712941589045641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139.83839999999975</v>
      </c>
      <c r="D169" s="11">
        <f t="shared" si="140"/>
        <v>36.259982716198799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1359.3559367566206</v>
      </c>
      <c r="H169" s="67">
        <f t="shared" si="110"/>
        <v>563.3713498973791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-7.9808160080574461E-14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235.48251555416709</v>
      </c>
      <c r="T169" s="59">
        <f t="shared" si="142"/>
        <v>228.3457409585393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54.369000453349209</v>
      </c>
      <c r="AA169" s="21">
        <f>EXP(-LN(2)/25)*AA168+(1-EXP(-LN(2)/25))/(LN(2)/25)*Calculateur!V169*Calculateur!X169*VLOOKUP('Données projet'!$B$9,Paramètres!$A$1:$I$89,3,0)*0.475*44/12</f>
        <v>12.893974655631407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67.262975108980612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140.68079999999975</v>
      </c>
      <c r="D170" s="11">
        <f t="shared" si="140"/>
        <v>36.452923154553794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1367.3480383860272</v>
      </c>
      <c r="H170" s="67">
        <f t="shared" si="110"/>
        <v>565.17456782751401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-7.9808160080574461E-14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235.48251555416709</v>
      </c>
      <c r="T170" s="59">
        <f t="shared" si="142"/>
        <v>228.3457409585393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53.302857516274848</v>
      </c>
      <c r="AA170" s="21">
        <f>EXP(-LN(2)/25)*AA169+(1-EXP(-LN(2)/25))/(LN(2)/25)*Calculateur!V170*Calculateur!X170*VLOOKUP('Données projet'!$B$9,Paramètres!$A$1:$I$89,3,0)*0.475*44/12</f>
        <v>12.541388240608509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65.844245756883353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141.52319999999975</v>
      </c>
      <c r="D171" s="11">
        <f t="shared" si="140"/>
        <v>36.645729158274087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1375.3391022743947</v>
      </c>
      <c r="H171" s="67">
        <f t="shared" si="110"/>
        <v>566.97755161732698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-7.9808160080574461E-14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235.48251555416709</v>
      </c>
      <c r="T171" s="59">
        <f t="shared" si="142"/>
        <v>228.3457409585393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52.257620991913534</v>
      </c>
      <c r="AA171" s="21">
        <f>EXP(-LN(2)/25)*AA170+(1-EXP(-LN(2)/25))/(LN(2)/25)*Calculateur!V171*Calculateur!X171*VLOOKUP('Données projet'!$B$9,Paramètres!$A$1:$I$89,3,0)*0.475*44/12</f>
        <v>12.198443319646126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64.456064311559658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142.36559999999974</v>
      </c>
      <c r="D172" s="11">
        <f t="shared" si="140"/>
        <v>36.83840162041102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1383.3291353154516</v>
      </c>
      <c r="H172" s="67">
        <f t="shared" si="110"/>
        <v>568.78030282221539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-7.9808160080574461E-14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235.48251555416709</v>
      </c>
      <c r="T172" s="59">
        <f t="shared" si="142"/>
        <v>228.3457409585393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51.232880918263618</v>
      </c>
      <c r="AA172" s="21">
        <f>EXP(-LN(2)/25)*AA171+(1-EXP(-LN(2)/25))/(LN(2)/25)*Calculateur!V172*Calculateur!X172*VLOOKUP('Données projet'!$B$9,Paramètres!$A$1:$I$89,3,0)*0.475*44/12</f>
        <v>11.864876245582147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63.097757163845763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143.20799999999974</v>
      </c>
      <c r="D173" s="11">
        <f t="shared" si="140"/>
        <v>37.030941422835731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1391.3181443166247</v>
      </c>
      <c r="H173" s="67">
        <f t="shared" si="110"/>
        <v>570.58282297810513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-7.9808160080574461E-14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235.48251555416709</v>
      </c>
      <c r="T173" s="59">
        <f t="shared" si="142"/>
        <v>228.3457409585393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50.228235372428252</v>
      </c>
      <c r="AA173" s="21">
        <f>EXP(-LN(2)/25)*AA172+(1-EXP(-LN(2)/25))/(LN(2)/25)*Calculateur!V173*Calculateur!X173*VLOOKUP('Données projet'!$B$9,Paramètres!$A$1:$I$89,3,0)*0.475*44/12</f>
        <v>11.540430580699979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61.768665953128234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144.05039999999974</v>
      </c>
      <c r="D174" s="11">
        <f t="shared" si="140"/>
        <v>37.22334943644438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1399.3061360006213</v>
      </c>
      <c r="H174" s="67">
        <f t="shared" si="110"/>
        <v>572.38511360180678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-7.9808160080574461E-14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235.48251555416709</v>
      </c>
      <c r="T174" s="59">
        <f t="shared" si="142"/>
        <v>228.3457409585393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49.243290312973436</v>
      </c>
      <c r="AA174" s="21">
        <f>EXP(-LN(2)/25)*AA173+(1-EXP(-LN(2)/25))/(LN(2)/25)*Calculateur!V174*Calculateur!X174*VLOOKUP('Données projet'!$B$9,Paramètres!$A$1:$I$89,3,0)*0.475*44/12</f>
        <v>11.22485689958587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60.468147212559302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144.89279999999974</v>
      </c>
      <c r="D175" s="11">
        <f t="shared" si="140"/>
        <v>37.415626521357609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1407.2931170069689</v>
      </c>
      <c r="H175" s="67">
        <f t="shared" si="110"/>
        <v>574.18717619136396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-7.9808160080574461E-14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235.48251555416709</v>
      </c>
      <c r="T175" s="59">
        <f t="shared" si="142"/>
        <v>228.3457409585393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48.277659425377365</v>
      </c>
      <c r="AA175" s="21">
        <f>EXP(-LN(2)/25)*AA174+(1-EXP(-LN(2)/25))/(LN(2)/25)*Calculateur!V175*Calculateur!X175*VLOOKUP('Données projet'!$B$9,Paramètres!$A$1:$I$89,3,0)*0.475*44/12</f>
        <v>10.917912597377125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59.19557202275449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145.73519999999974</v>
      </c>
      <c r="D176" s="11">
        <f t="shared" si="140"/>
        <v>37.607773527116159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1415.2790938935261</v>
      </c>
      <c r="H176" s="67">
        <f t="shared" si="110"/>
        <v>575.98901222639358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-7.9808160080574461E-14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235.48251555416709</v>
      </c>
      <c r="T176" s="59">
        <f t="shared" si="142"/>
        <v>228.3457409585393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47.330963970510368</v>
      </c>
      <c r="AA176" s="21">
        <f>EXP(-LN(2)/25)*AA175+(1-EXP(-LN(2)/25))/(LN(2)/25)*Calculateur!V176*Calculateur!X176*VLOOKUP('Données projet'!$B$9,Paramètres!$A$1:$I$89,3,0)*0.475*44/12</f>
        <v>10.619361703253777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57.950325673764141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146.57759999999973</v>
      </c>
      <c r="D177" s="11">
        <f t="shared" si="140"/>
        <v>37.799791292871177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1423.2640731379513</v>
      </c>
      <c r="H177" s="67">
        <f t="shared" si="110"/>
        <v>577.79062316841691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-7.9808160080574461E-14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235.48251555416709</v>
      </c>
      <c r="T177" s="59">
        <f t="shared" si="142"/>
        <v>228.3457409585393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46.402832636086103</v>
      </c>
      <c r="AA177" s="21">
        <f>EXP(-LN(2)/25)*AA176+(1-EXP(-LN(2)/25))/(LN(2)/25)*Calculateur!V177*Calculateur!X177*VLOOKUP('Données projet'!$B$9,Paramètres!$A$1:$I$89,3,0)*0.475*44/12</f>
        <v>10.328974699030342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56.731807335116443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147.41999999999973</v>
      </c>
      <c r="D178" s="11">
        <f t="shared" si="140"/>
        <v>37.99168064757022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1431.2480611391366</v>
      </c>
      <c r="H178" s="67">
        <f t="shared" si="110"/>
        <v>579.59201046118437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-7.9808160080574461E-14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235.48251555416709</v>
      </c>
      <c r="T178" s="59">
        <f t="shared" si="142"/>
        <v>228.3457409585393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45.492901391025683</v>
      </c>
      <c r="AA178" s="21">
        <f>EXP(-LN(2)/25)*AA177+(1-EXP(-LN(2)/25))/(LN(2)/25)*Calculateur!V178*Calculateur!X178*VLOOKUP('Données projet'!$B$9,Paramètres!$A$1:$I$89,3,0)*0.475*44/12</f>
        <v>10.046528342708184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55.539429733733868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148.26239999999973</v>
      </c>
      <c r="D179" s="11">
        <f t="shared" si="140"/>
        <v>38.183442410139051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1439.2310642186151</v>
      </c>
      <c r="H179" s="67">
        <f t="shared" si="110"/>
        <v>581.3931755309917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-7.9808160080574461E-14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235.48251555416709</v>
      </c>
      <c r="T179" s="59">
        <f t="shared" si="142"/>
        <v>228.3457409585393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44.60081334267764</v>
      </c>
      <c r="AA179" s="21">
        <f>EXP(-LN(2)/25)*AA178+(1-EXP(-LN(2)/25))/(LN(2)/25)*Calculateur!V179*Calculateur!X179*VLOOKUP('Données projet'!$B$9,Paramètres!$A$1:$I$89,3,0)*0.475*44/12</f>
        <v>9.7718054968528651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54.372618839530503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149.10479999999973</v>
      </c>
      <c r="D180" s="11">
        <f t="shared" si="140"/>
        <v>38.375077389658856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1447.2130886219259</v>
      </c>
      <c r="H180" s="67">
        <f t="shared" si="110"/>
        <v>583.19411978698872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-7.9808160080574461E-14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235.48251555416709</v>
      </c>
      <c r="T180" s="59">
        <f t="shared" si="142"/>
        <v>228.3457409585393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43.726218596837718</v>
      </c>
      <c r="AA180" s="21">
        <f>EXP(-LN(2)/25)*AA179+(1-EXP(-LN(2)/25))/(LN(2)/25)*Calculateur!V180*Calculateur!X180*VLOOKUP('Données projet'!$B$9,Paramètres!$A$1:$I$89,3,0)*0.475*44/12</f>
        <v>9.5045949616645053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53.23081355850222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149.94719999999973</v>
      </c>
      <c r="D181" s="11">
        <f t="shared" si="140"/>
        <v>38.566586385539715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1455.1941405199534</v>
      </c>
      <c r="H181" s="67">
        <f t="shared" si="110"/>
        <v>584.99484462148121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-7.9808160080574461E-14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235.48251555416709</v>
      </c>
      <c r="T181" s="59">
        <f t="shared" si="142"/>
        <v>228.3457409585393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42.868774120513592</v>
      </c>
      <c r="AA181" s="21">
        <f>EXP(-LN(2)/25)*AA180+(1-EXP(-LN(2)/25))/(LN(2)/25)*Calculateur!V181*Calculateur!X181*VLOOKUP('Données projet'!$B$9,Paramètres!$A$1:$I$89,3,0)*0.475*44/12</f>
        <v>9.2446913126128631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52.113465433126457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150.78959999999972</v>
      </c>
      <c r="D182" s="11">
        <f t="shared" si="140"/>
        <v>38.757970187689651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1463.1742260102337</v>
      </c>
      <c r="H182" s="67">
        <f t="shared" si="110"/>
        <v>586.79535141022563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-7.9808160080574461E-14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235.48251555416709</v>
      </c>
      <c r="T182" s="59">
        <f t="shared" si="142"/>
        <v>228.3457409585393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42.028143607380699</v>
      </c>
      <c r="AA182" s="21">
        <f>EXP(-LN(2)/25)*AA181+(1-EXP(-LN(2)/25))/(LN(2)/25)*Calculateur!V182*Calculateur!X182*VLOOKUP('Données projet'!$B$9,Paramètres!$A$1:$I$89,3,0)*0.475*44/12</f>
        <v>8.9918947425122777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51.020038349892978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151.63199999999972</v>
      </c>
      <c r="D183" s="11">
        <f t="shared" si="140"/>
        <v>38.949229576680295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1471.1533511182317</v>
      </c>
      <c r="H183" s="67">
        <f t="shared" si="110"/>
        <v>588.59564151271775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-7.9808160080574461E-14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235.48251555416709</v>
      </c>
      <c r="T183" s="59">
        <f t="shared" si="142"/>
        <v>228.3457409585393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41.203997345876353</v>
      </c>
      <c r="AA183" s="21">
        <f>EXP(-LN(2)/25)*AA182+(1-EXP(-LN(2)/25))/(LN(2)/25)*Calculateur!V183*Calculateur!X183*VLOOKUP('Données projet'!$B$9,Paramètres!$A$1:$I$89,3,0)*0.475*44/12</f>
        <v>8.7460109079150854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49.950008253791438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152.47439999999972</v>
      </c>
      <c r="D184" s="11">
        <f t="shared" si="140"/>
        <v>39.1403653239081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1479.1315217985866</v>
      </c>
      <c r="H184" s="67">
        <f t="shared" si="110"/>
        <v>590.39571627247278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-7.9808160080574461E-14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235.48251555416709</v>
      </c>
      <c r="T184" s="59">
        <f t="shared" si="142"/>
        <v>228.3457409585393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40.396012089880522</v>
      </c>
      <c r="AA184" s="21">
        <f>EXP(-LN(2)/25)*AA183+(1-EXP(-LN(2)/25))/(LN(2)/25)*Calculateur!V184*Calculateur!X184*VLOOKUP('Données projet'!$B$9,Paramètres!$A$1:$I$89,3,0)*0.475*44/12</f>
        <v>8.5068507797054238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48.902862869585945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153.31679999999972</v>
      </c>
      <c r="D185" s="11">
        <f t="shared" si="140"/>
        <v>39.331378191752684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1487.1087439363343</v>
      </c>
      <c r="H185" s="67">
        <f t="shared" si="110"/>
        <v>592.19557701730207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-7.9808160080574461E-14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235.48251555416709</v>
      </c>
      <c r="T185" s="59">
        <f t="shared" si="142"/>
        <v>228.3457409585393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39.603870931932427</v>
      </c>
      <c r="AA185" s="21">
        <f>EXP(-LN(2)/25)*AA184+(1-EXP(-LN(2)/25))/(LN(2)/25)*Calculateur!V185*Calculateur!X185*VLOOKUP('Données projet'!$B$9,Paramètres!$A$1:$I$89,3,0)*0.475*44/12</f>
        <v>8.2742304977785395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47.878101429710966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154.15919999999971</v>
      </c>
      <c r="D186" s="11">
        <f t="shared" si="140"/>
        <v>39.522268933730913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1495.0850233480962</v>
      </c>
      <c r="H186" s="67">
        <f t="shared" si="110"/>
        <v>593.99522505958089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-7.9808160080574461E-14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235.48251555416709</v>
      </c>
      <c r="T186" s="59">
        <f t="shared" si="142"/>
        <v>228.3457409585393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38.827263178933293</v>
      </c>
      <c r="AA186" s="21">
        <f>EXP(-LN(2)/25)*AA185+(1-EXP(-LN(2)/25))/(LN(2)/25)*Calculateur!V186*Calculateur!X186*VLOOKUP('Données projet'!$B$9,Paramètres!$A$1:$I$89,3,0)*0.475*44/12</f>
        <v>8.0479712296939141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46.875234408627207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155.00159999999971</v>
      </c>
      <c r="D187" s="11">
        <f t="shared" si="140"/>
        <v>39.713038294647816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1503.0603657832442</v>
      </c>
      <c r="H187" s="67">
        <f t="shared" si="110"/>
        <v>595.79466169651118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-7.9808160080574461E-14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235.48251555416709</v>
      </c>
      <c r="T187" s="59">
        <f t="shared" si="142"/>
        <v>228.3457409585393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38.065884230286521</v>
      </c>
      <c r="AA187" s="21">
        <f>EXP(-LN(2)/25)*AA186+(1-EXP(-LN(2)/25))/(LN(2)/25)*Calculateur!V187*Calculateur!X187*VLOOKUP('Données projet'!$B$9,Paramètres!$A$1:$I$89,3,0)*0.475*44/12</f>
        <v>7.8278990331935212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45.893783263480046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155.84399999999971</v>
      </c>
      <c r="D188" s="11">
        <f t="shared" si="140"/>
        <v>39.90368701074415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1511.0347769250402</v>
      </c>
      <c r="H188" s="67">
        <f t="shared" si="110"/>
        <v>597.59388821037885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-7.9808160080574461E-14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235.48251555416709</v>
      </c>
      <c r="T188" s="59">
        <f t="shared" si="142"/>
        <v>228.3457409585393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37.319435458427407</v>
      </c>
      <c r="AA188" s="21">
        <f>EXP(-LN(2)/25)*AA187+(1-EXP(-LN(2)/25))/(LN(2)/25)*Calculateur!V188*Calculateur!X188*VLOOKUP('Données projet'!$B$9,Paramètres!$A$1:$I$89,3,0)*0.475*44/12</f>
        <v>7.6138447224795254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44.933280180906934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156.68639999999971</v>
      </c>
      <c r="D189" s="11">
        <f t="shared" si="140"/>
        <v>40.094215809840641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1519.0082623917499</v>
      </c>
      <c r="H189" s="67">
        <f t="shared" si="110"/>
        <v>599.39290586880531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-7.9808160080574461E-14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235.48251555416709</v>
      </c>
      <c r="T189" s="59">
        <f t="shared" si="142"/>
        <v>228.3457409585393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36.587624091695652</v>
      </c>
      <c r="AA189" s="21">
        <f>EXP(-LN(2)/25)*AA188+(1-EXP(-LN(2)/25))/(LN(2)/25)*Calculateur!V189*Calculateur!X189*VLOOKUP('Données projet'!$B$9,Paramètres!$A$1:$I$89,3,0)*0.475*44/12</f>
        <v>7.4056437381486306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43.993267829844285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157.52879999999971</v>
      </c>
      <c r="D190" s="11">
        <f t="shared" si="140"/>
        <v>40.284625411478942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1526.9808277377299</v>
      </c>
      <c r="H190" s="67">
        <f t="shared" si="110"/>
        <v>601.19171592499197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-7.9808160080574461E-14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235.48251555416709</v>
      </c>
      <c r="T190" s="59">
        <f t="shared" si="142"/>
        <v>228.3457409585393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35.870163099504651</v>
      </c>
      <c r="AA190" s="21">
        <f>EXP(-LN(2)/25)*AA189+(1-EXP(-LN(2)/25))/(LN(2)/25)*Calculateur!V190*Calculateur!X190*VLOOKUP('Données projet'!$B$9,Paramètres!$A$1:$I$89,3,0)*0.475*44/12</f>
        <v>7.2031360206830781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43.073299120187727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158.3711999999997</v>
      </c>
      <c r="D191" s="11">
        <f t="shared" si="140"/>
        <v>40.474916527059634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1534.9524784544931</v>
      </c>
      <c r="H191" s="67">
        <f t="shared" si="110"/>
        <v>602.99031961796175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-7.9808160080574461E-14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235.48251555416709</v>
      </c>
      <c r="T191" s="59">
        <f t="shared" si="142"/>
        <v>228.3457409585393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35.166771079762519</v>
      </c>
      <c r="AA191" s="21">
        <f>EXP(-LN(2)/25)*AA190+(1-EXP(-LN(2)/25))/(LN(2)/25)*Calculateur!V191*Calculateur!X191*VLOOKUP('Données projet'!$B$9,Paramètres!$A$1:$I$89,3,0)*0.475*44/12</f>
        <v>7.0061658874010391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42.172936967163558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159.2135999999997</v>
      </c>
      <c r="D192" s="11">
        <f t="shared" si="140"/>
        <v>40.665089859977002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1542.9232199717501</v>
      </c>
      <c r="H192" s="67">
        <f t="shared" si="110"/>
        <v>604.78871817279276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-7.9808160080574461E-14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235.48251555416709</v>
      </c>
      <c r="T192" s="59">
        <f t="shared" si="142"/>
        <v>228.3457409585393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34.477172148500763</v>
      </c>
      <c r="AA192" s="21">
        <f>EXP(-LN(2)/25)*AA191+(1-EXP(-LN(2)/25))/(LN(2)/25)*Calculateur!V192*Calculateur!X192*VLOOKUP('Données projet'!$B$9,Paramètres!$A$1:$I$89,3,0)*0.475*44/12</f>
        <v>6.8145819127718061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41.29175406127257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160.0559999999997</v>
      </c>
      <c r="D193" s="11">
        <f t="shared" si="140"/>
        <v>40.855146105751388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1550.8930576584296</v>
      </c>
      <c r="H193" s="67">
        <f t="shared" si="110"/>
        <v>606.58691280084986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-7.9808160080574461E-14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235.48251555416709</v>
      </c>
      <c r="T193" s="59">
        <f t="shared" si="142"/>
        <v>228.3457409585393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33.801095831667233</v>
      </c>
      <c r="AA193" s="21">
        <f>EXP(-LN(2)/25)*AA192+(1-EXP(-LN(2)/25))/(LN(2)/25)*Calculateur!V193*Calculateur!X193*VLOOKUP('Données projet'!$B$9,Paramètres!$A$1:$I$89,3,0)*0.475*44/12</f>
        <v>6.6282368120037729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40.429332643671003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160.8983999999997</v>
      </c>
      <c r="D194" s="11">
        <f t="shared" si="140"/>
        <v>41.045085952157713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1558.8619968236715</v>
      </c>
      <c r="H194" s="67">
        <f t="shared" si="110"/>
        <v>608.3849047000075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-7.9808160080574461E-14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235.48251555416709</v>
      </c>
      <c r="T194" s="59">
        <f t="shared" si="142"/>
        <v>228.3457409585393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33.138276959040972</v>
      </c>
      <c r="AA194" s="21">
        <f>EXP(-LN(2)/25)*AA193+(1-EXP(-LN(2)/25))/(LN(2)/25)*Calculateur!V194*Calculateur!X194*VLOOKUP('Données projet'!$B$9,Paramètres!$A$1:$I$89,3,0)*0.475*44/12</f>
        <v>6.4469873278157053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39.585264286856678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161.74079999999969</v>
      </c>
      <c r="D195" s="11">
        <f t="shared" si="140"/>
        <v>41.234910079352346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1566.8300427178056</v>
      </c>
      <c r="H195" s="67">
        <f t="shared" si="110"/>
        <v>610.18269505487149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-7.9808160080574461E-14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235.48251555416709</v>
      </c>
      <c r="T195" s="59">
        <f t="shared" si="142"/>
        <v>228.3457409585393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32.488455560227322</v>
      </c>
      <c r="AA195" s="21">
        <f>EXP(-LN(2)/25)*AA194+(1-EXP(-LN(2)/25))/(LN(2)/25)*Calculateur!V195*Calculateur!X195*VLOOKUP('Données projet'!$B$9,Paramètres!$A$1:$I$89,3,0)*0.475*44/12</f>
        <v>6.2706941203042561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38.759149680531578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162.58319999999969</v>
      </c>
      <c r="D196" s="11">
        <f t="shared" si="140"/>
        <v>41.424619159996467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1574.7972005333038</v>
      </c>
      <c r="H196" s="67">
        <f t="shared" ref="H196:H203" si="192">(B196+E196+F196)*44/12+(C196+D196)*0.475*44/12</f>
        <v>611.98028503699334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-7.9808160080574461E-14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235.48251555416709</v>
      </c>
      <c r="T196" s="59">
        <f t="shared" si="142"/>
        <v>228.3457409585393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31.851376762692489</v>
      </c>
      <c r="AA196" s="21">
        <f>EXP(-LN(2)/25)*AA195+(1-EXP(-LN(2)/25))/(LN(2)/25)*Calculateur!V196*Calculateur!X196*VLOOKUP('Données projet'!$B$9,Paramètres!$A$1:$I$89,3,0)*0.475*44/12</f>
        <v>6.0992216598230646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37.950598422515554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163.42559999999969</v>
      </c>
      <c r="D197" s="11">
        <f t="shared" ref="D197:D203" si="202">IFERROR(EXP(-1.0587+0.8836*LN(C197)+0.284),0)</f>
        <v>41.614213859377095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1582.7634754057156</v>
      </c>
      <c r="H197" s="67">
        <f t="shared" si="192"/>
        <v>613.77767580508123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-7.9808160080574461E-14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235.48251555416709</v>
      </c>
      <c r="T197" s="59">
        <f t="shared" ref="T197:T203" si="204">$T$3</f>
        <v>228.3457409585393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31.226790691797614</v>
      </c>
      <c r="AA197" s="21">
        <f>EXP(-LN(2)/25)*AA196+(1-EXP(-LN(2)/25))/(LN(2)/25)*Calculateur!V197*Calculateur!X197*VLOOKUP('Données projet'!$B$9,Paramètres!$A$1:$I$89,3,0)*0.475*44/12</f>
        <v>5.9324381227910754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37.159228814588687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164.26799999999969</v>
      </c>
      <c r="D198" s="11">
        <f t="shared" si="202"/>
        <v>41.803694835525583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1590.728872414581</v>
      </c>
      <c r="H198" s="67">
        <f t="shared" si="192"/>
        <v>615.5748685052065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-7.9808160080574461E-14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235.48251555416709</v>
      </c>
      <c r="T198" s="59">
        <f t="shared" si="204"/>
        <v>228.3457409585393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30.614452372793103</v>
      </c>
      <c r="AA198" s="21">
        <f>EXP(-LN(2)/25)*AA197+(1-EXP(-LN(2)/25))/(LN(2)/25)*Calculateur!V198*Calculateur!X198*VLOOKUP('Données projet'!$B$9,Paramètres!$A$1:$I$89,3,0)*0.475*44/12</f>
        <v>5.7702152903499915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36.384667663143091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165.11039999999969</v>
      </c>
      <c r="D199" s="11">
        <f t="shared" si="202"/>
        <v>41.993062739333375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1598.6933965843255</v>
      </c>
      <c r="H199" s="67">
        <f t="shared" si="192"/>
        <v>617.37186427100505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-7.9808160080574461E-14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235.48251555416709</v>
      </c>
      <c r="T199" s="59">
        <f t="shared" si="204"/>
        <v>228.3457409585393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30.014121634734774</v>
      </c>
      <c r="AA199" s="21">
        <f>EXP(-LN(2)/25)*AA198+(1-EXP(-LN(2)/25))/(LN(2)/25)*Calculateur!V199*Calculateur!X199*VLOOKUP('Données projet'!$B$9,Paramètres!$A$1:$I$89,3,0)*0.475*44/12</f>
        <v>5.6124284497929366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35.626550084527707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165.95279999999968</v>
      </c>
      <c r="D200" s="11">
        <f t="shared" si="202"/>
        <v>42.182318214665749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1606.6570528851369</v>
      </c>
      <c r="H200" s="67">
        <f t="shared" si="192"/>
        <v>619.16866422387568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-7.9808160080574461E-14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235.48251555416709</v>
      </c>
      <c r="T200" s="59">
        <f t="shared" si="204"/>
        <v>228.3457409585393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29.425563016284176</v>
      </c>
      <c r="AA200" s="21">
        <f>EXP(-LN(2)/25)*AA199+(1-EXP(-LN(2)/25))/(LN(2)/25)*Calculateur!V200*Calculateur!X200*VLOOKUP('Données projet'!$B$9,Paramètres!$A$1:$I$89,3,0)*0.475*44/12</f>
        <v>5.4589562986885642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34.884519314972742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166.79519999999968</v>
      </c>
      <c r="D201" s="11">
        <f t="shared" si="202"/>
        <v>42.371461898472752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1614.6198462338225</v>
      </c>
      <c r="H201" s="67">
        <f t="shared" si="192"/>
        <v>620.96526947317284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-7.9808160080574461E-14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235.48251555416709</v>
      </c>
      <c r="T201" s="59">
        <f t="shared" si="204"/>
        <v>228.3457409585393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28.848545673356082</v>
      </c>
      <c r="AA201" s="21">
        <f>EXP(-LN(2)/25)*AA200+(1-EXP(-LN(2)/25))/(LN(2)/25)*Calculateur!V201*Calculateur!X201*VLOOKUP('Données projet'!$B$9,Paramètres!$A$1:$I$89,3,0)*0.475*44/12</f>
        <v>5.3096808516268901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34.158226524982972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167.63759999999968</v>
      </c>
      <c r="D202" s="11">
        <f t="shared" si="202"/>
        <v>42.560494420897982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1622.5817814946488</v>
      </c>
      <c r="H202" s="67">
        <f t="shared" si="192"/>
        <v>622.76168111639674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-7.9808160080574461E-14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235.48251555416709</v>
      </c>
      <c r="T202" s="59">
        <f t="shared" si="204"/>
        <v>228.3457409585393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28.282843288576981</v>
      </c>
      <c r="AA202" s="21">
        <f>EXP(-LN(2)/25)*AA201+(1-EXP(-LN(2)/25))/(LN(2)/25)*Calculateur!V202*Calculateur!X202*VLOOKUP('Données projet'!$B$9,Paramètres!$A$1:$I$89,3,0)*0.475*44/12</f>
        <v>5.1644873495151726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33.447330638092154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168.47999999999968</v>
      </c>
      <c r="D203" s="11">
        <f t="shared" si="202"/>
        <v>42.749416405385304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1630.5428634801649</v>
      </c>
      <c r="H203" s="67">
        <f t="shared" si="192"/>
        <v>624.55790023937891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-7.9808160080574461E-14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235.48251555416709</v>
      </c>
      <c r="T203" s="59">
        <f t="shared" si="204"/>
        <v>228.3457409585393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27.728233982519015</v>
      </c>
      <c r="AA203" s="21">
        <f>EXP(-LN(2)/25)*AA202+(1-EXP(-LN(2)/25))/(LN(2)/25)*Calculateur!V203*Calculateur!X203*VLOOKUP('Données projet'!$B$9,Paramètres!$A$1:$I$89,3,0)*0.475*44/12</f>
        <v>5.0232641713540938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32.751498153873108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1.1487740351914302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B25" workbookViewId="0">
      <selection activeCell="D15" sqref="D15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M20" sqref="M2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Cèdre de l'Atlas</v>
      </c>
      <c r="B6" s="146">
        <f>'Données projet'!D9</f>
        <v>2.0356000000000001</v>
      </c>
      <c r="C6" s="147">
        <f ca="1">IF(OR('Données projet'!B9="",'Données projet'!C9="",'Données projet'!C9=0%),0,Calculateur!S3)</f>
        <v>235.48251555416709</v>
      </c>
      <c r="D6" s="147">
        <f>IF(OR('Données projet'!B9="",'Données projet'!C9="",'Données projet'!C9=0%),0,Calculateur!T3)</f>
        <v>228.3457409585393</v>
      </c>
      <c r="E6" s="147">
        <f ca="1">MIN(C6,D6)</f>
        <v>228.3457409585393</v>
      </c>
      <c r="F6" s="147">
        <f ca="1">E6*B6</f>
        <v>464.82059029520263</v>
      </c>
      <c r="G6" s="147">
        <f ca="1">F6*(100%-'Données projet'!$C$24)*(100%-'Données projet'!$C$25)*(100%-'Données projet'!$C$26)*(100%-'Données projet'!$C$27)</f>
        <v>376.50467813911416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376.50467813911416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464.82059029520263</v>
      </c>
      <c r="G16" s="166">
        <f t="shared" ca="1" si="3"/>
        <v>376.50467813911416</v>
      </c>
      <c r="H16" s="167">
        <f t="shared" si="3"/>
        <v>0</v>
      </c>
      <c r="I16" s="167">
        <f t="shared" si="3"/>
        <v>0</v>
      </c>
      <c r="J16" s="168">
        <f t="shared" si="3"/>
        <v>0</v>
      </c>
      <c r="K16" s="168">
        <f t="shared" si="3"/>
        <v>0</v>
      </c>
      <c r="L16" s="169">
        <f t="shared" ca="1" si="3"/>
        <v>376.50467813911416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10" zoomScale="85" zoomScaleNormal="85" workbookViewId="0">
      <selection activeCell="L20" sqref="L2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-1841.0650642150511</v>
      </c>
      <c r="U10" s="178">
        <f>'Données projet'!D9</f>
        <v>2.0356000000000001</v>
      </c>
      <c r="V10" s="177">
        <f>U10*T10</f>
        <v>-3747.6720447161579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A12" s="1" t="s">
        <v>327</v>
      </c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1200*(0.45+1.32)</f>
        <v>2124</v>
      </c>
      <c r="F17" s="230"/>
      <c r="G17" s="289"/>
      <c r="I17" s="1" t="s">
        <v>325</v>
      </c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49.999999999999979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I18" s="1" t="s">
        <v>326</v>
      </c>
      <c r="J18" s="202"/>
      <c r="K18" s="208"/>
      <c r="L18" s="259" t="s">
        <v>255</v>
      </c>
      <c r="M18" s="261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0.15*E17</f>
        <v>318.59999999999997</v>
      </c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249.99999999999989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f>(800+0.08*20914.3+280)/'Données projet'!C5+270+60+880+520+1200*0.19</f>
        <v>3310.4975437217527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20+270+450+1200*0.32</f>
        <v>1124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20+270+1200*0.32</f>
        <v>674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42</v>
      </c>
      <c r="B23" s="181">
        <f>'Données projet'!D36</f>
        <v>105.41</v>
      </c>
      <c r="C23" s="193">
        <v>5</v>
      </c>
      <c r="D23" s="182">
        <f>B23*C23</f>
        <v>527.04999999999995</v>
      </c>
      <c r="E23" s="193"/>
      <c r="F23" s="230"/>
      <c r="H23" s="190">
        <v>4</v>
      </c>
      <c r="I23" s="191">
        <v>20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-14136.095773839304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50</v>
      </c>
      <c r="B24" s="181">
        <f>'Données projet'!D37</f>
        <v>106.51</v>
      </c>
      <c r="C24" s="193">
        <v>8.5</v>
      </c>
      <c r="D24" s="182">
        <f t="shared" ref="D24:D42" si="2">B24*C24</f>
        <v>905.33500000000004</v>
      </c>
      <c r="E24" s="193"/>
      <c r="F24" s="233"/>
      <c r="H24" s="190">
        <v>5</v>
      </c>
      <c r="I24" s="191">
        <v>20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56.340140867520361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58</v>
      </c>
      <c r="B25" s="181">
        <f>'Données projet'!D38</f>
        <v>87.34</v>
      </c>
      <c r="C25" s="193">
        <v>8.5</v>
      </c>
      <c r="D25" s="182">
        <f t="shared" si="2"/>
        <v>742.39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-14192.435914706824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66</v>
      </c>
      <c r="B26" s="181">
        <f>'Données projet'!D39</f>
        <v>87.73</v>
      </c>
      <c r="C26" s="193">
        <v>15.5</v>
      </c>
      <c r="D26" s="182">
        <f t="shared" si="2"/>
        <v>1359.8150000000001</v>
      </c>
      <c r="E26" s="193"/>
      <c r="F26" s="233"/>
      <c r="G26" s="229"/>
      <c r="H26" s="190">
        <v>7</v>
      </c>
      <c r="I26" s="191">
        <v>20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75</v>
      </c>
      <c r="B27" s="181">
        <f>'Données projet'!D40</f>
        <v>87.99</v>
      </c>
      <c r="C27" s="193">
        <v>15.5</v>
      </c>
      <c r="D27" s="182">
        <f t="shared" si="2"/>
        <v>1363.845</v>
      </c>
      <c r="E27" s="193"/>
      <c r="F27" s="233"/>
      <c r="G27" s="229"/>
      <c r="H27" s="190">
        <v>8</v>
      </c>
      <c r="I27" s="191">
        <v>20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83</v>
      </c>
      <c r="B28" s="181">
        <f>'Données projet'!D41</f>
        <v>90.24</v>
      </c>
      <c r="C28" s="193">
        <v>29.5</v>
      </c>
      <c r="D28" s="182">
        <f t="shared" si="2"/>
        <v>2662.08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91</v>
      </c>
      <c r="B29" s="181">
        <f>'Données projet'!D42</f>
        <v>260.64</v>
      </c>
      <c r="C29" s="193">
        <v>29.5</v>
      </c>
      <c r="D29" s="182">
        <f t="shared" si="2"/>
        <v>7688.8799999999992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101</v>
      </c>
      <c r="B30" s="181">
        <f>'Données projet'!D43</f>
        <v>351.18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0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0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0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0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0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0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0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0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0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0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0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0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0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0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0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0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0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8" ma:contentTypeDescription="Crée un document." ma:contentTypeScope="" ma:versionID="230d89a92b7aca36de80e84cafbbf9c2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776697cfe11cf9a50b111f534a5c43c6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BE8BD0-8E8D-4049-B913-95D4A990FEB6}"/>
</file>

<file path=customXml/itemProps3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Augustin Le Corre</cp:lastModifiedBy>
  <dcterms:created xsi:type="dcterms:W3CDTF">2021-02-01T08:22:39Z</dcterms:created>
  <dcterms:modified xsi:type="dcterms:W3CDTF">2024-01-17T09:07:09Z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